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885" yWindow="300" windowWidth="18195" windowHeight="11640" tabRatio="599"/>
  </bookViews>
  <sheets>
    <sheet name="Рачун финансирања" sheetId="16" r:id="rId1"/>
    <sheet name="Приџ,прим vs Расх,изд" sheetId="1" state="hidden" r:id="rId2"/>
    <sheet name="Оптшти део - (6)" sheetId="3" r:id="rId3"/>
    <sheet name="Капитални расходи" sheetId="4" r:id="rId4"/>
    <sheet name="По основ. нам." sheetId="5" r:id="rId5"/>
    <sheet name="Програмска" sheetId="7" r:id="rId6"/>
    <sheet name="Расх по функц. " sheetId="6" r:id="rId7"/>
    <sheet name="ПО КОРИСНИЦИМА" sheetId="8" r:id="rId8"/>
    <sheet name="Класификације" sheetId="17" r:id="rId9"/>
  </sheets>
  <definedNames>
    <definedName name="_xlnm._FilterDatabase" localSheetId="8" hidden="1">Класификације!$L$2:$M$4732</definedName>
    <definedName name="ljkl">'Расх по функц. '!$F$140</definedName>
    <definedName name="Ukupno_funkcionalna">'Расх по функц. '!$F$140</definedName>
    <definedName name="Ukupno_izdaci">'По основ. нам.'!$F$87</definedName>
  </definedNames>
  <calcPr calcId="125725"/>
</workbook>
</file>

<file path=xl/calcChain.xml><?xml version="1.0" encoding="utf-8"?>
<calcChain xmlns="http://schemas.openxmlformats.org/spreadsheetml/2006/main">
  <c r="E134" i="4"/>
  <c r="F179"/>
  <c r="E179"/>
  <c r="D179"/>
  <c r="F170"/>
  <c r="E170"/>
  <c r="D170"/>
  <c r="F161"/>
  <c r="E161"/>
  <c r="D161"/>
  <c r="F152"/>
  <c r="E152"/>
  <c r="D152"/>
  <c r="F143"/>
  <c r="E143"/>
  <c r="D143"/>
  <c r="I12298" i="8"/>
  <c r="I12149"/>
  <c r="I12148"/>
  <c r="I12132"/>
  <c r="I12317"/>
  <c r="J12254"/>
  <c r="J12257"/>
  <c r="J12267"/>
  <c r="I12265"/>
  <c r="I12266" s="1"/>
  <c r="I12255"/>
  <c r="H12255"/>
  <c r="H12256" s="1"/>
  <c r="H12258" s="1"/>
  <c r="H12259" s="1"/>
  <c r="I12230"/>
  <c r="I12231" s="1"/>
  <c r="I12248" s="1"/>
  <c r="J12263"/>
  <c r="J12253"/>
  <c r="H12116"/>
  <c r="I9757"/>
  <c r="I9775" s="1"/>
  <c r="I9788" s="1"/>
  <c r="I9893" s="1"/>
  <c r="I9912" s="1"/>
  <c r="I6729"/>
  <c r="I6730" s="1"/>
  <c r="H4454"/>
  <c r="H2767"/>
  <c r="H2768" s="1"/>
  <c r="H2770" s="1"/>
  <c r="J2767"/>
  <c r="J2765"/>
  <c r="J2775"/>
  <c r="J2776"/>
  <c r="J2777"/>
  <c r="J2778"/>
  <c r="J2779"/>
  <c r="J2780"/>
  <c r="J2781"/>
  <c r="J2782"/>
  <c r="J2783"/>
  <c r="J2784"/>
  <c r="J2785"/>
  <c r="J2786"/>
  <c r="J2787"/>
  <c r="J2788"/>
  <c r="J2789"/>
  <c r="J2790"/>
  <c r="J2791"/>
  <c r="J852"/>
  <c r="J851"/>
  <c r="J810"/>
  <c r="J811"/>
  <c r="J809"/>
  <c r="J764"/>
  <c r="J751"/>
  <c r="J752"/>
  <c r="J753"/>
  <c r="J754"/>
  <c r="J755"/>
  <c r="J756"/>
  <c r="J757"/>
  <c r="J758"/>
  <c r="J759"/>
  <c r="J760"/>
  <c r="J761"/>
  <c r="J762"/>
  <c r="J763"/>
  <c r="J765"/>
  <c r="J766"/>
  <c r="J767"/>
  <c r="H484"/>
  <c r="H500" s="1"/>
  <c r="H2771" l="1"/>
  <c r="J2770"/>
  <c r="I12301"/>
  <c r="I12249"/>
  <c r="I6747"/>
  <c r="I9770"/>
  <c r="J12255"/>
  <c r="J12266"/>
  <c r="I12268"/>
  <c r="I12256"/>
  <c r="H770"/>
  <c r="H788" s="1"/>
  <c r="H12384"/>
  <c r="H12400" s="1"/>
  <c r="H12402" s="1"/>
  <c r="H12418" s="1"/>
  <c r="H12420" s="1"/>
  <c r="H12421" s="1"/>
  <c r="I4703"/>
  <c r="J4702"/>
  <c r="J4701"/>
  <c r="J4700"/>
  <c r="J4699"/>
  <c r="J4698"/>
  <c r="J4697"/>
  <c r="J4696"/>
  <c r="J4695"/>
  <c r="J4694"/>
  <c r="J4693"/>
  <c r="J4692"/>
  <c r="J4691"/>
  <c r="J4690"/>
  <c r="J4689"/>
  <c r="J4688"/>
  <c r="H4470"/>
  <c r="H3669"/>
  <c r="H3034"/>
  <c r="H3050" s="1"/>
  <c r="I4344"/>
  <c r="J4343"/>
  <c r="J4342"/>
  <c r="J4341"/>
  <c r="J4340"/>
  <c r="J4339"/>
  <c r="J4338"/>
  <c r="J4337"/>
  <c r="J4336"/>
  <c r="J4335"/>
  <c r="J4334"/>
  <c r="J4333"/>
  <c r="J4332"/>
  <c r="J4331"/>
  <c r="J4330"/>
  <c r="J4329"/>
  <c r="J12454"/>
  <c r="J12455"/>
  <c r="I12418"/>
  <c r="J12417"/>
  <c r="J12416"/>
  <c r="J12415"/>
  <c r="J12414"/>
  <c r="J12413"/>
  <c r="J12412"/>
  <c r="J12411"/>
  <c r="J12410"/>
  <c r="J12409"/>
  <c r="J12408"/>
  <c r="J12407"/>
  <c r="J12406"/>
  <c r="J12405"/>
  <c r="J12404"/>
  <c r="J12403"/>
  <c r="I12400"/>
  <c r="J12399"/>
  <c r="J12398"/>
  <c r="J12397"/>
  <c r="J12396"/>
  <c r="J12395"/>
  <c r="J12394"/>
  <c r="J12393"/>
  <c r="J12392"/>
  <c r="J12391"/>
  <c r="J12390"/>
  <c r="J12389"/>
  <c r="J12388"/>
  <c r="J12387"/>
  <c r="J12386"/>
  <c r="J12385"/>
  <c r="J12382"/>
  <c r="J12381"/>
  <c r="J12380"/>
  <c r="J12379"/>
  <c r="J12378"/>
  <c r="J12377"/>
  <c r="J12376"/>
  <c r="J12375"/>
  <c r="J12374"/>
  <c r="J12373"/>
  <c r="J12372"/>
  <c r="J12371"/>
  <c r="J12370"/>
  <c r="J12369"/>
  <c r="J12368"/>
  <c r="J12367"/>
  <c r="J12366"/>
  <c r="J12365"/>
  <c r="J12364"/>
  <c r="J12363"/>
  <c r="J12362"/>
  <c r="J12361"/>
  <c r="J12360"/>
  <c r="J12359"/>
  <c r="J12358"/>
  <c r="J12357"/>
  <c r="J12356"/>
  <c r="J12355"/>
  <c r="J12354"/>
  <c r="J12353"/>
  <c r="J12352"/>
  <c r="J12351"/>
  <c r="J12350"/>
  <c r="J12349"/>
  <c r="J12348"/>
  <c r="J12347"/>
  <c r="J12346"/>
  <c r="J12345"/>
  <c r="J12344"/>
  <c r="J12343"/>
  <c r="J12342"/>
  <c r="J12341"/>
  <c r="J12340"/>
  <c r="J12339"/>
  <c r="J12338"/>
  <c r="J12337"/>
  <c r="J12336"/>
  <c r="J12456"/>
  <c r="J12457"/>
  <c r="J12458"/>
  <c r="J12459"/>
  <c r="J12460"/>
  <c r="J12461"/>
  <c r="J12462"/>
  <c r="J12463"/>
  <c r="J12464"/>
  <c r="J12465"/>
  <c r="J12466"/>
  <c r="J12467"/>
  <c r="J12468"/>
  <c r="J12469"/>
  <c r="J12470"/>
  <c r="J12471"/>
  <c r="J12472"/>
  <c r="J12473"/>
  <c r="J12474"/>
  <c r="J12475"/>
  <c r="J12476"/>
  <c r="J12477"/>
  <c r="J12478"/>
  <c r="J12479"/>
  <c r="J12480"/>
  <c r="J12481"/>
  <c r="J12482"/>
  <c r="J12483"/>
  <c r="J12484"/>
  <c r="J12485"/>
  <c r="J12486"/>
  <c r="J12487"/>
  <c r="J12488"/>
  <c r="J12489"/>
  <c r="J12490"/>
  <c r="J12491"/>
  <c r="J12492"/>
  <c r="J12493"/>
  <c r="J12494"/>
  <c r="J12495"/>
  <c r="J12496"/>
  <c r="J12497"/>
  <c r="J12498"/>
  <c r="J12499"/>
  <c r="J12500"/>
  <c r="J12501"/>
  <c r="J12502"/>
  <c r="J12503"/>
  <c r="J12504"/>
  <c r="J12505"/>
  <c r="J12506"/>
  <c r="J12507"/>
  <c r="J12508"/>
  <c r="J12509"/>
  <c r="J12510"/>
  <c r="J12511"/>
  <c r="J12512"/>
  <c r="J12513"/>
  <c r="J12516"/>
  <c r="J12517"/>
  <c r="J12518"/>
  <c r="J12519"/>
  <c r="J12520"/>
  <c r="J12521"/>
  <c r="J12522"/>
  <c r="J12523"/>
  <c r="J12524"/>
  <c r="J12525"/>
  <c r="J12526"/>
  <c r="J12527"/>
  <c r="J12528"/>
  <c r="J12529"/>
  <c r="J12530"/>
  <c r="I12531"/>
  <c r="J12534"/>
  <c r="J12535"/>
  <c r="J12536"/>
  <c r="J12537"/>
  <c r="J12538"/>
  <c r="J12539"/>
  <c r="J12540"/>
  <c r="J12541"/>
  <c r="J12542"/>
  <c r="J12543"/>
  <c r="J12544"/>
  <c r="J12545"/>
  <c r="J12546"/>
  <c r="J12547"/>
  <c r="J12548"/>
  <c r="I12549"/>
  <c r="J12553"/>
  <c r="J12554"/>
  <c r="J12555"/>
  <c r="J12556"/>
  <c r="J12557"/>
  <c r="J12558"/>
  <c r="J12559"/>
  <c r="J12560"/>
  <c r="J12561"/>
  <c r="J12562"/>
  <c r="J12563"/>
  <c r="J12564"/>
  <c r="J12565"/>
  <c r="J12566"/>
  <c r="J12567"/>
  <c r="J12568"/>
  <c r="J12569"/>
  <c r="J12570"/>
  <c r="J12571"/>
  <c r="J12572"/>
  <c r="J12573"/>
  <c r="J12574"/>
  <c r="J12575"/>
  <c r="J12576"/>
  <c r="J12577"/>
  <c r="J12578"/>
  <c r="J12579"/>
  <c r="J12580"/>
  <c r="J12581"/>
  <c r="J12582"/>
  <c r="J12583"/>
  <c r="J12584"/>
  <c r="J12585"/>
  <c r="J12586"/>
  <c r="J12587"/>
  <c r="J12588"/>
  <c r="J12589"/>
  <c r="J12590"/>
  <c r="J12591"/>
  <c r="J12592"/>
  <c r="J12593"/>
  <c r="J12594"/>
  <c r="J12595"/>
  <c r="J12596"/>
  <c r="J12597"/>
  <c r="J12598"/>
  <c r="J12599"/>
  <c r="J12600"/>
  <c r="J12601"/>
  <c r="J12602"/>
  <c r="J12603"/>
  <c r="J12604"/>
  <c r="J12605"/>
  <c r="J12606"/>
  <c r="J12607"/>
  <c r="J12608"/>
  <c r="J12609"/>
  <c r="J12610"/>
  <c r="J12611"/>
  <c r="J12612"/>
  <c r="H12614"/>
  <c r="J12614" s="1"/>
  <c r="J12630" s="1"/>
  <c r="J12615"/>
  <c r="J12616"/>
  <c r="J12617"/>
  <c r="J12618"/>
  <c r="J12619"/>
  <c r="J12620"/>
  <c r="J12621"/>
  <c r="J12622"/>
  <c r="J12623"/>
  <c r="J12624"/>
  <c r="J12625"/>
  <c r="J12626"/>
  <c r="J12627"/>
  <c r="J12628"/>
  <c r="J12629"/>
  <c r="I12630"/>
  <c r="H12632"/>
  <c r="J12632" s="1"/>
  <c r="J12633"/>
  <c r="J12634"/>
  <c r="J12635"/>
  <c r="J12636"/>
  <c r="J12637"/>
  <c r="J12638"/>
  <c r="J12639"/>
  <c r="J12640"/>
  <c r="J12641"/>
  <c r="J12642"/>
  <c r="J12643"/>
  <c r="J12644"/>
  <c r="J12645"/>
  <c r="J12646"/>
  <c r="J12647"/>
  <c r="I12648"/>
  <c r="J4738"/>
  <c r="J4739"/>
  <c r="J4740"/>
  <c r="J4741"/>
  <c r="J4742"/>
  <c r="J4743"/>
  <c r="J4744"/>
  <c r="J4745"/>
  <c r="J4746"/>
  <c r="J4747"/>
  <c r="J4748"/>
  <c r="J4749"/>
  <c r="J4750"/>
  <c r="J4751"/>
  <c r="J4752"/>
  <c r="J4753"/>
  <c r="J4754"/>
  <c r="J4755"/>
  <c r="J4756"/>
  <c r="J4757"/>
  <c r="J4758"/>
  <c r="J4759"/>
  <c r="J4760"/>
  <c r="J4761"/>
  <c r="J4762"/>
  <c r="J4763"/>
  <c r="J4764"/>
  <c r="J4765"/>
  <c r="J4766"/>
  <c r="J4767"/>
  <c r="J4768"/>
  <c r="J4769"/>
  <c r="J4770"/>
  <c r="J4771"/>
  <c r="J4772"/>
  <c r="J4773"/>
  <c r="J4774"/>
  <c r="J4775"/>
  <c r="J4776"/>
  <c r="J4777"/>
  <c r="J4778"/>
  <c r="J4779"/>
  <c r="J4780"/>
  <c r="J4781"/>
  <c r="J4782"/>
  <c r="J4783"/>
  <c r="J4784"/>
  <c r="J4785"/>
  <c r="J4786"/>
  <c r="J4787"/>
  <c r="J4788"/>
  <c r="J4789"/>
  <c r="J4790"/>
  <c r="J4791"/>
  <c r="J4792"/>
  <c r="J4793"/>
  <c r="J4794"/>
  <c r="J4795"/>
  <c r="J4796"/>
  <c r="J4797"/>
  <c r="J4798"/>
  <c r="H4800"/>
  <c r="H4801" s="1"/>
  <c r="J4801" s="1"/>
  <c r="J4800"/>
  <c r="H4803"/>
  <c r="J4803"/>
  <c r="J4804"/>
  <c r="J4805"/>
  <c r="J4806"/>
  <c r="J4807"/>
  <c r="J4808"/>
  <c r="J4809"/>
  <c r="J4810"/>
  <c r="J4811"/>
  <c r="J4812"/>
  <c r="J4813"/>
  <c r="J4814"/>
  <c r="J4815"/>
  <c r="J4816"/>
  <c r="J4817"/>
  <c r="J4818"/>
  <c r="H4819"/>
  <c r="I4819"/>
  <c r="J4819"/>
  <c r="H4821"/>
  <c r="J4821"/>
  <c r="J4822"/>
  <c r="J4823"/>
  <c r="J4824"/>
  <c r="J4825"/>
  <c r="J4826"/>
  <c r="J4827"/>
  <c r="J4828"/>
  <c r="J4829"/>
  <c r="J4830"/>
  <c r="J4831"/>
  <c r="J4832"/>
  <c r="J4833"/>
  <c r="J4834"/>
  <c r="J4835"/>
  <c r="J4836"/>
  <c r="H4837"/>
  <c r="I4837"/>
  <c r="J4837"/>
  <c r="J4841"/>
  <c r="J4842"/>
  <c r="J4843"/>
  <c r="J4844"/>
  <c r="J4845"/>
  <c r="J4846"/>
  <c r="J4847"/>
  <c r="J4848"/>
  <c r="J4849"/>
  <c r="J4850"/>
  <c r="J4851"/>
  <c r="J4852"/>
  <c r="J4853"/>
  <c r="J4854"/>
  <c r="J4855"/>
  <c r="J4856"/>
  <c r="J4857"/>
  <c r="J4858"/>
  <c r="J4859"/>
  <c r="J4860"/>
  <c r="J4861"/>
  <c r="J4862"/>
  <c r="J4863"/>
  <c r="J4864"/>
  <c r="J4865"/>
  <c r="J4866"/>
  <c r="J4867"/>
  <c r="J4868"/>
  <c r="J4869"/>
  <c r="J4870"/>
  <c r="J4871"/>
  <c r="J4872"/>
  <c r="J4873"/>
  <c r="J4874"/>
  <c r="J4875"/>
  <c r="J4876"/>
  <c r="J4877"/>
  <c r="J4878"/>
  <c r="J4879"/>
  <c r="I3685"/>
  <c r="J3684"/>
  <c r="J3683"/>
  <c r="J3682"/>
  <c r="J3681"/>
  <c r="J3680"/>
  <c r="J3679"/>
  <c r="J3678"/>
  <c r="J3677"/>
  <c r="J3676"/>
  <c r="J3675"/>
  <c r="J3674"/>
  <c r="J3673"/>
  <c r="J3672"/>
  <c r="J3671"/>
  <c r="J3670"/>
  <c r="J3667"/>
  <c r="J3666"/>
  <c r="J3665"/>
  <c r="J3664"/>
  <c r="J3663"/>
  <c r="J3662"/>
  <c r="J3661"/>
  <c r="J3660"/>
  <c r="J3659"/>
  <c r="J3658"/>
  <c r="J3657"/>
  <c r="J3656"/>
  <c r="J3655"/>
  <c r="J3654"/>
  <c r="J3653"/>
  <c r="J3652"/>
  <c r="J3651"/>
  <c r="J3650"/>
  <c r="J3649"/>
  <c r="J3648"/>
  <c r="J3647"/>
  <c r="J3646"/>
  <c r="J3645"/>
  <c r="J3644"/>
  <c r="J3643"/>
  <c r="J3642"/>
  <c r="J3641"/>
  <c r="J3640"/>
  <c r="J3639"/>
  <c r="J3638"/>
  <c r="J3637"/>
  <c r="J3636"/>
  <c r="J3635"/>
  <c r="J3634"/>
  <c r="J3633"/>
  <c r="J3632"/>
  <c r="J4880"/>
  <c r="J4881"/>
  <c r="J4882"/>
  <c r="J4883"/>
  <c r="J4884"/>
  <c r="J4885"/>
  <c r="J4886"/>
  <c r="J4887"/>
  <c r="J4888"/>
  <c r="J4889"/>
  <c r="J4890"/>
  <c r="J4891"/>
  <c r="J4892"/>
  <c r="J4893"/>
  <c r="J4894"/>
  <c r="J4895"/>
  <c r="J4896"/>
  <c r="J4897"/>
  <c r="J4898"/>
  <c r="J4899"/>
  <c r="J4900"/>
  <c r="J4903"/>
  <c r="J4904"/>
  <c r="J4905"/>
  <c r="J4906"/>
  <c r="J4907"/>
  <c r="J4908"/>
  <c r="J4909"/>
  <c r="J4910"/>
  <c r="J4911"/>
  <c r="J4912"/>
  <c r="J4913"/>
  <c r="J4914"/>
  <c r="J4915"/>
  <c r="J4916"/>
  <c r="J4917"/>
  <c r="I4918"/>
  <c r="J4921"/>
  <c r="J4922"/>
  <c r="J4923"/>
  <c r="J4924"/>
  <c r="J4925"/>
  <c r="J4926"/>
  <c r="J4927"/>
  <c r="J4928"/>
  <c r="I3068"/>
  <c r="J3067"/>
  <c r="J3066"/>
  <c r="J3065"/>
  <c r="J3064"/>
  <c r="J3063"/>
  <c r="J3062"/>
  <c r="J3061"/>
  <c r="J3060"/>
  <c r="J3059"/>
  <c r="J3058"/>
  <c r="J3057"/>
  <c r="J3056"/>
  <c r="J3055"/>
  <c r="J3054"/>
  <c r="J3053"/>
  <c r="H3052"/>
  <c r="H3068" s="1"/>
  <c r="I3050"/>
  <c r="J3049"/>
  <c r="J3048"/>
  <c r="J3047"/>
  <c r="J3046"/>
  <c r="J3045"/>
  <c r="J3044"/>
  <c r="J3043"/>
  <c r="J3042"/>
  <c r="J3041"/>
  <c r="J3040"/>
  <c r="J3039"/>
  <c r="J3038"/>
  <c r="J3037"/>
  <c r="J3036"/>
  <c r="J3035"/>
  <c r="J3032"/>
  <c r="J3031"/>
  <c r="J3030"/>
  <c r="J3029"/>
  <c r="J3028"/>
  <c r="J3027"/>
  <c r="J3026"/>
  <c r="J3025"/>
  <c r="J3024"/>
  <c r="J3023"/>
  <c r="J3022"/>
  <c r="J3021"/>
  <c r="J3020"/>
  <c r="J3019"/>
  <c r="J3018"/>
  <c r="J3017"/>
  <c r="J3016"/>
  <c r="J3015"/>
  <c r="J3014"/>
  <c r="J3013"/>
  <c r="J3012"/>
  <c r="J3011"/>
  <c r="J3010"/>
  <c r="J3009"/>
  <c r="J3008"/>
  <c r="J3007"/>
  <c r="J3006"/>
  <c r="J3005"/>
  <c r="J3004"/>
  <c r="J3003"/>
  <c r="J3002"/>
  <c r="J3001"/>
  <c r="J3000"/>
  <c r="J2999"/>
  <c r="J2998"/>
  <c r="J2997"/>
  <c r="J2996"/>
  <c r="J2995"/>
  <c r="J2994"/>
  <c r="J2993"/>
  <c r="J2992"/>
  <c r="J2991"/>
  <c r="J2990"/>
  <c r="J2989"/>
  <c r="J2988"/>
  <c r="J2987"/>
  <c r="J2986"/>
  <c r="J2985"/>
  <c r="J2984"/>
  <c r="J2983"/>
  <c r="J2982"/>
  <c r="J2981"/>
  <c r="J2980"/>
  <c r="J2979"/>
  <c r="J2978"/>
  <c r="J2977"/>
  <c r="J2976"/>
  <c r="J2975"/>
  <c r="J2974"/>
  <c r="J2973"/>
  <c r="I2969"/>
  <c r="J2968"/>
  <c r="J2967"/>
  <c r="J2966"/>
  <c r="J2965"/>
  <c r="J2964"/>
  <c r="J2963"/>
  <c r="J2962"/>
  <c r="J2961"/>
  <c r="J2960"/>
  <c r="J2959"/>
  <c r="J2958"/>
  <c r="J2957"/>
  <c r="J2956"/>
  <c r="J2955"/>
  <c r="J2954"/>
  <c r="H2953"/>
  <c r="H2969" s="1"/>
  <c r="I2951"/>
  <c r="J2950"/>
  <c r="J2949"/>
  <c r="J2948"/>
  <c r="J2947"/>
  <c r="J2946"/>
  <c r="J2945"/>
  <c r="J2944"/>
  <c r="J2943"/>
  <c r="J2942"/>
  <c r="J2941"/>
  <c r="J2940"/>
  <c r="J2939"/>
  <c r="J2938"/>
  <c r="J2937"/>
  <c r="J2936"/>
  <c r="H2935"/>
  <c r="H2951" s="1"/>
  <c r="J2933"/>
  <c r="J2932"/>
  <c r="J2931"/>
  <c r="J2930"/>
  <c r="J2929"/>
  <c r="J2928"/>
  <c r="J2927"/>
  <c r="J2926"/>
  <c r="J2925"/>
  <c r="J2924"/>
  <c r="J2923"/>
  <c r="J2922"/>
  <c r="J2921"/>
  <c r="J2920"/>
  <c r="J2919"/>
  <c r="J2918"/>
  <c r="J2917"/>
  <c r="J2916"/>
  <c r="J2915"/>
  <c r="J2914"/>
  <c r="J2913"/>
  <c r="J2912"/>
  <c r="J2911"/>
  <c r="J2910"/>
  <c r="J2909"/>
  <c r="J2908"/>
  <c r="J2907"/>
  <c r="J2906"/>
  <c r="J2905"/>
  <c r="J2904"/>
  <c r="J2903"/>
  <c r="J2902"/>
  <c r="J2901"/>
  <c r="J2900"/>
  <c r="J2899"/>
  <c r="J2898"/>
  <c r="J2897"/>
  <c r="J2896"/>
  <c r="J2895"/>
  <c r="J2894"/>
  <c r="J2893"/>
  <c r="J2892"/>
  <c r="J2891"/>
  <c r="J2890"/>
  <c r="J2889"/>
  <c r="J2888"/>
  <c r="J2887"/>
  <c r="J2886"/>
  <c r="J2885"/>
  <c r="J2884"/>
  <c r="J2883"/>
  <c r="J2882"/>
  <c r="J2881"/>
  <c r="J2880"/>
  <c r="J2879"/>
  <c r="J2878"/>
  <c r="J2877"/>
  <c r="J2876"/>
  <c r="J2875"/>
  <c r="J2874"/>
  <c r="J3075"/>
  <c r="J3076"/>
  <c r="J3077"/>
  <c r="J3078"/>
  <c r="J3079"/>
  <c r="J3080"/>
  <c r="J3081"/>
  <c r="J3082"/>
  <c r="J3083"/>
  <c r="J3084"/>
  <c r="J3085"/>
  <c r="J3086"/>
  <c r="J3087"/>
  <c r="J3088"/>
  <c r="J3089"/>
  <c r="I3090"/>
  <c r="I2650"/>
  <c r="J2649"/>
  <c r="J2648"/>
  <c r="J2647"/>
  <c r="J2646"/>
  <c r="J2645"/>
  <c r="J2644"/>
  <c r="J2643"/>
  <c r="J2642"/>
  <c r="J2641"/>
  <c r="J2640"/>
  <c r="J2639"/>
  <c r="J2638"/>
  <c r="J2637"/>
  <c r="J2636"/>
  <c r="J2635"/>
  <c r="H2634"/>
  <c r="H2650" s="1"/>
  <c r="I2632"/>
  <c r="J2631"/>
  <c r="J2630"/>
  <c r="J2629"/>
  <c r="J2628"/>
  <c r="J2627"/>
  <c r="J2626"/>
  <c r="J2625"/>
  <c r="J2624"/>
  <c r="J2623"/>
  <c r="J2622"/>
  <c r="J2621"/>
  <c r="J2620"/>
  <c r="J2619"/>
  <c r="J2618"/>
  <c r="J2617"/>
  <c r="H2616"/>
  <c r="H2632" s="1"/>
  <c r="J2614"/>
  <c r="J2613"/>
  <c r="J2612"/>
  <c r="J2611"/>
  <c r="J2610"/>
  <c r="J2609"/>
  <c r="J2608"/>
  <c r="J2607"/>
  <c r="J2606"/>
  <c r="J2605"/>
  <c r="J2604"/>
  <c r="J2603"/>
  <c r="J2602"/>
  <c r="J2601"/>
  <c r="J2600"/>
  <c r="J2599"/>
  <c r="J2598"/>
  <c r="J2597"/>
  <c r="J2596"/>
  <c r="J2595"/>
  <c r="J2594"/>
  <c r="J2593"/>
  <c r="J2592"/>
  <c r="J2591"/>
  <c r="J2590"/>
  <c r="J2589"/>
  <c r="J2588"/>
  <c r="J2587"/>
  <c r="J2586"/>
  <c r="J2585"/>
  <c r="J2584"/>
  <c r="J2583"/>
  <c r="J2582"/>
  <c r="J2581"/>
  <c r="J2580"/>
  <c r="J2579"/>
  <c r="J2578"/>
  <c r="J2577"/>
  <c r="J2576"/>
  <c r="J2575"/>
  <c r="J2574"/>
  <c r="J2573"/>
  <c r="J2572"/>
  <c r="J2571"/>
  <c r="J2570"/>
  <c r="J2569"/>
  <c r="J2568"/>
  <c r="J2567"/>
  <c r="J2566"/>
  <c r="J2565"/>
  <c r="J2564"/>
  <c r="J2563"/>
  <c r="J2562"/>
  <c r="J2561"/>
  <c r="J2560"/>
  <c r="J2559"/>
  <c r="J2558"/>
  <c r="J2557"/>
  <c r="J2556"/>
  <c r="J2555"/>
  <c r="J2666"/>
  <c r="J2667"/>
  <c r="J2668"/>
  <c r="J2669"/>
  <c r="J2670"/>
  <c r="J2671"/>
  <c r="J2672"/>
  <c r="J2673"/>
  <c r="J2674"/>
  <c r="J2675"/>
  <c r="J2676"/>
  <c r="J2677"/>
  <c r="J2678"/>
  <c r="J2679"/>
  <c r="J2680"/>
  <c r="J2681"/>
  <c r="J2682"/>
  <c r="J2683"/>
  <c r="J2684"/>
  <c r="J2685"/>
  <c r="J2686"/>
  <c r="J2687"/>
  <c r="J2688"/>
  <c r="J2689"/>
  <c r="J2690"/>
  <c r="J2691"/>
  <c r="J2692"/>
  <c r="J2693"/>
  <c r="J2694"/>
  <c r="J2695"/>
  <c r="I2404"/>
  <c r="J2403"/>
  <c r="J2402"/>
  <c r="J2401"/>
  <c r="J2400"/>
  <c r="J2399"/>
  <c r="J2398"/>
  <c r="J2397"/>
  <c r="J2396"/>
  <c r="J2395"/>
  <c r="J2394"/>
  <c r="J2393"/>
  <c r="J2392"/>
  <c r="J2391"/>
  <c r="J2390"/>
  <c r="J2389"/>
  <c r="H2388"/>
  <c r="H2404" s="1"/>
  <c r="I2386"/>
  <c r="J2385"/>
  <c r="J2384"/>
  <c r="J2383"/>
  <c r="J2382"/>
  <c r="J2381"/>
  <c r="J2380"/>
  <c r="J2379"/>
  <c r="J2378"/>
  <c r="J2377"/>
  <c r="J2376"/>
  <c r="J2375"/>
  <c r="J2374"/>
  <c r="J2373"/>
  <c r="J2372"/>
  <c r="J2371"/>
  <c r="H2370"/>
  <c r="H2386" s="1"/>
  <c r="J2368"/>
  <c r="J2367"/>
  <c r="J2366"/>
  <c r="J2365"/>
  <c r="J2364"/>
  <c r="J2363"/>
  <c r="J2362"/>
  <c r="J2361"/>
  <c r="J2360"/>
  <c r="J2359"/>
  <c r="J2358"/>
  <c r="J2357"/>
  <c r="J2356"/>
  <c r="J2355"/>
  <c r="J2354"/>
  <c r="J2353"/>
  <c r="J2352"/>
  <c r="J2351"/>
  <c r="J2350"/>
  <c r="J2349"/>
  <c r="J2348"/>
  <c r="J2347"/>
  <c r="J2346"/>
  <c r="J2345"/>
  <c r="J2344"/>
  <c r="J2343"/>
  <c r="J2342"/>
  <c r="J2341"/>
  <c r="J2340"/>
  <c r="J2339"/>
  <c r="J2338"/>
  <c r="J2337"/>
  <c r="J2336"/>
  <c r="J2335"/>
  <c r="J2334"/>
  <c r="J2333"/>
  <c r="J2332"/>
  <c r="J2331"/>
  <c r="J2330"/>
  <c r="J2329"/>
  <c r="J2328"/>
  <c r="J2327"/>
  <c r="J2326"/>
  <c r="J2325"/>
  <c r="J2324"/>
  <c r="J2323"/>
  <c r="J2322"/>
  <c r="J2321"/>
  <c r="J2320"/>
  <c r="J2319"/>
  <c r="J2318"/>
  <c r="J2317"/>
  <c r="J2316"/>
  <c r="J2315"/>
  <c r="J2314"/>
  <c r="J2313"/>
  <c r="J2312"/>
  <c r="J2311"/>
  <c r="J2310"/>
  <c r="J2309"/>
  <c r="I2305"/>
  <c r="J2304"/>
  <c r="J2303"/>
  <c r="J2302"/>
  <c r="J2301"/>
  <c r="J2300"/>
  <c r="J2299"/>
  <c r="J2298"/>
  <c r="J2297"/>
  <c r="J2296"/>
  <c r="J2295"/>
  <c r="J2294"/>
  <c r="J2293"/>
  <c r="J2292"/>
  <c r="J2291"/>
  <c r="J2290"/>
  <c r="H2289"/>
  <c r="H2305" s="1"/>
  <c r="I2287"/>
  <c r="J2286"/>
  <c r="J2285"/>
  <c r="J2284"/>
  <c r="J2283"/>
  <c r="J2282"/>
  <c r="J2281"/>
  <c r="J2280"/>
  <c r="J2279"/>
  <c r="J2278"/>
  <c r="J2277"/>
  <c r="J2276"/>
  <c r="J2275"/>
  <c r="J2274"/>
  <c r="J2273"/>
  <c r="J2272"/>
  <c r="H2271"/>
  <c r="H2287" s="1"/>
  <c r="J2269"/>
  <c r="J2268"/>
  <c r="J2267"/>
  <c r="J2266"/>
  <c r="J2265"/>
  <c r="J2264"/>
  <c r="J2263"/>
  <c r="J2262"/>
  <c r="J2261"/>
  <c r="J2260"/>
  <c r="J2259"/>
  <c r="J2258"/>
  <c r="J2257"/>
  <c r="J2256"/>
  <c r="J2255"/>
  <c r="J2254"/>
  <c r="J2253"/>
  <c r="J2252"/>
  <c r="J2251"/>
  <c r="J2250"/>
  <c r="J2249"/>
  <c r="J2248"/>
  <c r="J2247"/>
  <c r="J2246"/>
  <c r="J2245"/>
  <c r="J2244"/>
  <c r="J2243"/>
  <c r="J2242"/>
  <c r="J2241"/>
  <c r="J2240"/>
  <c r="J2239"/>
  <c r="J2238"/>
  <c r="J2237"/>
  <c r="J2236"/>
  <c r="J2235"/>
  <c r="J2234"/>
  <c r="J2233"/>
  <c r="J2232"/>
  <c r="J2231"/>
  <c r="J2230"/>
  <c r="J2229"/>
  <c r="J2228"/>
  <c r="J2227"/>
  <c r="J2226"/>
  <c r="J2225"/>
  <c r="J2224"/>
  <c r="J2223"/>
  <c r="J2222"/>
  <c r="J2221"/>
  <c r="J2220"/>
  <c r="J2219"/>
  <c r="J2218"/>
  <c r="J2217"/>
  <c r="J2216"/>
  <c r="J2215"/>
  <c r="J2214"/>
  <c r="J2213"/>
  <c r="J2212"/>
  <c r="J2211"/>
  <c r="J2210"/>
  <c r="I2206"/>
  <c r="J2205"/>
  <c r="J2204"/>
  <c r="J2203"/>
  <c r="J2202"/>
  <c r="J2201"/>
  <c r="J2200"/>
  <c r="J2199"/>
  <c r="J2198"/>
  <c r="J2197"/>
  <c r="J2196"/>
  <c r="J2195"/>
  <c r="J2194"/>
  <c r="J2193"/>
  <c r="J2192"/>
  <c r="J2191"/>
  <c r="H2190"/>
  <c r="H2206" s="1"/>
  <c r="I2188"/>
  <c r="J2187"/>
  <c r="J2186"/>
  <c r="J2185"/>
  <c r="J2184"/>
  <c r="J2183"/>
  <c r="J2182"/>
  <c r="J2181"/>
  <c r="J2180"/>
  <c r="J2179"/>
  <c r="J2178"/>
  <c r="J2177"/>
  <c r="J2176"/>
  <c r="J2175"/>
  <c r="J2174"/>
  <c r="J2173"/>
  <c r="H2172"/>
  <c r="H2188" s="1"/>
  <c r="J2170"/>
  <c r="J2169"/>
  <c r="J2168"/>
  <c r="J2167"/>
  <c r="J2166"/>
  <c r="J2165"/>
  <c r="J2164"/>
  <c r="J2163"/>
  <c r="J2162"/>
  <c r="J2161"/>
  <c r="J2160"/>
  <c r="J2159"/>
  <c r="J2158"/>
  <c r="J2157"/>
  <c r="J2156"/>
  <c r="J2155"/>
  <c r="J2154"/>
  <c r="J2153"/>
  <c r="J2152"/>
  <c r="J2151"/>
  <c r="J2150"/>
  <c r="J2149"/>
  <c r="J2148"/>
  <c r="J2147"/>
  <c r="J2146"/>
  <c r="J2145"/>
  <c r="J2144"/>
  <c r="J2143"/>
  <c r="J2142"/>
  <c r="J2141"/>
  <c r="J2140"/>
  <c r="J2139"/>
  <c r="J2138"/>
  <c r="J2137"/>
  <c r="J2136"/>
  <c r="J2135"/>
  <c r="J2134"/>
  <c r="J2133"/>
  <c r="J2132"/>
  <c r="J2131"/>
  <c r="J2130"/>
  <c r="J2129"/>
  <c r="J2128"/>
  <c r="J2127"/>
  <c r="J2126"/>
  <c r="J2125"/>
  <c r="J2124"/>
  <c r="J2123"/>
  <c r="J2122"/>
  <c r="J2121"/>
  <c r="J2120"/>
  <c r="J2119"/>
  <c r="J2118"/>
  <c r="J2117"/>
  <c r="J2116"/>
  <c r="J2115"/>
  <c r="J2114"/>
  <c r="J2113"/>
  <c r="J2112"/>
  <c r="J2111"/>
  <c r="I2107"/>
  <c r="J2106"/>
  <c r="J2105"/>
  <c r="J2104"/>
  <c r="J2103"/>
  <c r="J2102"/>
  <c r="J2101"/>
  <c r="J2100"/>
  <c r="J2099"/>
  <c r="J2098"/>
  <c r="J2097"/>
  <c r="J2096"/>
  <c r="J2095"/>
  <c r="J2094"/>
  <c r="J2093"/>
  <c r="J2092"/>
  <c r="H2091"/>
  <c r="H2107" s="1"/>
  <c r="I2089"/>
  <c r="J2088"/>
  <c r="J2087"/>
  <c r="J2086"/>
  <c r="J2085"/>
  <c r="J2084"/>
  <c r="J2083"/>
  <c r="J2082"/>
  <c r="J2081"/>
  <c r="J2080"/>
  <c r="J2079"/>
  <c r="J2078"/>
  <c r="J2077"/>
  <c r="J2076"/>
  <c r="J2075"/>
  <c r="J2074"/>
  <c r="H2073"/>
  <c r="H2089" s="1"/>
  <c r="J2071"/>
  <c r="J2070"/>
  <c r="J2069"/>
  <c r="J2068"/>
  <c r="J2067"/>
  <c r="J2066"/>
  <c r="J2065"/>
  <c r="J2064"/>
  <c r="J2063"/>
  <c r="J2062"/>
  <c r="J2061"/>
  <c r="J2060"/>
  <c r="J2059"/>
  <c r="J2058"/>
  <c r="J2057"/>
  <c r="J2056"/>
  <c r="J2055"/>
  <c r="J2054"/>
  <c r="J2053"/>
  <c r="J2052"/>
  <c r="J2051"/>
  <c r="J2050"/>
  <c r="J2049"/>
  <c r="J2048"/>
  <c r="J2047"/>
  <c r="J2046"/>
  <c r="J2045"/>
  <c r="J2044"/>
  <c r="J2043"/>
  <c r="J2042"/>
  <c r="J2041"/>
  <c r="J2040"/>
  <c r="J2039"/>
  <c r="J2038"/>
  <c r="J2037"/>
  <c r="J2036"/>
  <c r="J2035"/>
  <c r="J2034"/>
  <c r="J2033"/>
  <c r="J2032"/>
  <c r="J2031"/>
  <c r="J2030"/>
  <c r="J2029"/>
  <c r="J2028"/>
  <c r="J2027"/>
  <c r="J2026"/>
  <c r="J2025"/>
  <c r="J2024"/>
  <c r="J2023"/>
  <c r="J2022"/>
  <c r="J2021"/>
  <c r="J2020"/>
  <c r="J2019"/>
  <c r="J2018"/>
  <c r="J2017"/>
  <c r="J2016"/>
  <c r="J2015"/>
  <c r="J2014"/>
  <c r="J2013"/>
  <c r="J2012"/>
  <c r="I2008"/>
  <c r="J2007"/>
  <c r="J2006"/>
  <c r="J2005"/>
  <c r="J2004"/>
  <c r="J2003"/>
  <c r="J2002"/>
  <c r="J2001"/>
  <c r="J2000"/>
  <c r="J1999"/>
  <c r="J1998"/>
  <c r="J1997"/>
  <c r="J1996"/>
  <c r="J1995"/>
  <c r="J1994"/>
  <c r="J1993"/>
  <c r="H1992"/>
  <c r="H2008" s="1"/>
  <c r="I1990"/>
  <c r="J1989"/>
  <c r="J1988"/>
  <c r="J1987"/>
  <c r="J1986"/>
  <c r="J1985"/>
  <c r="J1984"/>
  <c r="J1983"/>
  <c r="J1982"/>
  <c r="J1981"/>
  <c r="J1980"/>
  <c r="J1979"/>
  <c r="J1978"/>
  <c r="J1977"/>
  <c r="J1976"/>
  <c r="J1975"/>
  <c r="H1974"/>
  <c r="H1990" s="1"/>
  <c r="J1972"/>
  <c r="J1971"/>
  <c r="J1970"/>
  <c r="J1969"/>
  <c r="J1968"/>
  <c r="J1967"/>
  <c r="J1966"/>
  <c r="J1965"/>
  <c r="J1964"/>
  <c r="J1963"/>
  <c r="J1962"/>
  <c r="J1961"/>
  <c r="J1960"/>
  <c r="J1959"/>
  <c r="J1958"/>
  <c r="J1957"/>
  <c r="J1956"/>
  <c r="J1955"/>
  <c r="J1954"/>
  <c r="J1953"/>
  <c r="J1952"/>
  <c r="J1951"/>
  <c r="J1950"/>
  <c r="J1949"/>
  <c r="J1948"/>
  <c r="J1947"/>
  <c r="J1946"/>
  <c r="J1945"/>
  <c r="J1944"/>
  <c r="J1943"/>
  <c r="J1942"/>
  <c r="J1941"/>
  <c r="J1940"/>
  <c r="J1939"/>
  <c r="J1938"/>
  <c r="J1937"/>
  <c r="J1936"/>
  <c r="J1935"/>
  <c r="J1934"/>
  <c r="J1933"/>
  <c r="J1932"/>
  <c r="J1931"/>
  <c r="J1930"/>
  <c r="J1929"/>
  <c r="J1928"/>
  <c r="J1927"/>
  <c r="J1926"/>
  <c r="J1925"/>
  <c r="J1924"/>
  <c r="J1923"/>
  <c r="J1922"/>
  <c r="J1921"/>
  <c r="J1920"/>
  <c r="J1919"/>
  <c r="J1918"/>
  <c r="J1917"/>
  <c r="J1916"/>
  <c r="J1915"/>
  <c r="J1914"/>
  <c r="J1913"/>
  <c r="J2435"/>
  <c r="J2436"/>
  <c r="J2437"/>
  <c r="J2438"/>
  <c r="J2439"/>
  <c r="J2440"/>
  <c r="J2441"/>
  <c r="J2442"/>
  <c r="J2443"/>
  <c r="J2444"/>
  <c r="J2445"/>
  <c r="J2446"/>
  <c r="J2447"/>
  <c r="J2448"/>
  <c r="J2449"/>
  <c r="I2450"/>
  <c r="J2456"/>
  <c r="J2457"/>
  <c r="J2458"/>
  <c r="J2459"/>
  <c r="J2460"/>
  <c r="J2461"/>
  <c r="J2462"/>
  <c r="J2463"/>
  <c r="J2464"/>
  <c r="J2465"/>
  <c r="J2466"/>
  <c r="J2467"/>
  <c r="J2468"/>
  <c r="J2469"/>
  <c r="J2470"/>
  <c r="J2471"/>
  <c r="J2472"/>
  <c r="J2473"/>
  <c r="J2474"/>
  <c r="J2475"/>
  <c r="J2476"/>
  <c r="J2477"/>
  <c r="J2478"/>
  <c r="J2479"/>
  <c r="J2480"/>
  <c r="J2481"/>
  <c r="J2482"/>
  <c r="J2483"/>
  <c r="J2484"/>
  <c r="J2485"/>
  <c r="J2486"/>
  <c r="J2487"/>
  <c r="J2488"/>
  <c r="J2489"/>
  <c r="J2490"/>
  <c r="J2491"/>
  <c r="J2492"/>
  <c r="J2493"/>
  <c r="J2494"/>
  <c r="J2495"/>
  <c r="J2496"/>
  <c r="J2497"/>
  <c r="J2498"/>
  <c r="J2499"/>
  <c r="J2500"/>
  <c r="J2501"/>
  <c r="J2502"/>
  <c r="J2503"/>
  <c r="J2504"/>
  <c r="J2505"/>
  <c r="J2506"/>
  <c r="J2507"/>
  <c r="J2508"/>
  <c r="J2509"/>
  <c r="J2510"/>
  <c r="J2511"/>
  <c r="J2512"/>
  <c r="J2513"/>
  <c r="J2514"/>
  <c r="J2515"/>
  <c r="H2517"/>
  <c r="J2517"/>
  <c r="J2518"/>
  <c r="I1909"/>
  <c r="J1908"/>
  <c r="J1907"/>
  <c r="J1906"/>
  <c r="J1905"/>
  <c r="J1904"/>
  <c r="J1903"/>
  <c r="J1902"/>
  <c r="J1901"/>
  <c r="J1900"/>
  <c r="J1899"/>
  <c r="J1898"/>
  <c r="J1897"/>
  <c r="J1896"/>
  <c r="J1895"/>
  <c r="J1894"/>
  <c r="H1893"/>
  <c r="H1909" s="1"/>
  <c r="I1891"/>
  <c r="J1890"/>
  <c r="J1889"/>
  <c r="J1888"/>
  <c r="J1887"/>
  <c r="J1886"/>
  <c r="J1885"/>
  <c r="J1884"/>
  <c r="J1883"/>
  <c r="J1882"/>
  <c r="J1881"/>
  <c r="J1880"/>
  <c r="J1879"/>
  <c r="J1878"/>
  <c r="J1877"/>
  <c r="J1876"/>
  <c r="H1875"/>
  <c r="H1891" s="1"/>
  <c r="J1873"/>
  <c r="J1872"/>
  <c r="J1871"/>
  <c r="J1870"/>
  <c r="J1869"/>
  <c r="J1868"/>
  <c r="J1867"/>
  <c r="J1866"/>
  <c r="J1865"/>
  <c r="J1864"/>
  <c r="J1863"/>
  <c r="J1862"/>
  <c r="J1861"/>
  <c r="J1860"/>
  <c r="J1859"/>
  <c r="J1858"/>
  <c r="J1857"/>
  <c r="J1856"/>
  <c r="J1855"/>
  <c r="J1854"/>
  <c r="J1853"/>
  <c r="J1852"/>
  <c r="J1851"/>
  <c r="J1850"/>
  <c r="J1849"/>
  <c r="J1848"/>
  <c r="J1847"/>
  <c r="J1846"/>
  <c r="J1845"/>
  <c r="J1844"/>
  <c r="J1843"/>
  <c r="J1842"/>
  <c r="J1841"/>
  <c r="J1840"/>
  <c r="J1839"/>
  <c r="J1838"/>
  <c r="J1837"/>
  <c r="J1836"/>
  <c r="J1835"/>
  <c r="J1834"/>
  <c r="J1833"/>
  <c r="J1832"/>
  <c r="J1831"/>
  <c r="J1830"/>
  <c r="J1829"/>
  <c r="J1828"/>
  <c r="J1827"/>
  <c r="J1826"/>
  <c r="J1825"/>
  <c r="J1824"/>
  <c r="J1823"/>
  <c r="J1822"/>
  <c r="J1821"/>
  <c r="J1820"/>
  <c r="J1819"/>
  <c r="J1818"/>
  <c r="J1817"/>
  <c r="J1816"/>
  <c r="J1815"/>
  <c r="J1814"/>
  <c r="I1810"/>
  <c r="J1809"/>
  <c r="J1808"/>
  <c r="J1807"/>
  <c r="J1806"/>
  <c r="J1805"/>
  <c r="J1804"/>
  <c r="J1803"/>
  <c r="J1802"/>
  <c r="J1801"/>
  <c r="J1800"/>
  <c r="J1799"/>
  <c r="J1798"/>
  <c r="J1797"/>
  <c r="J1796"/>
  <c r="J1795"/>
  <c r="H1794"/>
  <c r="H1810" s="1"/>
  <c r="I1792"/>
  <c r="J1791"/>
  <c r="J1790"/>
  <c r="J1789"/>
  <c r="J1788"/>
  <c r="J1787"/>
  <c r="J1786"/>
  <c r="J1785"/>
  <c r="J1784"/>
  <c r="J1783"/>
  <c r="J1782"/>
  <c r="J1781"/>
  <c r="J1780"/>
  <c r="J1779"/>
  <c r="J1778"/>
  <c r="J1777"/>
  <c r="H1776"/>
  <c r="H1792" s="1"/>
  <c r="J1774"/>
  <c r="J1773"/>
  <c r="J1772"/>
  <c r="J1771"/>
  <c r="J1770"/>
  <c r="J1769"/>
  <c r="J1768"/>
  <c r="J1767"/>
  <c r="J1766"/>
  <c r="J1765"/>
  <c r="J1764"/>
  <c r="J1763"/>
  <c r="J1762"/>
  <c r="J1761"/>
  <c r="J1760"/>
  <c r="J1759"/>
  <c r="J1758"/>
  <c r="J1757"/>
  <c r="J1756"/>
  <c r="J1755"/>
  <c r="J1754"/>
  <c r="J1753"/>
  <c r="J1752"/>
  <c r="J1751"/>
  <c r="J1750"/>
  <c r="J1749"/>
  <c r="J1748"/>
  <c r="J1747"/>
  <c r="J1746"/>
  <c r="J1745"/>
  <c r="J1744"/>
  <c r="J1743"/>
  <c r="J1742"/>
  <c r="J1741"/>
  <c r="J1740"/>
  <c r="J1739"/>
  <c r="J1738"/>
  <c r="J1737"/>
  <c r="J1736"/>
  <c r="J1735"/>
  <c r="J1734"/>
  <c r="J1733"/>
  <c r="J1732"/>
  <c r="J1731"/>
  <c r="J1730"/>
  <c r="J1729"/>
  <c r="J1728"/>
  <c r="J1727"/>
  <c r="J1726"/>
  <c r="J1725"/>
  <c r="J1724"/>
  <c r="J1723"/>
  <c r="J1722"/>
  <c r="J1721"/>
  <c r="J1720"/>
  <c r="J1719"/>
  <c r="J1718"/>
  <c r="J1717"/>
  <c r="J1716"/>
  <c r="J1715"/>
  <c r="I890"/>
  <c r="I1017"/>
  <c r="I847"/>
  <c r="D532" i="7"/>
  <c r="D533"/>
  <c r="D534"/>
  <c r="D535"/>
  <c r="D536"/>
  <c r="D537"/>
  <c r="J889" i="8"/>
  <c r="J888"/>
  <c r="J887"/>
  <c r="J886"/>
  <c r="J885"/>
  <c r="J884"/>
  <c r="J883"/>
  <c r="J882"/>
  <c r="J881"/>
  <c r="J880"/>
  <c r="J879"/>
  <c r="J878"/>
  <c r="J877"/>
  <c r="J876"/>
  <c r="J875"/>
  <c r="H874"/>
  <c r="H890" s="1"/>
  <c r="I872"/>
  <c r="J871"/>
  <c r="J870"/>
  <c r="J869"/>
  <c r="J868"/>
  <c r="J867"/>
  <c r="J866"/>
  <c r="J865"/>
  <c r="J864"/>
  <c r="J863"/>
  <c r="J862"/>
  <c r="J861"/>
  <c r="J860"/>
  <c r="J859"/>
  <c r="J858"/>
  <c r="J857"/>
  <c r="H856"/>
  <c r="H872" s="1"/>
  <c r="H502"/>
  <c r="H518" s="1"/>
  <c r="I518"/>
  <c r="J517"/>
  <c r="J516"/>
  <c r="J515"/>
  <c r="J514"/>
  <c r="J513"/>
  <c r="J512"/>
  <c r="J511"/>
  <c r="J510"/>
  <c r="J509"/>
  <c r="J508"/>
  <c r="J507"/>
  <c r="J506"/>
  <c r="J505"/>
  <c r="J504"/>
  <c r="J503"/>
  <c r="I500"/>
  <c r="J499"/>
  <c r="J498"/>
  <c r="J497"/>
  <c r="J496"/>
  <c r="J495"/>
  <c r="J494"/>
  <c r="J493"/>
  <c r="J492"/>
  <c r="J491"/>
  <c r="J490"/>
  <c r="J489"/>
  <c r="J488"/>
  <c r="J487"/>
  <c r="J486"/>
  <c r="J485"/>
  <c r="J481"/>
  <c r="J480"/>
  <c r="J479"/>
  <c r="J478"/>
  <c r="J477"/>
  <c r="J476"/>
  <c r="J475"/>
  <c r="J474"/>
  <c r="J473"/>
  <c r="J472"/>
  <c r="J471"/>
  <c r="J470"/>
  <c r="J469"/>
  <c r="J468"/>
  <c r="G6" i="3"/>
  <c r="G96"/>
  <c r="G94"/>
  <c r="G93"/>
  <c r="G90"/>
  <c r="G88"/>
  <c r="G87"/>
  <c r="G84"/>
  <c r="G82"/>
  <c r="G79"/>
  <c r="G80"/>
  <c r="G78"/>
  <c r="G76"/>
  <c r="G75"/>
  <c r="G73"/>
  <c r="G72"/>
  <c r="G65"/>
  <c r="G66"/>
  <c r="G67"/>
  <c r="G68"/>
  <c r="G69"/>
  <c r="G70"/>
  <c r="G64"/>
  <c r="G53"/>
  <c r="G54"/>
  <c r="G55"/>
  <c r="G56"/>
  <c r="G57"/>
  <c r="G58"/>
  <c r="G59"/>
  <c r="G60"/>
  <c r="G61"/>
  <c r="G62"/>
  <c r="G52"/>
  <c r="G48"/>
  <c r="G49"/>
  <c r="G47"/>
  <c r="G45"/>
  <c r="G42"/>
  <c r="G34"/>
  <c r="G35"/>
  <c r="G36"/>
  <c r="G37"/>
  <c r="G38"/>
  <c r="G39"/>
  <c r="G40"/>
  <c r="G33"/>
  <c r="G24"/>
  <c r="G25"/>
  <c r="G26"/>
  <c r="G27"/>
  <c r="G28"/>
  <c r="G29"/>
  <c r="G30"/>
  <c r="G31"/>
  <c r="G23"/>
  <c r="G11"/>
  <c r="G12"/>
  <c r="G13"/>
  <c r="G14"/>
  <c r="G15"/>
  <c r="G16"/>
  <c r="G17"/>
  <c r="G18"/>
  <c r="G19"/>
  <c r="G20"/>
  <c r="G21"/>
  <c r="G10"/>
  <c r="H1084" i="8"/>
  <c r="J750"/>
  <c r="H5039"/>
  <c r="J5032"/>
  <c r="J5033"/>
  <c r="J12648" l="1"/>
  <c r="H12630"/>
  <c r="H12648" s="1"/>
  <c r="I6748"/>
  <c r="I7360" s="1"/>
  <c r="I7361" s="1"/>
  <c r="I7379" s="1"/>
  <c r="I7380" s="1"/>
  <c r="J6747"/>
  <c r="J12268"/>
  <c r="I12269"/>
  <c r="J12269" s="1"/>
  <c r="J12256"/>
  <c r="I12258"/>
  <c r="I12421"/>
  <c r="I12424" s="1"/>
  <c r="J12421"/>
  <c r="H12423"/>
  <c r="H12424" s="1"/>
  <c r="J12424" s="1"/>
  <c r="I3688"/>
  <c r="I3691" s="1"/>
  <c r="H4902"/>
  <c r="J3034"/>
  <c r="J3050" s="1"/>
  <c r="J3052"/>
  <c r="J3068" s="1"/>
  <c r="J2935"/>
  <c r="J2951" s="1"/>
  <c r="J2953"/>
  <c r="J2969" s="1"/>
  <c r="J2616"/>
  <c r="J2632" s="1"/>
  <c r="J2634"/>
  <c r="J2650" s="1"/>
  <c r="J2370"/>
  <c r="J2386" s="1"/>
  <c r="J2388"/>
  <c r="J2404" s="1"/>
  <c r="J2271"/>
  <c r="J2287" s="1"/>
  <c r="J2289"/>
  <c r="J2305" s="1"/>
  <c r="J2172"/>
  <c r="J2188" s="1"/>
  <c r="J2190"/>
  <c r="J2206" s="1"/>
  <c r="J2073"/>
  <c r="J2089" s="1"/>
  <c r="J2091"/>
  <c r="J2107" s="1"/>
  <c r="J1974"/>
  <c r="J1990" s="1"/>
  <c r="J1992"/>
  <c r="J2008" s="1"/>
  <c r="J1875"/>
  <c r="J1891" s="1"/>
  <c r="J1893"/>
  <c r="J1909" s="1"/>
  <c r="J1776"/>
  <c r="J1792" s="1"/>
  <c r="J1794"/>
  <c r="J1810" s="1"/>
  <c r="J856"/>
  <c r="J872" s="1"/>
  <c r="J874"/>
  <c r="J890" s="1"/>
  <c r="G9" i="3"/>
  <c r="H90" i="8"/>
  <c r="H72"/>
  <c r="J12258" l="1"/>
  <c r="I12259"/>
  <c r="H12515"/>
  <c r="H12533"/>
  <c r="J4902"/>
  <c r="J4918" s="1"/>
  <c r="H4918"/>
  <c r="H4920"/>
  <c r="J4920" s="1"/>
  <c r="I310"/>
  <c r="D63" i="7"/>
  <c r="F63"/>
  <c r="C84" i="5"/>
  <c r="F534" i="7"/>
  <c r="F533"/>
  <c r="J12259" i="8" l="1"/>
  <c r="I12320"/>
  <c r="I12311"/>
  <c r="J12533"/>
  <c r="J12549" s="1"/>
  <c r="H12549"/>
  <c r="J12515"/>
  <c r="J12531" s="1"/>
  <c r="H12531"/>
  <c r="C137" i="6"/>
  <c r="D538" i="7"/>
  <c r="I12330" i="8" l="1"/>
  <c r="I13809"/>
  <c r="I13987" s="1"/>
  <c r="I11533"/>
  <c r="J11532"/>
  <c r="J11531"/>
  <c r="J11530"/>
  <c r="J11529"/>
  <c r="J11528"/>
  <c r="J11527"/>
  <c r="J11526"/>
  <c r="J11525"/>
  <c r="J11524"/>
  <c r="J11523"/>
  <c r="J11522"/>
  <c r="J11521"/>
  <c r="J11520"/>
  <c r="J11519"/>
  <c r="J11518"/>
  <c r="H11517"/>
  <c r="H11533" s="1"/>
  <c r="I11515"/>
  <c r="J11514"/>
  <c r="J11513"/>
  <c r="J11512"/>
  <c r="J11511"/>
  <c r="J11510"/>
  <c r="J11509"/>
  <c r="J11508"/>
  <c r="J11507"/>
  <c r="J11506"/>
  <c r="J11505"/>
  <c r="J11504"/>
  <c r="J11503"/>
  <c r="J11502"/>
  <c r="J11501"/>
  <c r="J11500"/>
  <c r="H11499"/>
  <c r="H11515" s="1"/>
  <c r="J11497"/>
  <c r="J11496"/>
  <c r="J11495"/>
  <c r="J11494"/>
  <c r="J11493"/>
  <c r="J11492"/>
  <c r="J11491"/>
  <c r="J11490"/>
  <c r="J11489"/>
  <c r="J11488"/>
  <c r="J11487"/>
  <c r="J11486"/>
  <c r="J11485"/>
  <c r="J11484"/>
  <c r="J11483"/>
  <c r="J11482"/>
  <c r="J11481"/>
  <c r="J11480"/>
  <c r="J11479"/>
  <c r="J11478"/>
  <c r="J11477"/>
  <c r="J11476"/>
  <c r="J11475"/>
  <c r="J11474"/>
  <c r="J11473"/>
  <c r="J11472"/>
  <c r="J11471"/>
  <c r="J11470"/>
  <c r="J11469"/>
  <c r="J11468"/>
  <c r="J11467"/>
  <c r="J11466"/>
  <c r="J11465"/>
  <c r="J11464"/>
  <c r="J11463"/>
  <c r="J11462"/>
  <c r="J11461"/>
  <c r="J11460"/>
  <c r="J11459"/>
  <c r="J11458"/>
  <c r="J11457"/>
  <c r="J11456"/>
  <c r="J11455"/>
  <c r="J11454"/>
  <c r="J11453"/>
  <c r="J11452"/>
  <c r="J11451"/>
  <c r="J11450"/>
  <c r="J11449"/>
  <c r="J11448"/>
  <c r="J11447"/>
  <c r="J11446"/>
  <c r="J11445"/>
  <c r="J11444"/>
  <c r="J11443"/>
  <c r="J11442"/>
  <c r="J11441"/>
  <c r="J11440"/>
  <c r="J11439"/>
  <c r="J11438"/>
  <c r="I11434"/>
  <c r="J11433"/>
  <c r="J11432"/>
  <c r="J11431"/>
  <c r="J11430"/>
  <c r="J11429"/>
  <c r="J11428"/>
  <c r="J11427"/>
  <c r="J11426"/>
  <c r="J11425"/>
  <c r="J11424"/>
  <c r="J11423"/>
  <c r="J11422"/>
  <c r="J11421"/>
  <c r="J11420"/>
  <c r="J11419"/>
  <c r="H11418"/>
  <c r="H11434" s="1"/>
  <c r="I11416"/>
  <c r="J11415"/>
  <c r="J11414"/>
  <c r="J11413"/>
  <c r="J11412"/>
  <c r="J11411"/>
  <c r="J11410"/>
  <c r="J11409"/>
  <c r="J11408"/>
  <c r="J11407"/>
  <c r="J11406"/>
  <c r="J11405"/>
  <c r="J11404"/>
  <c r="J11403"/>
  <c r="J11402"/>
  <c r="J11401"/>
  <c r="H11400"/>
  <c r="H11416" s="1"/>
  <c r="J11398"/>
  <c r="J11397"/>
  <c r="J11396"/>
  <c r="J11395"/>
  <c r="J11394"/>
  <c r="J11393"/>
  <c r="J11392"/>
  <c r="J11391"/>
  <c r="J11390"/>
  <c r="J11389"/>
  <c r="J11388"/>
  <c r="J11387"/>
  <c r="J11386"/>
  <c r="J11385"/>
  <c r="J11384"/>
  <c r="J11383"/>
  <c r="J11382"/>
  <c r="J11381"/>
  <c r="J11380"/>
  <c r="J11379"/>
  <c r="J11378"/>
  <c r="J11377"/>
  <c r="J11376"/>
  <c r="J11375"/>
  <c r="J11374"/>
  <c r="J11373"/>
  <c r="J11372"/>
  <c r="J11371"/>
  <c r="J11370"/>
  <c r="J11369"/>
  <c r="J11368"/>
  <c r="J11367"/>
  <c r="J11366"/>
  <c r="J11365"/>
  <c r="J11364"/>
  <c r="J11363"/>
  <c r="J11362"/>
  <c r="J11361"/>
  <c r="J11360"/>
  <c r="J11359"/>
  <c r="J11358"/>
  <c r="J11357"/>
  <c r="J11356"/>
  <c r="J11355"/>
  <c r="J11354"/>
  <c r="J11353"/>
  <c r="J11352"/>
  <c r="J11351"/>
  <c r="J11350"/>
  <c r="J11349"/>
  <c r="J11348"/>
  <c r="J11347"/>
  <c r="J11346"/>
  <c r="J11345"/>
  <c r="J11344"/>
  <c r="J11343"/>
  <c r="J11342"/>
  <c r="J11341"/>
  <c r="J11340"/>
  <c r="J11339"/>
  <c r="I11335"/>
  <c r="J11334"/>
  <c r="J11333"/>
  <c r="J11332"/>
  <c r="J11331"/>
  <c r="J11330"/>
  <c r="J11329"/>
  <c r="J11328"/>
  <c r="J11327"/>
  <c r="J11326"/>
  <c r="J11325"/>
  <c r="J11324"/>
  <c r="J11323"/>
  <c r="J11322"/>
  <c r="J11321"/>
  <c r="J11320"/>
  <c r="H11319"/>
  <c r="H11335" s="1"/>
  <c r="I11317"/>
  <c r="J11316"/>
  <c r="J11315"/>
  <c r="J11314"/>
  <c r="J11313"/>
  <c r="J11312"/>
  <c r="J11311"/>
  <c r="J11310"/>
  <c r="J11309"/>
  <c r="J11308"/>
  <c r="J11307"/>
  <c r="J11306"/>
  <c r="J11305"/>
  <c r="J11304"/>
  <c r="J11303"/>
  <c r="J11302"/>
  <c r="H11301"/>
  <c r="H11317" s="1"/>
  <c r="J11299"/>
  <c r="J11298"/>
  <c r="J11297"/>
  <c r="J11296"/>
  <c r="J11295"/>
  <c r="J11294"/>
  <c r="J11293"/>
  <c r="J11292"/>
  <c r="J11291"/>
  <c r="J11290"/>
  <c r="J11289"/>
  <c r="J11288"/>
  <c r="J11287"/>
  <c r="J11286"/>
  <c r="J11285"/>
  <c r="J11284"/>
  <c r="J11283"/>
  <c r="J11282"/>
  <c r="J11281"/>
  <c r="J11280"/>
  <c r="J11279"/>
  <c r="J11278"/>
  <c r="J11277"/>
  <c r="J11276"/>
  <c r="J11275"/>
  <c r="J11274"/>
  <c r="J11273"/>
  <c r="J11272"/>
  <c r="J11271"/>
  <c r="J11270"/>
  <c r="J11269"/>
  <c r="J11268"/>
  <c r="J11267"/>
  <c r="J11266"/>
  <c r="J11265"/>
  <c r="J11264"/>
  <c r="J11263"/>
  <c r="J11262"/>
  <c r="J11261"/>
  <c r="J11260"/>
  <c r="J11259"/>
  <c r="J11258"/>
  <c r="J11257"/>
  <c r="J11256"/>
  <c r="J11255"/>
  <c r="J11254"/>
  <c r="J11253"/>
  <c r="J11252"/>
  <c r="J11251"/>
  <c r="J11250"/>
  <c r="J11249"/>
  <c r="J11248"/>
  <c r="J11247"/>
  <c r="J11246"/>
  <c r="J11245"/>
  <c r="J11244"/>
  <c r="J11243"/>
  <c r="J11242"/>
  <c r="J11241"/>
  <c r="J11240"/>
  <c r="I11236"/>
  <c r="J11235"/>
  <c r="J11234"/>
  <c r="J11233"/>
  <c r="J11232"/>
  <c r="J11231"/>
  <c r="J11230"/>
  <c r="J11229"/>
  <c r="J11228"/>
  <c r="J11227"/>
  <c r="J11226"/>
  <c r="J11225"/>
  <c r="J11224"/>
  <c r="J11223"/>
  <c r="J11222"/>
  <c r="J11221"/>
  <c r="H11220"/>
  <c r="H11236" s="1"/>
  <c r="I11218"/>
  <c r="J11217"/>
  <c r="J11216"/>
  <c r="J11215"/>
  <c r="J11214"/>
  <c r="J11213"/>
  <c r="J11212"/>
  <c r="J11211"/>
  <c r="J11210"/>
  <c r="J11209"/>
  <c r="J11208"/>
  <c r="J11207"/>
  <c r="J11206"/>
  <c r="J11205"/>
  <c r="J11204"/>
  <c r="J11203"/>
  <c r="H11202"/>
  <c r="H11218" s="1"/>
  <c r="J11200"/>
  <c r="J11199"/>
  <c r="J11198"/>
  <c r="J11197"/>
  <c r="J11196"/>
  <c r="J11195"/>
  <c r="J11194"/>
  <c r="J11193"/>
  <c r="J11192"/>
  <c r="J11191"/>
  <c r="J11190"/>
  <c r="J11189"/>
  <c r="J11188"/>
  <c r="J11187"/>
  <c r="J11186"/>
  <c r="J11185"/>
  <c r="J11184"/>
  <c r="J11183"/>
  <c r="J11182"/>
  <c r="J11181"/>
  <c r="J11180"/>
  <c r="J11179"/>
  <c r="J11178"/>
  <c r="J11177"/>
  <c r="J11176"/>
  <c r="J11175"/>
  <c r="J11174"/>
  <c r="J11173"/>
  <c r="J11172"/>
  <c r="J11171"/>
  <c r="J11170"/>
  <c r="J11169"/>
  <c r="J11168"/>
  <c r="J11167"/>
  <c r="J11166"/>
  <c r="J11165"/>
  <c r="J11164"/>
  <c r="J11163"/>
  <c r="J11162"/>
  <c r="J11161"/>
  <c r="J11160"/>
  <c r="J11159"/>
  <c r="J11158"/>
  <c r="J11157"/>
  <c r="J11156"/>
  <c r="J11155"/>
  <c r="J11154"/>
  <c r="J11153"/>
  <c r="J11152"/>
  <c r="J11151"/>
  <c r="J11150"/>
  <c r="J11149"/>
  <c r="J11148"/>
  <c r="J11147"/>
  <c r="J11146"/>
  <c r="J11145"/>
  <c r="J11144"/>
  <c r="J11143"/>
  <c r="J11142"/>
  <c r="J11141"/>
  <c r="I11137"/>
  <c r="J11136"/>
  <c r="J11135"/>
  <c r="J11134"/>
  <c r="J11133"/>
  <c r="J11132"/>
  <c r="J11131"/>
  <c r="J11130"/>
  <c r="J11129"/>
  <c r="J11128"/>
  <c r="J11127"/>
  <c r="J11126"/>
  <c r="J11125"/>
  <c r="J11124"/>
  <c r="J11123"/>
  <c r="J11122"/>
  <c r="H11121"/>
  <c r="H11137" s="1"/>
  <c r="I11119"/>
  <c r="J11118"/>
  <c r="J11117"/>
  <c r="J11116"/>
  <c r="J11115"/>
  <c r="J11114"/>
  <c r="J11113"/>
  <c r="J11112"/>
  <c r="J11111"/>
  <c r="J11110"/>
  <c r="J11109"/>
  <c r="J11108"/>
  <c r="J11107"/>
  <c r="J11106"/>
  <c r="J11105"/>
  <c r="J11104"/>
  <c r="H11103"/>
  <c r="H11119" s="1"/>
  <c r="J11101"/>
  <c r="J11100"/>
  <c r="J11099"/>
  <c r="J11098"/>
  <c r="J11097"/>
  <c r="J11096"/>
  <c r="J11095"/>
  <c r="J11094"/>
  <c r="J11093"/>
  <c r="J11092"/>
  <c r="J11091"/>
  <c r="J11090"/>
  <c r="J11089"/>
  <c r="J11088"/>
  <c r="J11087"/>
  <c r="J11086"/>
  <c r="J11085"/>
  <c r="J11084"/>
  <c r="J11083"/>
  <c r="J11082"/>
  <c r="J11081"/>
  <c r="J11080"/>
  <c r="J11079"/>
  <c r="J11078"/>
  <c r="J11077"/>
  <c r="J11076"/>
  <c r="J11075"/>
  <c r="J11074"/>
  <c r="J11073"/>
  <c r="J11072"/>
  <c r="J11071"/>
  <c r="J11070"/>
  <c r="J11069"/>
  <c r="J11068"/>
  <c r="J11067"/>
  <c r="J11066"/>
  <c r="J11065"/>
  <c r="J11064"/>
  <c r="J11063"/>
  <c r="J11062"/>
  <c r="J11061"/>
  <c r="J11060"/>
  <c r="J11059"/>
  <c r="J11058"/>
  <c r="J11057"/>
  <c r="J11056"/>
  <c r="J11055"/>
  <c r="J11054"/>
  <c r="J11053"/>
  <c r="J11052"/>
  <c r="J11051"/>
  <c r="J11050"/>
  <c r="J11049"/>
  <c r="J11048"/>
  <c r="J11047"/>
  <c r="J11046"/>
  <c r="J11045"/>
  <c r="J11044"/>
  <c r="J11043"/>
  <c r="J11042"/>
  <c r="I11038"/>
  <c r="J11037"/>
  <c r="J11036"/>
  <c r="J11035"/>
  <c r="J11034"/>
  <c r="J11033"/>
  <c r="J11032"/>
  <c r="J11031"/>
  <c r="J11030"/>
  <c r="J11029"/>
  <c r="J11028"/>
  <c r="J11027"/>
  <c r="J11026"/>
  <c r="J11025"/>
  <c r="J11024"/>
  <c r="J11023"/>
  <c r="H11022"/>
  <c r="H11038" s="1"/>
  <c r="I11020"/>
  <c r="J11019"/>
  <c r="J11018"/>
  <c r="J11017"/>
  <c r="J11016"/>
  <c r="J11015"/>
  <c r="J11014"/>
  <c r="J11013"/>
  <c r="J11012"/>
  <c r="J11011"/>
  <c r="J11010"/>
  <c r="J11009"/>
  <c r="J11008"/>
  <c r="J11007"/>
  <c r="J11006"/>
  <c r="J11005"/>
  <c r="H11004"/>
  <c r="H11020" s="1"/>
  <c r="J11002"/>
  <c r="J11001"/>
  <c r="J11000"/>
  <c r="J10999"/>
  <c r="J10998"/>
  <c r="J10997"/>
  <c r="J10996"/>
  <c r="J10995"/>
  <c r="J10994"/>
  <c r="J10993"/>
  <c r="J10992"/>
  <c r="J10991"/>
  <c r="J10990"/>
  <c r="J10989"/>
  <c r="J10988"/>
  <c r="J10987"/>
  <c r="J10986"/>
  <c r="J10985"/>
  <c r="J10984"/>
  <c r="J10983"/>
  <c r="J10982"/>
  <c r="J10981"/>
  <c r="J10980"/>
  <c r="J10979"/>
  <c r="J10978"/>
  <c r="J10977"/>
  <c r="J10976"/>
  <c r="J10975"/>
  <c r="J10974"/>
  <c r="J10973"/>
  <c r="J10972"/>
  <c r="J10971"/>
  <c r="J10970"/>
  <c r="J10969"/>
  <c r="J10968"/>
  <c r="J10967"/>
  <c r="J10966"/>
  <c r="J10965"/>
  <c r="J10964"/>
  <c r="J10963"/>
  <c r="J10962"/>
  <c r="J10961"/>
  <c r="J10960"/>
  <c r="J10959"/>
  <c r="J10958"/>
  <c r="J10957"/>
  <c r="J10956"/>
  <c r="J10955"/>
  <c r="J10954"/>
  <c r="J10953"/>
  <c r="J10952"/>
  <c r="J10951"/>
  <c r="J10950"/>
  <c r="J10949"/>
  <c r="J10948"/>
  <c r="J10947"/>
  <c r="J10946"/>
  <c r="J10945"/>
  <c r="J10944"/>
  <c r="J10943"/>
  <c r="I10939"/>
  <c r="J10938"/>
  <c r="J10937"/>
  <c r="J10936"/>
  <c r="J10935"/>
  <c r="J10934"/>
  <c r="J10933"/>
  <c r="J10932"/>
  <c r="J10931"/>
  <c r="J10930"/>
  <c r="J10929"/>
  <c r="J10928"/>
  <c r="J10927"/>
  <c r="J10926"/>
  <c r="J10925"/>
  <c r="J10924"/>
  <c r="H10923"/>
  <c r="H10939" s="1"/>
  <c r="I10921"/>
  <c r="J10920"/>
  <c r="J10919"/>
  <c r="J10918"/>
  <c r="J10917"/>
  <c r="J10916"/>
  <c r="J10915"/>
  <c r="J10914"/>
  <c r="J10913"/>
  <c r="J10912"/>
  <c r="J10911"/>
  <c r="J10910"/>
  <c r="J10909"/>
  <c r="J10908"/>
  <c r="J10907"/>
  <c r="J10906"/>
  <c r="H10905"/>
  <c r="H10921" s="1"/>
  <c r="J10903"/>
  <c r="J10902"/>
  <c r="J10901"/>
  <c r="J10900"/>
  <c r="J10899"/>
  <c r="J10898"/>
  <c r="J10897"/>
  <c r="J10896"/>
  <c r="J10895"/>
  <c r="J10894"/>
  <c r="J10893"/>
  <c r="J10892"/>
  <c r="J10891"/>
  <c r="J10890"/>
  <c r="J10889"/>
  <c r="J10888"/>
  <c r="J10887"/>
  <c r="J10886"/>
  <c r="J10885"/>
  <c r="J10884"/>
  <c r="J10883"/>
  <c r="J10882"/>
  <c r="J10881"/>
  <c r="J10880"/>
  <c r="J10879"/>
  <c r="J10878"/>
  <c r="J10877"/>
  <c r="J10876"/>
  <c r="J10875"/>
  <c r="J10874"/>
  <c r="J10873"/>
  <c r="J10872"/>
  <c r="J10871"/>
  <c r="J10870"/>
  <c r="J10869"/>
  <c r="J10868"/>
  <c r="J10867"/>
  <c r="J10866"/>
  <c r="J10865"/>
  <c r="J10864"/>
  <c r="J10863"/>
  <c r="J10862"/>
  <c r="J10861"/>
  <c r="J10860"/>
  <c r="J10859"/>
  <c r="J10858"/>
  <c r="J10857"/>
  <c r="J10856"/>
  <c r="J10855"/>
  <c r="J10854"/>
  <c r="J10853"/>
  <c r="J10852"/>
  <c r="J10851"/>
  <c r="J10850"/>
  <c r="J10849"/>
  <c r="J10848"/>
  <c r="J10847"/>
  <c r="J10846"/>
  <c r="J10845"/>
  <c r="J10844"/>
  <c r="H7786"/>
  <c r="I6646"/>
  <c r="J6645"/>
  <c r="J6644"/>
  <c r="J6643"/>
  <c r="J6642"/>
  <c r="J6641"/>
  <c r="J6640"/>
  <c r="J6639"/>
  <c r="J6638"/>
  <c r="J6637"/>
  <c r="J6636"/>
  <c r="J6635"/>
  <c r="J6634"/>
  <c r="J6633"/>
  <c r="J6632"/>
  <c r="J6631"/>
  <c r="H6277"/>
  <c r="H6137"/>
  <c r="I6209"/>
  <c r="J6208"/>
  <c r="J6207"/>
  <c r="J6206"/>
  <c r="J6205"/>
  <c r="J6204"/>
  <c r="J6203"/>
  <c r="J6202"/>
  <c r="J6201"/>
  <c r="J6200"/>
  <c r="J6199"/>
  <c r="J6198"/>
  <c r="J6197"/>
  <c r="J6196"/>
  <c r="J6195"/>
  <c r="J6194"/>
  <c r="I5951"/>
  <c r="J5950"/>
  <c r="J5949"/>
  <c r="J5948"/>
  <c r="J5947"/>
  <c r="J5946"/>
  <c r="J5945"/>
  <c r="J5944"/>
  <c r="J5943"/>
  <c r="J5942"/>
  <c r="J5941"/>
  <c r="J5940"/>
  <c r="J5939"/>
  <c r="J5938"/>
  <c r="J5937"/>
  <c r="J5936"/>
  <c r="H5897"/>
  <c r="H5879"/>
  <c r="H5798"/>
  <c r="H5780"/>
  <c r="H5699"/>
  <c r="H5681"/>
  <c r="I6070"/>
  <c r="J6069"/>
  <c r="J6068"/>
  <c r="J6067"/>
  <c r="J6066"/>
  <c r="J6065"/>
  <c r="J6064"/>
  <c r="J6063"/>
  <c r="J6062"/>
  <c r="J6061"/>
  <c r="J6060"/>
  <c r="J6059"/>
  <c r="J6058"/>
  <c r="J6057"/>
  <c r="J6056"/>
  <c r="J6055"/>
  <c r="I6051"/>
  <c r="J6050"/>
  <c r="J6049"/>
  <c r="J6048"/>
  <c r="J6047"/>
  <c r="J6046"/>
  <c r="J6045"/>
  <c r="J6044"/>
  <c r="J6043"/>
  <c r="J6042"/>
  <c r="J6041"/>
  <c r="J6040"/>
  <c r="J6039"/>
  <c r="J6038"/>
  <c r="J6037"/>
  <c r="J6036"/>
  <c r="H6035"/>
  <c r="H6051" s="1"/>
  <c r="I6033"/>
  <c r="J6032"/>
  <c r="J6031"/>
  <c r="J6030"/>
  <c r="J6029"/>
  <c r="J6028"/>
  <c r="J6027"/>
  <c r="J6026"/>
  <c r="J6025"/>
  <c r="J6024"/>
  <c r="J6023"/>
  <c r="J6022"/>
  <c r="J6021"/>
  <c r="J6020"/>
  <c r="J6019"/>
  <c r="J6018"/>
  <c r="H6017"/>
  <c r="H6033" s="1"/>
  <c r="I6002"/>
  <c r="J6001"/>
  <c r="J6000"/>
  <c r="J5999"/>
  <c r="J5998"/>
  <c r="J5997"/>
  <c r="J5996"/>
  <c r="J5995"/>
  <c r="J5994"/>
  <c r="J5993"/>
  <c r="J5992"/>
  <c r="J5991"/>
  <c r="J5990"/>
  <c r="J5989"/>
  <c r="J5988"/>
  <c r="J5987"/>
  <c r="H5986"/>
  <c r="H6002" s="1"/>
  <c r="I5984"/>
  <c r="J5983"/>
  <c r="J5982"/>
  <c r="J5981"/>
  <c r="J5980"/>
  <c r="J5979"/>
  <c r="J5978"/>
  <c r="J5977"/>
  <c r="J5976"/>
  <c r="J5975"/>
  <c r="J5974"/>
  <c r="J5973"/>
  <c r="J5972"/>
  <c r="J5971"/>
  <c r="J5970"/>
  <c r="J5969"/>
  <c r="H5968"/>
  <c r="H5984" s="1"/>
  <c r="H939"/>
  <c r="H955" s="1"/>
  <c r="H921"/>
  <c r="H937" s="1"/>
  <c r="I955"/>
  <c r="J954"/>
  <c r="J953"/>
  <c r="J952"/>
  <c r="J951"/>
  <c r="J950"/>
  <c r="J949"/>
  <c r="J948"/>
  <c r="J947"/>
  <c r="J946"/>
  <c r="J945"/>
  <c r="J944"/>
  <c r="J943"/>
  <c r="J942"/>
  <c r="J941"/>
  <c r="J940"/>
  <c r="I937"/>
  <c r="J936"/>
  <c r="J935"/>
  <c r="J934"/>
  <c r="J933"/>
  <c r="J932"/>
  <c r="J931"/>
  <c r="J930"/>
  <c r="J929"/>
  <c r="J928"/>
  <c r="J927"/>
  <c r="J926"/>
  <c r="J925"/>
  <c r="J924"/>
  <c r="J923"/>
  <c r="J922"/>
  <c r="J11319" l="1"/>
  <c r="J11335" s="1"/>
  <c r="J11301"/>
  <c r="J11317" s="1"/>
  <c r="J11499"/>
  <c r="J11515" s="1"/>
  <c r="J11517"/>
  <c r="J11533" s="1"/>
  <c r="J11400"/>
  <c r="J11416" s="1"/>
  <c r="J11418"/>
  <c r="J11434" s="1"/>
  <c r="J11202"/>
  <c r="J11218" s="1"/>
  <c r="J11220"/>
  <c r="J11236" s="1"/>
  <c r="J11103"/>
  <c r="J11119" s="1"/>
  <c r="J11121"/>
  <c r="J11137" s="1"/>
  <c r="J11004"/>
  <c r="J11020" s="1"/>
  <c r="J11022"/>
  <c r="J11038" s="1"/>
  <c r="J10905"/>
  <c r="J10921" s="1"/>
  <c r="J10923"/>
  <c r="J10939" s="1"/>
  <c r="H6054"/>
  <c r="H6070" s="1"/>
  <c r="H5916"/>
  <c r="H5935" s="1"/>
  <c r="H5951" s="1"/>
  <c r="J5986"/>
  <c r="J6002" s="1"/>
  <c r="J6035"/>
  <c r="J6051" s="1"/>
  <c r="J5968"/>
  <c r="J5984" s="1"/>
  <c r="J6017"/>
  <c r="J6033" s="1"/>
  <c r="J921"/>
  <c r="J937" s="1"/>
  <c r="J939"/>
  <c r="J955" s="1"/>
  <c r="D7" i="4"/>
  <c r="F134"/>
  <c r="D134"/>
  <c r="F124"/>
  <c r="E124"/>
  <c r="D124"/>
  <c r="F115"/>
  <c r="E115"/>
  <c r="D115"/>
  <c r="F106"/>
  <c r="E106"/>
  <c r="D106"/>
  <c r="F97"/>
  <c r="E97"/>
  <c r="D97"/>
  <c r="F88"/>
  <c r="E88"/>
  <c r="D88"/>
  <c r="F79"/>
  <c r="E79"/>
  <c r="D79"/>
  <c r="F70"/>
  <c r="E70"/>
  <c r="D70"/>
  <c r="F61"/>
  <c r="E61"/>
  <c r="D61"/>
  <c r="F52"/>
  <c r="E52"/>
  <c r="D52"/>
  <c r="F43"/>
  <c r="E43"/>
  <c r="D43"/>
  <c r="F34"/>
  <c r="E34"/>
  <c r="D34"/>
  <c r="D25"/>
  <c r="F25"/>
  <c r="E25"/>
  <c r="E16"/>
  <c r="F16"/>
  <c r="E7"/>
  <c r="F7"/>
  <c r="D16"/>
  <c r="J6054" i="8" l="1"/>
  <c r="J6070" s="1"/>
  <c r="J5935"/>
  <c r="J5951" s="1"/>
  <c r="I7342"/>
  <c r="J7341"/>
  <c r="J7340"/>
  <c r="J7339"/>
  <c r="J7338"/>
  <c r="J7337"/>
  <c r="J7336"/>
  <c r="J7335"/>
  <c r="J7334"/>
  <c r="J7333"/>
  <c r="J7332"/>
  <c r="J7331"/>
  <c r="J7330"/>
  <c r="J7329"/>
  <c r="J7328"/>
  <c r="J7327"/>
  <c r="H7326"/>
  <c r="H7342" s="1"/>
  <c r="D135" i="7" s="1"/>
  <c r="I7324" i="8"/>
  <c r="J7323"/>
  <c r="J7322"/>
  <c r="J7321"/>
  <c r="J7320"/>
  <c r="J7319"/>
  <c r="J7318"/>
  <c r="J7317"/>
  <c r="J7316"/>
  <c r="J7315"/>
  <c r="J7314"/>
  <c r="J7313"/>
  <c r="J7312"/>
  <c r="J7311"/>
  <c r="J7310"/>
  <c r="J7309"/>
  <c r="H7308"/>
  <c r="H7324" s="1"/>
  <c r="J7306"/>
  <c r="J7305"/>
  <c r="J7304"/>
  <c r="J7303"/>
  <c r="J7302"/>
  <c r="J7301"/>
  <c r="J7300"/>
  <c r="J7299"/>
  <c r="J7298"/>
  <c r="J7297"/>
  <c r="J7296"/>
  <c r="J7295"/>
  <c r="J7294"/>
  <c r="J7293"/>
  <c r="J7292"/>
  <c r="J7291"/>
  <c r="J7290"/>
  <c r="J7289"/>
  <c r="J7288"/>
  <c r="J7287"/>
  <c r="J7286"/>
  <c r="J7285"/>
  <c r="J7284"/>
  <c r="J7283"/>
  <c r="J7282"/>
  <c r="J7281"/>
  <c r="J7280"/>
  <c r="J7279"/>
  <c r="J7278"/>
  <c r="J7277"/>
  <c r="J7276"/>
  <c r="J7275"/>
  <c r="J7274"/>
  <c r="J7273"/>
  <c r="J7272"/>
  <c r="J7271"/>
  <c r="J7270"/>
  <c r="J7269"/>
  <c r="J7268"/>
  <c r="J7267"/>
  <c r="J7266"/>
  <c r="J7265"/>
  <c r="J7264"/>
  <c r="J7263"/>
  <c r="J7262"/>
  <c r="J7261"/>
  <c r="J7260"/>
  <c r="J7259"/>
  <c r="J7258"/>
  <c r="J7257"/>
  <c r="J7256"/>
  <c r="J7255"/>
  <c r="J7254"/>
  <c r="J7253"/>
  <c r="J7252"/>
  <c r="J7251"/>
  <c r="J7250"/>
  <c r="J7249"/>
  <c r="J7248"/>
  <c r="J7247"/>
  <c r="I7243"/>
  <c r="J7242"/>
  <c r="J7241"/>
  <c r="J7240"/>
  <c r="J7239"/>
  <c r="J7238"/>
  <c r="J7237"/>
  <c r="J7236"/>
  <c r="J7235"/>
  <c r="J7234"/>
  <c r="J7233"/>
  <c r="J7232"/>
  <c r="J7231"/>
  <c r="J7230"/>
  <c r="J7229"/>
  <c r="J7228"/>
  <c r="H7227"/>
  <c r="H7243" s="1"/>
  <c r="I7225"/>
  <c r="J7224"/>
  <c r="J7223"/>
  <c r="J7222"/>
  <c r="J7221"/>
  <c r="J7220"/>
  <c r="J7219"/>
  <c r="J7218"/>
  <c r="J7217"/>
  <c r="J7216"/>
  <c r="J7215"/>
  <c r="J7214"/>
  <c r="J7213"/>
  <c r="J7212"/>
  <c r="J7211"/>
  <c r="J7210"/>
  <c r="H7209"/>
  <c r="H7225" s="1"/>
  <c r="J7207"/>
  <c r="J7206"/>
  <c r="J7205"/>
  <c r="J7204"/>
  <c r="J7203"/>
  <c r="J7202"/>
  <c r="J7201"/>
  <c r="J7200"/>
  <c r="J7199"/>
  <c r="J7198"/>
  <c r="J7197"/>
  <c r="J7196"/>
  <c r="J7195"/>
  <c r="J7194"/>
  <c r="J7193"/>
  <c r="J7192"/>
  <c r="J7191"/>
  <c r="J7190"/>
  <c r="J7189"/>
  <c r="J7188"/>
  <c r="J7187"/>
  <c r="J7186"/>
  <c r="J7185"/>
  <c r="J7184"/>
  <c r="J7183"/>
  <c r="J7182"/>
  <c r="J7181"/>
  <c r="J7180"/>
  <c r="J7179"/>
  <c r="J7178"/>
  <c r="J7177"/>
  <c r="J7176"/>
  <c r="J7175"/>
  <c r="J7174"/>
  <c r="J7173"/>
  <c r="J7172"/>
  <c r="J7171"/>
  <c r="J7170"/>
  <c r="J7169"/>
  <c r="J7168"/>
  <c r="J7167"/>
  <c r="J7166"/>
  <c r="J7165"/>
  <c r="J7164"/>
  <c r="J7163"/>
  <c r="J7162"/>
  <c r="J7161"/>
  <c r="J7160"/>
  <c r="J7159"/>
  <c r="J7158"/>
  <c r="J7157"/>
  <c r="J7156"/>
  <c r="J7155"/>
  <c r="J7154"/>
  <c r="J7153"/>
  <c r="J7152"/>
  <c r="J7151"/>
  <c r="J7150"/>
  <c r="J7149"/>
  <c r="J7148"/>
  <c r="C105" i="7"/>
  <c r="C106"/>
  <c r="C104"/>
  <c r="I1711" i="8"/>
  <c r="J1710"/>
  <c r="J1709"/>
  <c r="J1708"/>
  <c r="J1707"/>
  <c r="J1706"/>
  <c r="J1705"/>
  <c r="J1704"/>
  <c r="J1703"/>
  <c r="J1702"/>
  <c r="J1701"/>
  <c r="J1700"/>
  <c r="J1699"/>
  <c r="J1698"/>
  <c r="J1697"/>
  <c r="J1696"/>
  <c r="H1695"/>
  <c r="I1693"/>
  <c r="J1692"/>
  <c r="J1691"/>
  <c r="J1690"/>
  <c r="J1689"/>
  <c r="J1688"/>
  <c r="J1687"/>
  <c r="J1686"/>
  <c r="J1685"/>
  <c r="J1684"/>
  <c r="J1683"/>
  <c r="J1682"/>
  <c r="J1681"/>
  <c r="J1680"/>
  <c r="J1679"/>
  <c r="J1678"/>
  <c r="H1677"/>
  <c r="H1693" s="1"/>
  <c r="J1675"/>
  <c r="J1674"/>
  <c r="J1673"/>
  <c r="J1672"/>
  <c r="J1671"/>
  <c r="J1670"/>
  <c r="J1669"/>
  <c r="J1668"/>
  <c r="J1667"/>
  <c r="J1666"/>
  <c r="J1665"/>
  <c r="J1664"/>
  <c r="J1663"/>
  <c r="J1662"/>
  <c r="J1661"/>
  <c r="J1660"/>
  <c r="J1659"/>
  <c r="J1658"/>
  <c r="J1657"/>
  <c r="J1656"/>
  <c r="J1655"/>
  <c r="J1654"/>
  <c r="J1653"/>
  <c r="J1652"/>
  <c r="J1651"/>
  <c r="J1650"/>
  <c r="J1649"/>
  <c r="J1648"/>
  <c r="J1647"/>
  <c r="J1646"/>
  <c r="J1645"/>
  <c r="J1644"/>
  <c r="J1643"/>
  <c r="J1642"/>
  <c r="J1641"/>
  <c r="J1640"/>
  <c r="J1639"/>
  <c r="J1638"/>
  <c r="J1637"/>
  <c r="J1636"/>
  <c r="J1635"/>
  <c r="J1634"/>
  <c r="J1633"/>
  <c r="J1632"/>
  <c r="J1631"/>
  <c r="J1630"/>
  <c r="J1629"/>
  <c r="J1628"/>
  <c r="J1627"/>
  <c r="J1626"/>
  <c r="J1625"/>
  <c r="J1624"/>
  <c r="J1623"/>
  <c r="J1622"/>
  <c r="J1621"/>
  <c r="J1620"/>
  <c r="J1619"/>
  <c r="J1618"/>
  <c r="J1617"/>
  <c r="J1616"/>
  <c r="I1612"/>
  <c r="J1611"/>
  <c r="J1610"/>
  <c r="J1609"/>
  <c r="J1608"/>
  <c r="J1607"/>
  <c r="J1606"/>
  <c r="J1605"/>
  <c r="J1604"/>
  <c r="J1603"/>
  <c r="J1602"/>
  <c r="J1601"/>
  <c r="J1600"/>
  <c r="J1599"/>
  <c r="J1598"/>
  <c r="J1597"/>
  <c r="H1596"/>
  <c r="H1612" s="1"/>
  <c r="I1594"/>
  <c r="J1593"/>
  <c r="J1592"/>
  <c r="J1591"/>
  <c r="J1590"/>
  <c r="J1589"/>
  <c r="J1588"/>
  <c r="J1587"/>
  <c r="J1586"/>
  <c r="J1585"/>
  <c r="J1584"/>
  <c r="J1583"/>
  <c r="J1582"/>
  <c r="J1581"/>
  <c r="J1580"/>
  <c r="J1579"/>
  <c r="H1578"/>
  <c r="H1594" s="1"/>
  <c r="J1576"/>
  <c r="J1575"/>
  <c r="J1574"/>
  <c r="J1573"/>
  <c r="J1572"/>
  <c r="J1571"/>
  <c r="J1570"/>
  <c r="J1569"/>
  <c r="J1568"/>
  <c r="J1567"/>
  <c r="J1566"/>
  <c r="J1565"/>
  <c r="J1564"/>
  <c r="J1563"/>
  <c r="J1562"/>
  <c r="J1561"/>
  <c r="J1560"/>
  <c r="J1559"/>
  <c r="J1558"/>
  <c r="J1557"/>
  <c r="J1556"/>
  <c r="J1555"/>
  <c r="J1554"/>
  <c r="J1553"/>
  <c r="J1552"/>
  <c r="J1551"/>
  <c r="J1550"/>
  <c r="J1549"/>
  <c r="J1548"/>
  <c r="J1547"/>
  <c r="J1546"/>
  <c r="J1545"/>
  <c r="J1544"/>
  <c r="J1543"/>
  <c r="J1542"/>
  <c r="J1541"/>
  <c r="J1540"/>
  <c r="J1539"/>
  <c r="J1538"/>
  <c r="J1537"/>
  <c r="J1536"/>
  <c r="J1535"/>
  <c r="J1534"/>
  <c r="J1533"/>
  <c r="J1532"/>
  <c r="J1531"/>
  <c r="J1530"/>
  <c r="J1529"/>
  <c r="J1528"/>
  <c r="J1527"/>
  <c r="J1526"/>
  <c r="J1525"/>
  <c r="J1524"/>
  <c r="J1523"/>
  <c r="J1522"/>
  <c r="J1521"/>
  <c r="J1520"/>
  <c r="J1519"/>
  <c r="J1518"/>
  <c r="J1517"/>
  <c r="H5098"/>
  <c r="H5080"/>
  <c r="H5302"/>
  <c r="H5057"/>
  <c r="E57" i="5"/>
  <c r="E58"/>
  <c r="E59"/>
  <c r="E60"/>
  <c r="E61"/>
  <c r="E62"/>
  <c r="C58"/>
  <c r="C59"/>
  <c r="C60"/>
  <c r="C61"/>
  <c r="C62"/>
  <c r="C57"/>
  <c r="H88" i="8"/>
  <c r="H288"/>
  <c r="H189"/>
  <c r="H12971"/>
  <c r="H12871"/>
  <c r="H12233"/>
  <c r="H11994"/>
  <c r="H11756"/>
  <c r="H10824"/>
  <c r="H10586"/>
  <c r="H10348"/>
  <c r="H10109"/>
  <c r="H9871"/>
  <c r="H9670"/>
  <c r="H9571"/>
  <c r="H9472"/>
  <c r="H9233"/>
  <c r="H9134"/>
  <c r="H9035"/>
  <c r="H7664"/>
  <c r="H7128"/>
  <c r="H7029"/>
  <c r="H6930"/>
  <c r="H5560"/>
  <c r="H3274"/>
  <c r="H6592"/>
  <c r="H831"/>
  <c r="H847" s="1"/>
  <c r="H13904"/>
  <c r="H13745"/>
  <c r="H13646"/>
  <c r="H13507"/>
  <c r="H13408"/>
  <c r="H13309"/>
  <c r="H13210"/>
  <c r="H13111"/>
  <c r="H4651"/>
  <c r="H4472"/>
  <c r="H12134"/>
  <c r="H11895"/>
  <c r="H11657"/>
  <c r="H10725"/>
  <c r="H10487"/>
  <c r="H10249"/>
  <c r="H10010"/>
  <c r="H9772"/>
  <c r="H9373"/>
  <c r="H8936"/>
  <c r="H8837"/>
  <c r="H4310"/>
  <c r="H4211"/>
  <c r="H8320"/>
  <c r="H8221"/>
  <c r="H4112"/>
  <c r="H4013"/>
  <c r="H4328" s="1"/>
  <c r="H7903"/>
  <c r="H7804"/>
  <c r="H7565"/>
  <c r="H7466"/>
  <c r="H6831"/>
  <c r="H6732"/>
  <c r="H5460"/>
  <c r="H5320"/>
  <c r="H5358" s="1"/>
  <c r="H4967"/>
  <c r="H2745"/>
  <c r="H6155"/>
  <c r="H6174" s="1"/>
  <c r="H6193" s="1"/>
  <c r="H6493"/>
  <c r="H6394"/>
  <c r="H6295"/>
  <c r="H1497"/>
  <c r="H1398"/>
  <c r="H1299"/>
  <c r="H1201"/>
  <c r="H1102"/>
  <c r="H670"/>
  <c r="H447"/>
  <c r="H529" s="1"/>
  <c r="H106"/>
  <c r="H8716"/>
  <c r="H8617"/>
  <c r="H5180"/>
  <c r="H5012"/>
  <c r="H3592"/>
  <c r="H3493"/>
  <c r="H3394"/>
  <c r="H3175"/>
  <c r="H2854"/>
  <c r="H2535"/>
  <c r="H1183"/>
  <c r="H652"/>
  <c r="H429"/>
  <c r="H270"/>
  <c r="H171"/>
  <c r="H13886"/>
  <c r="H13727"/>
  <c r="H13628"/>
  <c r="H13489"/>
  <c r="H13390"/>
  <c r="H13291"/>
  <c r="H13192"/>
  <c r="H13093"/>
  <c r="H12953"/>
  <c r="H12853"/>
  <c r="H4633"/>
  <c r="H12215"/>
  <c r="H11976"/>
  <c r="H11877"/>
  <c r="H11738"/>
  <c r="H11639"/>
  <c r="H10806"/>
  <c r="H10707"/>
  <c r="H10568"/>
  <c r="H10469"/>
  <c r="H10330"/>
  <c r="H10231"/>
  <c r="H10091"/>
  <c r="H9992"/>
  <c r="H9853"/>
  <c r="H9754"/>
  <c r="H9652"/>
  <c r="H9553"/>
  <c r="H9454"/>
  <c r="H9355"/>
  <c r="H9215"/>
  <c r="H9116"/>
  <c r="H9017"/>
  <c r="H8918"/>
  <c r="H8819"/>
  <c r="H8698"/>
  <c r="H8599"/>
  <c r="H4292"/>
  <c r="H4193"/>
  <c r="H8302"/>
  <c r="H8203"/>
  <c r="H4094"/>
  <c r="H3995"/>
  <c r="H7885"/>
  <c r="H7646"/>
  <c r="H7547"/>
  <c r="H7448"/>
  <c r="H7110"/>
  <c r="H7011"/>
  <c r="H6912"/>
  <c r="H6813"/>
  <c r="H6714"/>
  <c r="H5542"/>
  <c r="H5442"/>
  <c r="H5162"/>
  <c r="H4994"/>
  <c r="H4949"/>
  <c r="H3574"/>
  <c r="H3475"/>
  <c r="H3376"/>
  <c r="H3256"/>
  <c r="H3157"/>
  <c r="H2836"/>
  <c r="H2727"/>
  <c r="H6574"/>
  <c r="H6475"/>
  <c r="H6376"/>
  <c r="H1479"/>
  <c r="H1380"/>
  <c r="H1281"/>
  <c r="H813"/>
  <c r="H1001" s="1"/>
  <c r="F246" i="7"/>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278"/>
  <c r="F277"/>
  <c r="F276"/>
  <c r="F275"/>
  <c r="F274"/>
  <c r="F273"/>
  <c r="F272"/>
  <c r="F271"/>
  <c r="F270"/>
  <c r="F269"/>
  <c r="F268"/>
  <c r="F267"/>
  <c r="F266"/>
  <c r="F265"/>
  <c r="F264"/>
  <c r="F263"/>
  <c r="F262"/>
  <c r="F261"/>
  <c r="F260"/>
  <c r="F259"/>
  <c r="F258"/>
  <c r="F257"/>
  <c r="F256"/>
  <c r="F255"/>
  <c r="F254"/>
  <c r="F253"/>
  <c r="F252"/>
  <c r="F251"/>
  <c r="F310"/>
  <c r="F309"/>
  <c r="F308"/>
  <c r="F307"/>
  <c r="F306"/>
  <c r="F305"/>
  <c r="F304"/>
  <c r="F303"/>
  <c r="F302"/>
  <c r="F301"/>
  <c r="F300"/>
  <c r="F299"/>
  <c r="F298"/>
  <c r="F297"/>
  <c r="F296"/>
  <c r="F295"/>
  <c r="F294"/>
  <c r="F293"/>
  <c r="F292"/>
  <c r="F291"/>
  <c r="F290"/>
  <c r="F289"/>
  <c r="F288"/>
  <c r="F287"/>
  <c r="F286"/>
  <c r="F285"/>
  <c r="F284"/>
  <c r="F283"/>
  <c r="F342"/>
  <c r="F341"/>
  <c r="F340"/>
  <c r="F339"/>
  <c r="F338"/>
  <c r="F337"/>
  <c r="F336"/>
  <c r="F335"/>
  <c r="F334"/>
  <c r="F333"/>
  <c r="F332"/>
  <c r="F331"/>
  <c r="F330"/>
  <c r="F329"/>
  <c r="F328"/>
  <c r="F327"/>
  <c r="F326"/>
  <c r="F325"/>
  <c r="F324"/>
  <c r="F323"/>
  <c r="F322"/>
  <c r="F321"/>
  <c r="F320"/>
  <c r="F319"/>
  <c r="F318"/>
  <c r="F317"/>
  <c r="F316"/>
  <c r="F315"/>
  <c r="F378"/>
  <c r="F377"/>
  <c r="F376"/>
  <c r="F375"/>
  <c r="F374"/>
  <c r="F373"/>
  <c r="F372"/>
  <c r="F371"/>
  <c r="F370"/>
  <c r="F369"/>
  <c r="F368"/>
  <c r="F367"/>
  <c r="F366"/>
  <c r="F365"/>
  <c r="F364"/>
  <c r="F363"/>
  <c r="F362"/>
  <c r="F361"/>
  <c r="F360"/>
  <c r="F359"/>
  <c r="F358"/>
  <c r="F357"/>
  <c r="F356"/>
  <c r="F355"/>
  <c r="F354"/>
  <c r="F353"/>
  <c r="F352"/>
  <c r="F351"/>
  <c r="F350"/>
  <c r="F349"/>
  <c r="F410"/>
  <c r="F409"/>
  <c r="F408"/>
  <c r="F407"/>
  <c r="F406"/>
  <c r="F405"/>
  <c r="F404"/>
  <c r="F403"/>
  <c r="F402"/>
  <c r="F401"/>
  <c r="F400"/>
  <c r="F399"/>
  <c r="F398"/>
  <c r="F397"/>
  <c r="F396"/>
  <c r="F395"/>
  <c r="F394"/>
  <c r="F393"/>
  <c r="F392"/>
  <c r="F391"/>
  <c r="F390"/>
  <c r="F389"/>
  <c r="F388"/>
  <c r="F387"/>
  <c r="F386"/>
  <c r="F385"/>
  <c r="F384"/>
  <c r="F383"/>
  <c r="F382"/>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F424"/>
  <c r="F423"/>
  <c r="F422"/>
  <c r="F421"/>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598"/>
  <c r="F597"/>
  <c r="F596"/>
  <c r="F595"/>
  <c r="F594"/>
  <c r="F593"/>
  <c r="F592"/>
  <c r="F591"/>
  <c r="F590"/>
  <c r="F589"/>
  <c r="F588"/>
  <c r="F587"/>
  <c r="F586"/>
  <c r="F585"/>
  <c r="F584"/>
  <c r="F583"/>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2"/>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17"/>
  <c r="D516"/>
  <c r="D515"/>
  <c r="D514"/>
  <c r="G514" s="1"/>
  <c r="D513"/>
  <c r="D512"/>
  <c r="D511"/>
  <c r="D510"/>
  <c r="G510" s="1"/>
  <c r="D509"/>
  <c r="D508"/>
  <c r="D507"/>
  <c r="D506"/>
  <c r="G506" s="1"/>
  <c r="D505"/>
  <c r="D504"/>
  <c r="D503"/>
  <c r="D502"/>
  <c r="G502" s="1"/>
  <c r="D501"/>
  <c r="D500"/>
  <c r="D499"/>
  <c r="D498"/>
  <c r="G498" s="1"/>
  <c r="D497"/>
  <c r="D496"/>
  <c r="D495"/>
  <c r="D494"/>
  <c r="G494" s="1"/>
  <c r="D493"/>
  <c r="D492"/>
  <c r="D491"/>
  <c r="D490"/>
  <c r="G490" s="1"/>
  <c r="D489"/>
  <c r="D488"/>
  <c r="D487"/>
  <c r="D486"/>
  <c r="G486" s="1"/>
  <c r="D485"/>
  <c r="D484"/>
  <c r="D483"/>
  <c r="D482"/>
  <c r="G482" s="1"/>
  <c r="D481"/>
  <c r="D480"/>
  <c r="D479"/>
  <c r="D478"/>
  <c r="G478" s="1"/>
  <c r="D477"/>
  <c r="D476"/>
  <c r="D475"/>
  <c r="D474"/>
  <c r="G474" s="1"/>
  <c r="D473"/>
  <c r="D472"/>
  <c r="D471"/>
  <c r="D470"/>
  <c r="G470" s="1"/>
  <c r="D469"/>
  <c r="D468"/>
  <c r="D463"/>
  <c r="G463" s="1"/>
  <c r="D462"/>
  <c r="G462" s="1"/>
  <c r="D461"/>
  <c r="G461" s="1"/>
  <c r="D460"/>
  <c r="G460" s="1"/>
  <c r="D459"/>
  <c r="G459" s="1"/>
  <c r="D458"/>
  <c r="G458" s="1"/>
  <c r="D457"/>
  <c r="G457" s="1"/>
  <c r="D456"/>
  <c r="G456" s="1"/>
  <c r="D455"/>
  <c r="G455" s="1"/>
  <c r="D454"/>
  <c r="G454" s="1"/>
  <c r="D453"/>
  <c r="G453" s="1"/>
  <c r="D452"/>
  <c r="G452" s="1"/>
  <c r="D451"/>
  <c r="G451" s="1"/>
  <c r="D450"/>
  <c r="G450" s="1"/>
  <c r="D449"/>
  <c r="G449" s="1"/>
  <c r="D448"/>
  <c r="G448" s="1"/>
  <c r="D447"/>
  <c r="G447" s="1"/>
  <c r="D446"/>
  <c r="G446" s="1"/>
  <c r="D445"/>
  <c r="G445" s="1"/>
  <c r="D444"/>
  <c r="G444" s="1"/>
  <c r="D443"/>
  <c r="G443" s="1"/>
  <c r="D442"/>
  <c r="G442" s="1"/>
  <c r="D441"/>
  <c r="G441" s="1"/>
  <c r="D440"/>
  <c r="G440" s="1"/>
  <c r="D439"/>
  <c r="G439" s="1"/>
  <c r="D438"/>
  <c r="G438" s="1"/>
  <c r="D437"/>
  <c r="G437" s="1"/>
  <c r="D436"/>
  <c r="G436" s="1"/>
  <c r="D435"/>
  <c r="G435" s="1"/>
  <c r="D434"/>
  <c r="G434" s="1"/>
  <c r="D433"/>
  <c r="G433" s="1"/>
  <c r="D432"/>
  <c r="G432" s="1"/>
  <c r="D431"/>
  <c r="G431" s="1"/>
  <c r="D430"/>
  <c r="G430" s="1"/>
  <c r="D429"/>
  <c r="G429" s="1"/>
  <c r="D428"/>
  <c r="G428" s="1"/>
  <c r="D427"/>
  <c r="G427" s="1"/>
  <c r="D426"/>
  <c r="G426" s="1"/>
  <c r="D425"/>
  <c r="G425" s="1"/>
  <c r="D424"/>
  <c r="G424" s="1"/>
  <c r="D423"/>
  <c r="G423" s="1"/>
  <c r="D422"/>
  <c r="G422" s="1"/>
  <c r="D421"/>
  <c r="G421" s="1"/>
  <c r="D382"/>
  <c r="G382" s="1"/>
  <c r="D410"/>
  <c r="G410" s="1"/>
  <c r="D409"/>
  <c r="G409" s="1"/>
  <c r="D408"/>
  <c r="G408" s="1"/>
  <c r="D407"/>
  <c r="G407" s="1"/>
  <c r="D406"/>
  <c r="G406" s="1"/>
  <c r="D405"/>
  <c r="G405" s="1"/>
  <c r="D404"/>
  <c r="G404" s="1"/>
  <c r="D403"/>
  <c r="G403" s="1"/>
  <c r="D402"/>
  <c r="G402" s="1"/>
  <c r="D401"/>
  <c r="G401" s="1"/>
  <c r="D400"/>
  <c r="G400" s="1"/>
  <c r="D399"/>
  <c r="G399" s="1"/>
  <c r="D398"/>
  <c r="G398" s="1"/>
  <c r="D397"/>
  <c r="G397" s="1"/>
  <c r="D396"/>
  <c r="G396" s="1"/>
  <c r="D395"/>
  <c r="G395" s="1"/>
  <c r="D394"/>
  <c r="G394" s="1"/>
  <c r="D393"/>
  <c r="G393" s="1"/>
  <c r="D392"/>
  <c r="G392" s="1"/>
  <c r="D391"/>
  <c r="G391" s="1"/>
  <c r="D390"/>
  <c r="G390" s="1"/>
  <c r="D389"/>
  <c r="G389" s="1"/>
  <c r="D388"/>
  <c r="G388" s="1"/>
  <c r="D387"/>
  <c r="G387" s="1"/>
  <c r="D386"/>
  <c r="G386" s="1"/>
  <c r="D385"/>
  <c r="G385" s="1"/>
  <c r="D384"/>
  <c r="G384" s="1"/>
  <c r="D383"/>
  <c r="G383" s="1"/>
  <c r="D378"/>
  <c r="G378" s="1"/>
  <c r="D377"/>
  <c r="G377" s="1"/>
  <c r="D376"/>
  <c r="G376" s="1"/>
  <c r="D375"/>
  <c r="G375" s="1"/>
  <c r="D374"/>
  <c r="G374" s="1"/>
  <c r="D373"/>
  <c r="G373" s="1"/>
  <c r="D372"/>
  <c r="G372" s="1"/>
  <c r="D371"/>
  <c r="G371" s="1"/>
  <c r="D370"/>
  <c r="G370" s="1"/>
  <c r="D369"/>
  <c r="G369" s="1"/>
  <c r="D368"/>
  <c r="G368" s="1"/>
  <c r="D367"/>
  <c r="G367" s="1"/>
  <c r="D366"/>
  <c r="G366" s="1"/>
  <c r="D365"/>
  <c r="G365" s="1"/>
  <c r="D364"/>
  <c r="G364" s="1"/>
  <c r="D363"/>
  <c r="G363" s="1"/>
  <c r="D362"/>
  <c r="G362" s="1"/>
  <c r="D361"/>
  <c r="G361" s="1"/>
  <c r="D360"/>
  <c r="G360" s="1"/>
  <c r="D359"/>
  <c r="G359" s="1"/>
  <c r="D358"/>
  <c r="G358" s="1"/>
  <c r="D357"/>
  <c r="G357" s="1"/>
  <c r="D356"/>
  <c r="G356" s="1"/>
  <c r="D355"/>
  <c r="G355" s="1"/>
  <c r="D354"/>
  <c r="G354" s="1"/>
  <c r="D353"/>
  <c r="G353" s="1"/>
  <c r="D352"/>
  <c r="G352" s="1"/>
  <c r="D351"/>
  <c r="G351" s="1"/>
  <c r="D350"/>
  <c r="G350" s="1"/>
  <c r="D342"/>
  <c r="G342" s="1"/>
  <c r="D341"/>
  <c r="G341" s="1"/>
  <c r="D340"/>
  <c r="G340" s="1"/>
  <c r="D339"/>
  <c r="G339" s="1"/>
  <c r="D338"/>
  <c r="G338" s="1"/>
  <c r="D337"/>
  <c r="G337" s="1"/>
  <c r="D336"/>
  <c r="G336" s="1"/>
  <c r="D335"/>
  <c r="G335" s="1"/>
  <c r="D334"/>
  <c r="G334" s="1"/>
  <c r="D333"/>
  <c r="G333" s="1"/>
  <c r="D332"/>
  <c r="G332" s="1"/>
  <c r="D331"/>
  <c r="G331" s="1"/>
  <c r="D330"/>
  <c r="G330" s="1"/>
  <c r="D329"/>
  <c r="G329" s="1"/>
  <c r="D328"/>
  <c r="G328" s="1"/>
  <c r="D327"/>
  <c r="G327" s="1"/>
  <c r="D326"/>
  <c r="G326" s="1"/>
  <c r="D325"/>
  <c r="G325" s="1"/>
  <c r="D324"/>
  <c r="G324" s="1"/>
  <c r="D323"/>
  <c r="G323" s="1"/>
  <c r="D322"/>
  <c r="G322" s="1"/>
  <c r="D321"/>
  <c r="G321" s="1"/>
  <c r="D320"/>
  <c r="G320" s="1"/>
  <c r="D319"/>
  <c r="G319" s="1"/>
  <c r="D318"/>
  <c r="G318" s="1"/>
  <c r="D317"/>
  <c r="G317" s="1"/>
  <c r="D316"/>
  <c r="G316" s="1"/>
  <c r="D315"/>
  <c r="G315" s="1"/>
  <c r="D310"/>
  <c r="G310" s="1"/>
  <c r="D309"/>
  <c r="G309" s="1"/>
  <c r="D308"/>
  <c r="G308" s="1"/>
  <c r="D307"/>
  <c r="G307" s="1"/>
  <c r="D306"/>
  <c r="G306" s="1"/>
  <c r="D305"/>
  <c r="G305" s="1"/>
  <c r="D304"/>
  <c r="G304" s="1"/>
  <c r="D303"/>
  <c r="G303" s="1"/>
  <c r="D302"/>
  <c r="G302" s="1"/>
  <c r="D301"/>
  <c r="G301" s="1"/>
  <c r="D300"/>
  <c r="G300" s="1"/>
  <c r="D299"/>
  <c r="G299" s="1"/>
  <c r="D298"/>
  <c r="G298" s="1"/>
  <c r="D297"/>
  <c r="G297" s="1"/>
  <c r="D296"/>
  <c r="G296" s="1"/>
  <c r="D295"/>
  <c r="G295" s="1"/>
  <c r="D294"/>
  <c r="G294" s="1"/>
  <c r="D293"/>
  <c r="G293" s="1"/>
  <c r="D292"/>
  <c r="G292" s="1"/>
  <c r="D291"/>
  <c r="G291" s="1"/>
  <c r="D290"/>
  <c r="G290" s="1"/>
  <c r="D289"/>
  <c r="G289" s="1"/>
  <c r="D288"/>
  <c r="G288" s="1"/>
  <c r="D287"/>
  <c r="G287" s="1"/>
  <c r="D286"/>
  <c r="G286" s="1"/>
  <c r="D285"/>
  <c r="G285" s="1"/>
  <c r="D284"/>
  <c r="G284" s="1"/>
  <c r="D283"/>
  <c r="G283" s="1"/>
  <c r="D278"/>
  <c r="G278" s="1"/>
  <c r="D277"/>
  <c r="G277" s="1"/>
  <c r="D276"/>
  <c r="G276" s="1"/>
  <c r="D275"/>
  <c r="G275" s="1"/>
  <c r="D274"/>
  <c r="G274" s="1"/>
  <c r="D273"/>
  <c r="G273" s="1"/>
  <c r="D272"/>
  <c r="G272" s="1"/>
  <c r="D271"/>
  <c r="G271" s="1"/>
  <c r="D270"/>
  <c r="G270" s="1"/>
  <c r="D269"/>
  <c r="G269" s="1"/>
  <c r="D268"/>
  <c r="G268" s="1"/>
  <c r="D267"/>
  <c r="G267" s="1"/>
  <c r="D266"/>
  <c r="G266" s="1"/>
  <c r="D265"/>
  <c r="G265" s="1"/>
  <c r="D264"/>
  <c r="G264" s="1"/>
  <c r="D263"/>
  <c r="G263" s="1"/>
  <c r="D262"/>
  <c r="G262" s="1"/>
  <c r="D261"/>
  <c r="G261" s="1"/>
  <c r="D260"/>
  <c r="G260" s="1"/>
  <c r="D259"/>
  <c r="G259" s="1"/>
  <c r="D258"/>
  <c r="G258" s="1"/>
  <c r="D257"/>
  <c r="G257" s="1"/>
  <c r="D256"/>
  <c r="G256" s="1"/>
  <c r="D255"/>
  <c r="G255" s="1"/>
  <c r="D254"/>
  <c r="G254" s="1"/>
  <c r="D253"/>
  <c r="G253" s="1"/>
  <c r="D252"/>
  <c r="G252" s="1"/>
  <c r="D251"/>
  <c r="G251" s="1"/>
  <c r="D246"/>
  <c r="G246" s="1"/>
  <c r="D245"/>
  <c r="G245" s="1"/>
  <c r="D244"/>
  <c r="G244" s="1"/>
  <c r="D243"/>
  <c r="G243" s="1"/>
  <c r="D242"/>
  <c r="G242" s="1"/>
  <c r="D241"/>
  <c r="G241" s="1"/>
  <c r="D240"/>
  <c r="G240" s="1"/>
  <c r="D239"/>
  <c r="G239" s="1"/>
  <c r="D238"/>
  <c r="G238" s="1"/>
  <c r="D237"/>
  <c r="G237" s="1"/>
  <c r="D236"/>
  <c r="G236" s="1"/>
  <c r="D235"/>
  <c r="G235" s="1"/>
  <c r="D234"/>
  <c r="G234" s="1"/>
  <c r="D233"/>
  <c r="G233" s="1"/>
  <c r="D232"/>
  <c r="G232" s="1"/>
  <c r="D231"/>
  <c r="G231" s="1"/>
  <c r="D230"/>
  <c r="G230" s="1"/>
  <c r="D229"/>
  <c r="G229" s="1"/>
  <c r="D228"/>
  <c r="G228" s="1"/>
  <c r="D227"/>
  <c r="G227" s="1"/>
  <c r="D226"/>
  <c r="G226" s="1"/>
  <c r="D225"/>
  <c r="G225" s="1"/>
  <c r="D224"/>
  <c r="G224" s="1"/>
  <c r="D223"/>
  <c r="G223" s="1"/>
  <c r="D222"/>
  <c r="G222" s="1"/>
  <c r="D221"/>
  <c r="G221" s="1"/>
  <c r="D220"/>
  <c r="G220" s="1"/>
  <c r="D219"/>
  <c r="G219" s="1"/>
  <c r="D218"/>
  <c r="G218" s="1"/>
  <c r="D217"/>
  <c r="G217" s="1"/>
  <c r="D216"/>
  <c r="G216" s="1"/>
  <c r="D215"/>
  <c r="G215" s="1"/>
  <c r="D214"/>
  <c r="G214" s="1"/>
  <c r="D213"/>
  <c r="G213" s="1"/>
  <c r="D212"/>
  <c r="G212" s="1"/>
  <c r="D211"/>
  <c r="G211" s="1"/>
  <c r="D210"/>
  <c r="G210" s="1"/>
  <c r="D209"/>
  <c r="G209" s="1"/>
  <c r="D208"/>
  <c r="G208" s="1"/>
  <c r="D207"/>
  <c r="G207" s="1"/>
  <c r="D206"/>
  <c r="G206" s="1"/>
  <c r="D205"/>
  <c r="G205" s="1"/>
  <c r="D204"/>
  <c r="G204" s="1"/>
  <c r="D203"/>
  <c r="G203" s="1"/>
  <c r="D202"/>
  <c r="G202" s="1"/>
  <c r="D201"/>
  <c r="G201" s="1"/>
  <c r="D200"/>
  <c r="G200" s="1"/>
  <c r="D349"/>
  <c r="G349" s="1"/>
  <c r="F193"/>
  <c r="F192"/>
  <c r="F191"/>
  <c r="F190"/>
  <c r="F189"/>
  <c r="F188"/>
  <c r="F187"/>
  <c r="F186"/>
  <c r="F185"/>
  <c r="F184"/>
  <c r="F183"/>
  <c r="F182"/>
  <c r="F181"/>
  <c r="F180"/>
  <c r="D193"/>
  <c r="D192"/>
  <c r="D191"/>
  <c r="D190"/>
  <c r="D189"/>
  <c r="D188"/>
  <c r="D187"/>
  <c r="D186"/>
  <c r="D185"/>
  <c r="D184"/>
  <c r="D183"/>
  <c r="D182"/>
  <c r="D181"/>
  <c r="D180"/>
  <c r="C179"/>
  <c r="C530"/>
  <c r="C531"/>
  <c r="C532"/>
  <c r="C533"/>
  <c r="C534"/>
  <c r="C535"/>
  <c r="C536"/>
  <c r="C537"/>
  <c r="C538"/>
  <c r="C539"/>
  <c r="C540"/>
  <c r="C541"/>
  <c r="C542"/>
  <c r="C543"/>
  <c r="C544"/>
  <c r="C545"/>
  <c r="C546"/>
  <c r="C547"/>
  <c r="C548"/>
  <c r="C549"/>
  <c r="C550"/>
  <c r="C551"/>
  <c r="C552"/>
  <c r="C553"/>
  <c r="C554"/>
  <c r="C555"/>
  <c r="C556"/>
  <c r="C557"/>
  <c r="C558"/>
  <c r="C559"/>
  <c r="C560"/>
  <c r="C561"/>
  <c r="C562"/>
  <c r="C563"/>
  <c r="C564"/>
  <c r="C565"/>
  <c r="C566"/>
  <c r="C567"/>
  <c r="C568"/>
  <c r="C569"/>
  <c r="C570"/>
  <c r="C571"/>
  <c r="C572"/>
  <c r="C573"/>
  <c r="C574"/>
  <c r="C575"/>
  <c r="C576"/>
  <c r="C577"/>
  <c r="C578"/>
  <c r="C579"/>
  <c r="C580"/>
  <c r="C581"/>
  <c r="C582"/>
  <c r="C583"/>
  <c r="C584"/>
  <c r="C585"/>
  <c r="C586"/>
  <c r="C587"/>
  <c r="C588"/>
  <c r="C589"/>
  <c r="C590"/>
  <c r="C591"/>
  <c r="C592"/>
  <c r="C593"/>
  <c r="C594"/>
  <c r="C595"/>
  <c r="C596"/>
  <c r="C597"/>
  <c r="C598"/>
  <c r="C529"/>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468"/>
  <c r="C415"/>
  <c r="C416"/>
  <c r="C417"/>
  <c r="C418"/>
  <c r="C419"/>
  <c r="C420"/>
  <c r="C421"/>
  <c r="C422"/>
  <c r="C423"/>
  <c r="C424"/>
  <c r="C425"/>
  <c r="C426"/>
  <c r="C427"/>
  <c r="C428"/>
  <c r="C429"/>
  <c r="C430"/>
  <c r="C431"/>
  <c r="C432"/>
  <c r="C433"/>
  <c r="C434"/>
  <c r="C435"/>
  <c r="C436"/>
  <c r="C437"/>
  <c r="C438"/>
  <c r="C439"/>
  <c r="C440"/>
  <c r="C441"/>
  <c r="C442"/>
  <c r="C443"/>
  <c r="C444"/>
  <c r="C445"/>
  <c r="C446"/>
  <c r="C447"/>
  <c r="C448"/>
  <c r="C449"/>
  <c r="C450"/>
  <c r="C451"/>
  <c r="C452"/>
  <c r="C453"/>
  <c r="C454"/>
  <c r="C455"/>
  <c r="C456"/>
  <c r="C457"/>
  <c r="C458"/>
  <c r="C459"/>
  <c r="C460"/>
  <c r="C461"/>
  <c r="C462"/>
  <c r="C463"/>
  <c r="C414"/>
  <c r="C382"/>
  <c r="C383"/>
  <c r="C384"/>
  <c r="C385"/>
  <c r="C386"/>
  <c r="C387"/>
  <c r="C388"/>
  <c r="C389"/>
  <c r="C390"/>
  <c r="C391"/>
  <c r="C392"/>
  <c r="C393"/>
  <c r="C394"/>
  <c r="C395"/>
  <c r="C396"/>
  <c r="C397"/>
  <c r="C398"/>
  <c r="C399"/>
  <c r="C400"/>
  <c r="C401"/>
  <c r="C402"/>
  <c r="C403"/>
  <c r="C404"/>
  <c r="C405"/>
  <c r="C406"/>
  <c r="C407"/>
  <c r="C408"/>
  <c r="C409"/>
  <c r="C410"/>
  <c r="C381"/>
  <c r="C350"/>
  <c r="C351"/>
  <c r="C352"/>
  <c r="C353"/>
  <c r="C354"/>
  <c r="C355"/>
  <c r="C356"/>
  <c r="C357"/>
  <c r="C358"/>
  <c r="C359"/>
  <c r="C360"/>
  <c r="C361"/>
  <c r="C362"/>
  <c r="C363"/>
  <c r="C364"/>
  <c r="C365"/>
  <c r="C366"/>
  <c r="C367"/>
  <c r="C368"/>
  <c r="C369"/>
  <c r="C370"/>
  <c r="C371"/>
  <c r="C372"/>
  <c r="C373"/>
  <c r="C374"/>
  <c r="C375"/>
  <c r="C376"/>
  <c r="C377"/>
  <c r="C378"/>
  <c r="C349"/>
  <c r="C314"/>
  <c r="C315"/>
  <c r="C316"/>
  <c r="C317"/>
  <c r="C318"/>
  <c r="C319"/>
  <c r="C320"/>
  <c r="C321"/>
  <c r="C322"/>
  <c r="C323"/>
  <c r="C324"/>
  <c r="C325"/>
  <c r="C326"/>
  <c r="C327"/>
  <c r="C328"/>
  <c r="C329"/>
  <c r="C330"/>
  <c r="C331"/>
  <c r="C332"/>
  <c r="C333"/>
  <c r="C334"/>
  <c r="C335"/>
  <c r="C336"/>
  <c r="C337"/>
  <c r="C338"/>
  <c r="C339"/>
  <c r="C340"/>
  <c r="C341"/>
  <c r="C342"/>
  <c r="C313"/>
  <c r="C282"/>
  <c r="C283"/>
  <c r="C284"/>
  <c r="C285"/>
  <c r="C286"/>
  <c r="C287"/>
  <c r="C288"/>
  <c r="C289"/>
  <c r="C290"/>
  <c r="C291"/>
  <c r="C292"/>
  <c r="C293"/>
  <c r="C294"/>
  <c r="C295"/>
  <c r="C296"/>
  <c r="C297"/>
  <c r="C298"/>
  <c r="C299"/>
  <c r="C300"/>
  <c r="C301"/>
  <c r="C302"/>
  <c r="C303"/>
  <c r="C304"/>
  <c r="C305"/>
  <c r="C306"/>
  <c r="C307"/>
  <c r="C308"/>
  <c r="C309"/>
  <c r="C310"/>
  <c r="C281"/>
  <c r="C250"/>
  <c r="C251"/>
  <c r="C252"/>
  <c r="C253"/>
  <c r="C254"/>
  <c r="C255"/>
  <c r="C256"/>
  <c r="C257"/>
  <c r="C258"/>
  <c r="C259"/>
  <c r="C260"/>
  <c r="C261"/>
  <c r="C262"/>
  <c r="C263"/>
  <c r="C264"/>
  <c r="C265"/>
  <c r="C266"/>
  <c r="C267"/>
  <c r="C268"/>
  <c r="C269"/>
  <c r="C270"/>
  <c r="C271"/>
  <c r="C272"/>
  <c r="C273"/>
  <c r="C274"/>
  <c r="C275"/>
  <c r="C276"/>
  <c r="C277"/>
  <c r="C278"/>
  <c r="C249"/>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197"/>
  <c r="C180"/>
  <c r="C181"/>
  <c r="C182"/>
  <c r="C183"/>
  <c r="C184"/>
  <c r="C185"/>
  <c r="C186"/>
  <c r="C187"/>
  <c r="C188"/>
  <c r="C189"/>
  <c r="C190"/>
  <c r="C191"/>
  <c r="C192"/>
  <c r="C193"/>
  <c r="C159"/>
  <c r="C160"/>
  <c r="C161"/>
  <c r="C162"/>
  <c r="C163"/>
  <c r="C164"/>
  <c r="C165"/>
  <c r="C166"/>
  <c r="C167"/>
  <c r="C168"/>
  <c r="C169"/>
  <c r="C170"/>
  <c r="C171"/>
  <c r="C172"/>
  <c r="C173"/>
  <c r="F173"/>
  <c r="F172"/>
  <c r="F171"/>
  <c r="F170"/>
  <c r="F169"/>
  <c r="F168"/>
  <c r="F167"/>
  <c r="F166"/>
  <c r="F165"/>
  <c r="F164"/>
  <c r="F163"/>
  <c r="F162"/>
  <c r="F161"/>
  <c r="F160"/>
  <c r="F159"/>
  <c r="D173"/>
  <c r="D172"/>
  <c r="D171"/>
  <c r="D170"/>
  <c r="D169"/>
  <c r="D168"/>
  <c r="D167"/>
  <c r="D166"/>
  <c r="D165"/>
  <c r="D164"/>
  <c r="D163"/>
  <c r="D162"/>
  <c r="D161"/>
  <c r="D159"/>
  <c r="D160"/>
  <c r="C158"/>
  <c r="F154"/>
  <c r="F153"/>
  <c r="F152"/>
  <c r="F151"/>
  <c r="F150"/>
  <c r="F149"/>
  <c r="F148"/>
  <c r="F147"/>
  <c r="F146"/>
  <c r="F145"/>
  <c r="F144"/>
  <c r="F143"/>
  <c r="F142"/>
  <c r="F141"/>
  <c r="F140"/>
  <c r="F139"/>
  <c r="F138"/>
  <c r="F137"/>
  <c r="F136"/>
  <c r="F135"/>
  <c r="D154"/>
  <c r="D153"/>
  <c r="D152"/>
  <c r="D151"/>
  <c r="D150"/>
  <c r="D149"/>
  <c r="D148"/>
  <c r="D147"/>
  <c r="D146"/>
  <c r="D145"/>
  <c r="D144"/>
  <c r="D143"/>
  <c r="D142"/>
  <c r="D141"/>
  <c r="D140"/>
  <c r="D139"/>
  <c r="D138"/>
  <c r="D137"/>
  <c r="D136"/>
  <c r="C132"/>
  <c r="C133"/>
  <c r="C134"/>
  <c r="C135"/>
  <c r="C136"/>
  <c r="C137"/>
  <c r="C138"/>
  <c r="C139"/>
  <c r="C140"/>
  <c r="C141"/>
  <c r="C142"/>
  <c r="C143"/>
  <c r="C144"/>
  <c r="C145"/>
  <c r="C146"/>
  <c r="C147"/>
  <c r="C148"/>
  <c r="C149"/>
  <c r="C150"/>
  <c r="C151"/>
  <c r="C152"/>
  <c r="C153"/>
  <c r="C154"/>
  <c r="C131"/>
  <c r="F127"/>
  <c r="F126"/>
  <c r="F125"/>
  <c r="F124"/>
  <c r="F123"/>
  <c r="F122"/>
  <c r="F121"/>
  <c r="F120"/>
  <c r="F119"/>
  <c r="F118"/>
  <c r="F117"/>
  <c r="F116"/>
  <c r="F115"/>
  <c r="F114"/>
  <c r="F113"/>
  <c r="F112"/>
  <c r="F111"/>
  <c r="F110"/>
  <c r="F109"/>
  <c r="F108"/>
  <c r="F107"/>
  <c r="F106"/>
  <c r="F105"/>
  <c r="F104"/>
  <c r="D127"/>
  <c r="G127" s="1"/>
  <c r="D126"/>
  <c r="G126" s="1"/>
  <c r="D125"/>
  <c r="G125" s="1"/>
  <c r="D124"/>
  <c r="G124" s="1"/>
  <c r="D123"/>
  <c r="G123" s="1"/>
  <c r="D122"/>
  <c r="G122" s="1"/>
  <c r="D121"/>
  <c r="G121" s="1"/>
  <c r="D120"/>
  <c r="G120" s="1"/>
  <c r="D119"/>
  <c r="G119" s="1"/>
  <c r="D118"/>
  <c r="G118" s="1"/>
  <c r="D117"/>
  <c r="G117" s="1"/>
  <c r="D116"/>
  <c r="G116" s="1"/>
  <c r="D115"/>
  <c r="G115" s="1"/>
  <c r="D114"/>
  <c r="G114" s="1"/>
  <c r="D113"/>
  <c r="D112"/>
  <c r="G112" s="1"/>
  <c r="D111"/>
  <c r="G111" s="1"/>
  <c r="D110"/>
  <c r="G110" s="1"/>
  <c r="D109"/>
  <c r="G109" s="1"/>
  <c r="D108"/>
  <c r="G108" s="1"/>
  <c r="D107"/>
  <c r="G107" s="1"/>
  <c r="D106"/>
  <c r="G106" s="1"/>
  <c r="D105"/>
  <c r="G105" s="1"/>
  <c r="C48"/>
  <c r="D48"/>
  <c r="F48"/>
  <c r="F97"/>
  <c r="F96"/>
  <c r="F95"/>
  <c r="F94"/>
  <c r="F93"/>
  <c r="F92"/>
  <c r="F91"/>
  <c r="F90"/>
  <c r="F89"/>
  <c r="F88"/>
  <c r="F87"/>
  <c r="F86"/>
  <c r="F85"/>
  <c r="F84"/>
  <c r="F83"/>
  <c r="F82"/>
  <c r="F81"/>
  <c r="F80"/>
  <c r="F79"/>
  <c r="F78"/>
  <c r="F77"/>
  <c r="F76"/>
  <c r="F75"/>
  <c r="F74"/>
  <c r="F73"/>
  <c r="F72"/>
  <c r="F71"/>
  <c r="F70"/>
  <c r="F69"/>
  <c r="F68"/>
  <c r="F67"/>
  <c r="F66"/>
  <c r="F65"/>
  <c r="F64"/>
  <c r="F62"/>
  <c r="F61"/>
  <c r="F60"/>
  <c r="F59"/>
  <c r="F58"/>
  <c r="F57"/>
  <c r="F56"/>
  <c r="F55"/>
  <c r="F54"/>
  <c r="F53"/>
  <c r="F52"/>
  <c r="F51"/>
  <c r="F50"/>
  <c r="F49"/>
  <c r="D97"/>
  <c r="D96"/>
  <c r="D95"/>
  <c r="D94"/>
  <c r="D93"/>
  <c r="D92"/>
  <c r="D91"/>
  <c r="D90"/>
  <c r="D89"/>
  <c r="D88"/>
  <c r="D87"/>
  <c r="D86"/>
  <c r="D85"/>
  <c r="D84"/>
  <c r="D83"/>
  <c r="D82"/>
  <c r="D81"/>
  <c r="D80"/>
  <c r="D78"/>
  <c r="D79"/>
  <c r="D77"/>
  <c r="D76"/>
  <c r="D75"/>
  <c r="D74"/>
  <c r="D73"/>
  <c r="D72"/>
  <c r="D71"/>
  <c r="D70"/>
  <c r="D69"/>
  <c r="D68"/>
  <c r="D67"/>
  <c r="D66"/>
  <c r="D65"/>
  <c r="D64"/>
  <c r="D62"/>
  <c r="D61"/>
  <c r="D60"/>
  <c r="D59"/>
  <c r="D58"/>
  <c r="D57"/>
  <c r="D56"/>
  <c r="D55"/>
  <c r="D54"/>
  <c r="D53"/>
  <c r="D52"/>
  <c r="D51"/>
  <c r="D50"/>
  <c r="D49"/>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H5579" i="8" l="1"/>
  <c r="G473" i="7"/>
  <c r="G477"/>
  <c r="G481"/>
  <c r="G485"/>
  <c r="G489"/>
  <c r="G493"/>
  <c r="G497"/>
  <c r="G501"/>
  <c r="G505"/>
  <c r="G509"/>
  <c r="G513"/>
  <c r="G517"/>
  <c r="H1017" i="8"/>
  <c r="H4344"/>
  <c r="J4328"/>
  <c r="J4344" s="1"/>
  <c r="H1711"/>
  <c r="H2434"/>
  <c r="H548"/>
  <c r="H567" s="1"/>
  <c r="H583" s="1"/>
  <c r="H545"/>
  <c r="H564" s="1"/>
  <c r="J1596"/>
  <c r="H6611"/>
  <c r="H6630" s="1"/>
  <c r="H7345"/>
  <c r="H11537"/>
  <c r="H11556" s="1"/>
  <c r="G471" i="7"/>
  <c r="G475"/>
  <c r="G479"/>
  <c r="G483"/>
  <c r="G487"/>
  <c r="G491"/>
  <c r="G495"/>
  <c r="G499"/>
  <c r="G503"/>
  <c r="G507"/>
  <c r="G511"/>
  <c r="G515"/>
  <c r="J1578" i="8"/>
  <c r="J1594" s="1"/>
  <c r="D104" i="7"/>
  <c r="G104" s="1"/>
  <c r="J7308" i="8"/>
  <c r="J7324" s="1"/>
  <c r="J7326"/>
  <c r="J7342" s="1"/>
  <c r="J7209"/>
  <c r="J7225" s="1"/>
  <c r="J7227"/>
  <c r="J7243" s="1"/>
  <c r="J1695"/>
  <c r="J1711" s="1"/>
  <c r="J1677"/>
  <c r="J1693" s="1"/>
  <c r="J1612"/>
  <c r="H8736"/>
  <c r="H5117"/>
  <c r="H4490"/>
  <c r="H12670" s="1"/>
  <c r="F60" i="5"/>
  <c r="G113" i="7"/>
  <c r="G472"/>
  <c r="G476"/>
  <c r="G480"/>
  <c r="G484"/>
  <c r="G488"/>
  <c r="G492"/>
  <c r="G496"/>
  <c r="G500"/>
  <c r="G504"/>
  <c r="G508"/>
  <c r="G512"/>
  <c r="G516"/>
  <c r="F61" i="5"/>
  <c r="F57"/>
  <c r="F62"/>
  <c r="F58"/>
  <c r="F59"/>
  <c r="G535" i="7"/>
  <c r="G539"/>
  <c r="G543"/>
  <c r="G547"/>
  <c r="G551"/>
  <c r="G555"/>
  <c r="G559"/>
  <c r="G563"/>
  <c r="G567"/>
  <c r="G571"/>
  <c r="G575"/>
  <c r="G579"/>
  <c r="G583"/>
  <c r="G587"/>
  <c r="G591"/>
  <c r="G595"/>
  <c r="G183"/>
  <c r="G187"/>
  <c r="G191"/>
  <c r="G184"/>
  <c r="G188"/>
  <c r="G192"/>
  <c r="G532"/>
  <c r="G536"/>
  <c r="G540"/>
  <c r="G544"/>
  <c r="G548"/>
  <c r="G552"/>
  <c r="G556"/>
  <c r="G560"/>
  <c r="G564"/>
  <c r="G568"/>
  <c r="G572"/>
  <c r="G576"/>
  <c r="G580"/>
  <c r="G584"/>
  <c r="G588"/>
  <c r="G592"/>
  <c r="G596"/>
  <c r="G185"/>
  <c r="G189"/>
  <c r="G193"/>
  <c r="G533"/>
  <c r="G537"/>
  <c r="G541"/>
  <c r="G545"/>
  <c r="G549"/>
  <c r="G553"/>
  <c r="G557"/>
  <c r="G561"/>
  <c r="G565"/>
  <c r="G569"/>
  <c r="G573"/>
  <c r="G577"/>
  <c r="G581"/>
  <c r="G585"/>
  <c r="G589"/>
  <c r="G593"/>
  <c r="G597"/>
  <c r="C56" i="5"/>
  <c r="H307" i="8"/>
  <c r="G182" i="7"/>
  <c r="G186"/>
  <c r="G190"/>
  <c r="G534"/>
  <c r="G538"/>
  <c r="G542"/>
  <c r="G546"/>
  <c r="G550"/>
  <c r="G554"/>
  <c r="G558"/>
  <c r="G562"/>
  <c r="G566"/>
  <c r="G570"/>
  <c r="G574"/>
  <c r="G578"/>
  <c r="G582"/>
  <c r="G586"/>
  <c r="G590"/>
  <c r="G594"/>
  <c r="G598"/>
  <c r="G170"/>
  <c r="G169"/>
  <c r="G147"/>
  <c r="G151"/>
  <c r="G150"/>
  <c r="G154"/>
  <c r="G142"/>
  <c r="G146"/>
  <c r="G162"/>
  <c r="G166"/>
  <c r="G138"/>
  <c r="G164"/>
  <c r="G136"/>
  <c r="G140"/>
  <c r="G144"/>
  <c r="G148"/>
  <c r="G152"/>
  <c r="G48"/>
  <c r="G135"/>
  <c r="G139"/>
  <c r="G143"/>
  <c r="G82"/>
  <c r="G86"/>
  <c r="G90"/>
  <c r="G94"/>
  <c r="G163"/>
  <c r="G171"/>
  <c r="G159"/>
  <c r="G167"/>
  <c r="G79"/>
  <c r="G137"/>
  <c r="G141"/>
  <c r="G145"/>
  <c r="G149"/>
  <c r="G153"/>
  <c r="G161"/>
  <c r="G165"/>
  <c r="G173"/>
  <c r="G160"/>
  <c r="G168"/>
  <c r="G172"/>
  <c r="G52"/>
  <c r="G60"/>
  <c r="G72"/>
  <c r="G84"/>
  <c r="G96"/>
  <c r="G56"/>
  <c r="G64"/>
  <c r="G68"/>
  <c r="G76"/>
  <c r="G80"/>
  <c r="G88"/>
  <c r="G92"/>
  <c r="G55"/>
  <c r="G59"/>
  <c r="G63"/>
  <c r="G67"/>
  <c r="G71"/>
  <c r="G75"/>
  <c r="G83"/>
  <c r="G87"/>
  <c r="G91"/>
  <c r="G95"/>
  <c r="G78"/>
  <c r="G58"/>
  <c r="G62"/>
  <c r="G70"/>
  <c r="G54"/>
  <c r="G66"/>
  <c r="G74"/>
  <c r="G53"/>
  <c r="G57"/>
  <c r="G61"/>
  <c r="G65"/>
  <c r="G69"/>
  <c r="G73"/>
  <c r="G77"/>
  <c r="G81"/>
  <c r="G85"/>
  <c r="G89"/>
  <c r="G93"/>
  <c r="G97"/>
  <c r="J2434" i="8" l="1"/>
  <c r="J2450" s="1"/>
  <c r="H2450"/>
  <c r="H6646"/>
  <c r="J6630"/>
  <c r="J6646" s="1"/>
  <c r="F32" i="7"/>
  <c r="F31"/>
  <c r="F30"/>
  <c r="F29"/>
  <c r="F28"/>
  <c r="F27"/>
  <c r="F26"/>
  <c r="F25"/>
  <c r="F24"/>
  <c r="F23"/>
  <c r="F22"/>
  <c r="F21"/>
  <c r="F20"/>
  <c r="F19"/>
  <c r="F18"/>
  <c r="F17"/>
  <c r="F16"/>
  <c r="F15"/>
  <c r="F14"/>
  <c r="F13"/>
  <c r="F12"/>
  <c r="F11"/>
  <c r="F10"/>
  <c r="D32"/>
  <c r="D31"/>
  <c r="D30"/>
  <c r="G30" s="1"/>
  <c r="D29"/>
  <c r="D28"/>
  <c r="D27"/>
  <c r="D26"/>
  <c r="G26" s="1"/>
  <c r="D25"/>
  <c r="C25"/>
  <c r="C26"/>
  <c r="C27"/>
  <c r="C28"/>
  <c r="C29"/>
  <c r="C30"/>
  <c r="C31"/>
  <c r="C32"/>
  <c r="D24"/>
  <c r="D23"/>
  <c r="D22"/>
  <c r="D21"/>
  <c r="D20"/>
  <c r="D19"/>
  <c r="D18"/>
  <c r="G18" s="1"/>
  <c r="D17"/>
  <c r="D16"/>
  <c r="D15"/>
  <c r="G15" s="1"/>
  <c r="D14"/>
  <c r="G14" s="1"/>
  <c r="D13"/>
  <c r="D12"/>
  <c r="D11"/>
  <c r="D10"/>
  <c r="C10"/>
  <c r="C11"/>
  <c r="C12"/>
  <c r="C13"/>
  <c r="C14"/>
  <c r="C15"/>
  <c r="C16"/>
  <c r="C17"/>
  <c r="C18"/>
  <c r="C19"/>
  <c r="C20"/>
  <c r="C21"/>
  <c r="C22"/>
  <c r="C23"/>
  <c r="C24"/>
  <c r="C9"/>
  <c r="C43" i="5"/>
  <c r="C94" i="6"/>
  <c r="C52" i="5"/>
  <c r="E55"/>
  <c r="C85"/>
  <c r="F103" i="7"/>
  <c r="D103"/>
  <c r="D177"/>
  <c r="F177"/>
  <c r="F413"/>
  <c r="D413"/>
  <c r="F46"/>
  <c r="F45"/>
  <c r="F40"/>
  <c r="F38"/>
  <c r="F37"/>
  <c r="F36"/>
  <c r="D46"/>
  <c r="D45"/>
  <c r="D40"/>
  <c r="D38"/>
  <c r="D37"/>
  <c r="D36"/>
  <c r="G13" l="1"/>
  <c r="G17"/>
  <c r="G20"/>
  <c r="G24"/>
  <c r="G21"/>
  <c r="G29"/>
  <c r="G16"/>
  <c r="G25"/>
  <c r="G23"/>
  <c r="G19"/>
  <c r="G11"/>
  <c r="G10"/>
  <c r="G22"/>
  <c r="G12"/>
  <c r="G31"/>
  <c r="G27"/>
  <c r="G32"/>
  <c r="G28"/>
  <c r="D6" i="4"/>
  <c r="I13977" i="8" l="1"/>
  <c r="I13939"/>
  <c r="H13902"/>
  <c r="H13761"/>
  <c r="H13743"/>
  <c r="H13644"/>
  <c r="H13523"/>
  <c r="H13505"/>
  <c r="H13406"/>
  <c r="H13325"/>
  <c r="H13307"/>
  <c r="H13226"/>
  <c r="H13208"/>
  <c r="H13127"/>
  <c r="H13109"/>
  <c r="H12969"/>
  <c r="H12887"/>
  <c r="I13025"/>
  <c r="J13024"/>
  <c r="J13023"/>
  <c r="J13022"/>
  <c r="J13021"/>
  <c r="J13020"/>
  <c r="J13019"/>
  <c r="J13018"/>
  <c r="J13017"/>
  <c r="J13016"/>
  <c r="J13015"/>
  <c r="J13014"/>
  <c r="J13013"/>
  <c r="J13012"/>
  <c r="J13011"/>
  <c r="J13010"/>
  <c r="I4685"/>
  <c r="J4684"/>
  <c r="J4683"/>
  <c r="J4682"/>
  <c r="J4681"/>
  <c r="J4680"/>
  <c r="J4679"/>
  <c r="J4678"/>
  <c r="J4677"/>
  <c r="J4676"/>
  <c r="J4675"/>
  <c r="J4674"/>
  <c r="J4673"/>
  <c r="J4672"/>
  <c r="J4671"/>
  <c r="J4670"/>
  <c r="I13109"/>
  <c r="I12987"/>
  <c r="I12969"/>
  <c r="I12887"/>
  <c r="I12869"/>
  <c r="H12869"/>
  <c r="H4667"/>
  <c r="D312" i="7" s="1"/>
  <c r="I4649" i="8"/>
  <c r="H4649"/>
  <c r="I12686"/>
  <c r="F281" i="7"/>
  <c r="D281"/>
  <c r="I4488" i="8"/>
  <c r="F280" i="7" s="1"/>
  <c r="H4488" i="8"/>
  <c r="D280" i="7" s="1"/>
  <c r="I4470" i="8"/>
  <c r="J12213"/>
  <c r="H12231"/>
  <c r="H12150"/>
  <c r="D248" i="7" s="1"/>
  <c r="H12132" i="8"/>
  <c r="I12010"/>
  <c r="F420" i="7" s="1"/>
  <c r="H12010" i="8"/>
  <c r="I11992"/>
  <c r="H11992"/>
  <c r="H11911"/>
  <c r="I11893"/>
  <c r="H11893"/>
  <c r="I11772"/>
  <c r="F419" i="7" s="1"/>
  <c r="I11754" i="8"/>
  <c r="H11754"/>
  <c r="H11655"/>
  <c r="I11572"/>
  <c r="I11553"/>
  <c r="I10840"/>
  <c r="F418" i="7" s="1"/>
  <c r="I10822" i="8"/>
  <c r="I10741"/>
  <c r="H10741"/>
  <c r="H10723"/>
  <c r="I10602"/>
  <c r="F417" i="7" s="1"/>
  <c r="H10602" i="8"/>
  <c r="D417" i="7" s="1"/>
  <c r="I10584" i="8"/>
  <c r="H10584"/>
  <c r="H10503"/>
  <c r="H10485"/>
  <c r="I10402"/>
  <c r="I10383"/>
  <c r="I10364"/>
  <c r="F416" i="7" s="1"/>
  <c r="H10364" i="8"/>
  <c r="D416" i="7" s="1"/>
  <c r="I10346" i="8"/>
  <c r="H10346"/>
  <c r="I10265"/>
  <c r="H10265"/>
  <c r="H10247"/>
  <c r="I10144"/>
  <c r="I10125"/>
  <c r="F415" i="7" s="1"/>
  <c r="I10107" i="8"/>
  <c r="I10026"/>
  <c r="H10026"/>
  <c r="H10008"/>
  <c r="I9925"/>
  <c r="I9906"/>
  <c r="I9887"/>
  <c r="F414" i="7" s="1"/>
  <c r="I9869" i="8"/>
  <c r="H9869"/>
  <c r="H9788"/>
  <c r="H9770"/>
  <c r="I9686"/>
  <c r="H9686"/>
  <c r="I9668"/>
  <c r="H9668"/>
  <c r="I9587"/>
  <c r="H9587"/>
  <c r="I9569"/>
  <c r="H9569"/>
  <c r="I9488"/>
  <c r="H9488"/>
  <c r="I9470"/>
  <c r="H9470"/>
  <c r="H9389"/>
  <c r="H9371"/>
  <c r="I7938"/>
  <c r="J7937"/>
  <c r="J7936"/>
  <c r="J7935"/>
  <c r="J7934"/>
  <c r="J7933"/>
  <c r="J7932"/>
  <c r="J7931"/>
  <c r="J7930"/>
  <c r="J7929"/>
  <c r="J7928"/>
  <c r="J7927"/>
  <c r="J7926"/>
  <c r="J7925"/>
  <c r="J7924"/>
  <c r="J7923"/>
  <c r="I9268"/>
  <c r="I9249"/>
  <c r="H9249"/>
  <c r="D199" i="7" s="1"/>
  <c r="I9231" i="8"/>
  <c r="H9231"/>
  <c r="I9150"/>
  <c r="H9150"/>
  <c r="I9132"/>
  <c r="H9132"/>
  <c r="I9051"/>
  <c r="H9051"/>
  <c r="I9033"/>
  <c r="H9033"/>
  <c r="I8952"/>
  <c r="I8934"/>
  <c r="H8934"/>
  <c r="H8853"/>
  <c r="I8835"/>
  <c r="H8835"/>
  <c r="H8732"/>
  <c r="D47" i="7" s="1"/>
  <c r="H8633" i="8"/>
  <c r="D44" i="7" s="1"/>
  <c r="H8615" i="8"/>
  <c r="H4326"/>
  <c r="D43" i="7" s="1"/>
  <c r="H4227" i="8"/>
  <c r="D42" i="7" s="1"/>
  <c r="H4209" i="8"/>
  <c r="H8336"/>
  <c r="D41" i="7" s="1"/>
  <c r="H8318" i="8"/>
  <c r="H8237"/>
  <c r="D39" i="7" s="1"/>
  <c r="H8219" i="8"/>
  <c r="H4128"/>
  <c r="D35" i="7" s="1"/>
  <c r="I4110" i="8"/>
  <c r="H4110"/>
  <c r="I4029"/>
  <c r="F34" i="7" s="1"/>
  <c r="H4029" i="8"/>
  <c r="D34" i="7" s="1"/>
  <c r="H4011" i="8"/>
  <c r="H7901"/>
  <c r="H7820"/>
  <c r="H7662"/>
  <c r="H7581"/>
  <c r="H7482"/>
  <c r="H7144"/>
  <c r="D133" i="7" s="1"/>
  <c r="H7045" i="8"/>
  <c r="D132" i="7" s="1"/>
  <c r="H6946" i="8"/>
  <c r="D131" i="7" s="1"/>
  <c r="I5576" i="8"/>
  <c r="F531" i="7" s="1"/>
  <c r="H5576" i="8"/>
  <c r="D531" i="7" s="1"/>
  <c r="H5374" i="8"/>
  <c r="F249" i="7" l="1"/>
  <c r="G531"/>
  <c r="F197"/>
  <c r="F198"/>
  <c r="F199"/>
  <c r="G199" s="1"/>
  <c r="F314"/>
  <c r="F313"/>
  <c r="D313"/>
  <c r="D198"/>
  <c r="D197"/>
  <c r="G281"/>
  <c r="G416"/>
  <c r="G417"/>
  <c r="D33"/>
  <c r="H4506" i="8"/>
  <c r="H12686" s="1"/>
  <c r="H10128"/>
  <c r="H10147" s="1"/>
  <c r="H10163" s="1"/>
  <c r="H11553"/>
  <c r="H7922"/>
  <c r="H7938" s="1"/>
  <c r="H9890"/>
  <c r="H9909" s="1"/>
  <c r="H9925" s="1"/>
  <c r="H10840"/>
  <c r="D418" i="7" s="1"/>
  <c r="G418" s="1"/>
  <c r="H12295" i="8"/>
  <c r="H12314" s="1"/>
  <c r="H12330" s="1"/>
  <c r="H4669"/>
  <c r="H13009" s="1"/>
  <c r="H13025" s="1"/>
  <c r="H5598"/>
  <c r="H7919"/>
  <c r="D8" i="7" s="1"/>
  <c r="H9887" i="8"/>
  <c r="D414" i="7" s="1"/>
  <c r="H10125" i="8"/>
  <c r="D415" i="7" s="1"/>
  <c r="G415" s="1"/>
  <c r="H11772" i="8"/>
  <c r="D419" i="7" s="1"/>
  <c r="G419" s="1"/>
  <c r="H12013" i="8"/>
  <c r="H12249"/>
  <c r="H12987"/>
  <c r="D314" i="7" s="1"/>
  <c r="H13764" i="8"/>
  <c r="H13780" s="1"/>
  <c r="H7683"/>
  <c r="H7702" s="1"/>
  <c r="H13662"/>
  <c r="H10367"/>
  <c r="H10605"/>
  <c r="H10624" s="1"/>
  <c r="H13526"/>
  <c r="H7364"/>
  <c r="H7680"/>
  <c r="D134" i="7" s="1"/>
  <c r="H9252" i="8"/>
  <c r="H9268" s="1"/>
  <c r="H5339"/>
  <c r="H5073"/>
  <c r="D527" i="7" s="1"/>
  <c r="H5055" i="8"/>
  <c r="I5055"/>
  <c r="I5010"/>
  <c r="H5010"/>
  <c r="H4983"/>
  <c r="D524" i="7" s="1"/>
  <c r="I4965" i="8"/>
  <c r="H4965"/>
  <c r="H4936"/>
  <c r="D521" i="7" s="1"/>
  <c r="H3590" i="8"/>
  <c r="H3509"/>
  <c r="D466" i="7" s="1"/>
  <c r="H3491" i="8"/>
  <c r="H3410"/>
  <c r="D465" i="7" s="1"/>
  <c r="I3392" i="8"/>
  <c r="H3392"/>
  <c r="I3309"/>
  <c r="H3290"/>
  <c r="D381" i="7" s="1"/>
  <c r="H3173" i="8"/>
  <c r="H2551"/>
  <c r="D344" i="7" s="1"/>
  <c r="H2533" i="8"/>
  <c r="H6608"/>
  <c r="D179" i="7" s="1"/>
  <c r="H6491" i="8"/>
  <c r="H6311"/>
  <c r="D175" i="7" s="1"/>
  <c r="I5932" i="8"/>
  <c r="H5895"/>
  <c r="H5814"/>
  <c r="D157" i="7" s="1"/>
  <c r="H5796" i="8"/>
  <c r="H5715"/>
  <c r="D156" i="7" s="1"/>
  <c r="H5697" i="8"/>
  <c r="I1513"/>
  <c r="H1513"/>
  <c r="I1495"/>
  <c r="H1495"/>
  <c r="I1414"/>
  <c r="F102" i="7" s="1"/>
  <c r="I1396" i="8"/>
  <c r="H1396"/>
  <c r="I1315"/>
  <c r="F101" i="7" s="1"/>
  <c r="H1315" i="8"/>
  <c r="D101" i="7" s="1"/>
  <c r="I1297" i="8"/>
  <c r="H1297"/>
  <c r="I1217"/>
  <c r="F100" i="7" s="1"/>
  <c r="H1217" i="8"/>
  <c r="D100" i="7" s="1"/>
  <c r="I1199" i="8"/>
  <c r="H1199"/>
  <c r="H1118"/>
  <c r="D99" i="7" s="1"/>
  <c r="I1100" i="8"/>
  <c r="H1100"/>
  <c r="J1023"/>
  <c r="F9" i="7"/>
  <c r="I829" i="8"/>
  <c r="H829"/>
  <c r="H804"/>
  <c r="D7" i="7" s="1"/>
  <c r="H786" i="8"/>
  <c r="H689"/>
  <c r="H463"/>
  <c r="H445"/>
  <c r="I445"/>
  <c r="I187"/>
  <c r="I88"/>
  <c r="G314" i="7" l="1"/>
  <c r="H6209" i="8"/>
  <c r="J6193"/>
  <c r="J6209" s="1"/>
  <c r="G198" i="7"/>
  <c r="G313"/>
  <c r="D311"/>
  <c r="D420"/>
  <c r="G420" s="1"/>
  <c r="D249"/>
  <c r="H10144" i="8"/>
  <c r="H12311"/>
  <c r="J13009"/>
  <c r="J13025" s="1"/>
  <c r="H11572"/>
  <c r="H9906"/>
  <c r="J7922"/>
  <c r="J7938" s="1"/>
  <c r="H13783"/>
  <c r="H13799" s="1"/>
  <c r="J4669"/>
  <c r="J4685" s="1"/>
  <c r="H4685"/>
  <c r="H9271"/>
  <c r="H13542"/>
  <c r="H13545"/>
  <c r="H13561" s="1"/>
  <c r="H12032"/>
  <c r="H12048" s="1"/>
  <c r="H12029"/>
  <c r="H10383"/>
  <c r="H10386"/>
  <c r="H10402" s="1"/>
  <c r="H6627"/>
  <c r="D9" i="7"/>
  <c r="D6" s="1"/>
  <c r="H2761" i="8"/>
  <c r="H705"/>
  <c r="H708"/>
  <c r="H727" s="1"/>
  <c r="H5028"/>
  <c r="D526" i="7" s="1"/>
  <c r="H1414" i="8"/>
  <c r="D102" i="7" s="1"/>
  <c r="D98" s="1"/>
  <c r="H6509" i="8"/>
  <c r="D178" i="7" s="1"/>
  <c r="C74" i="5"/>
  <c r="E139" i="6"/>
  <c r="E138"/>
  <c r="E137"/>
  <c r="E136"/>
  <c r="E135"/>
  <c r="E134"/>
  <c r="E133"/>
  <c r="E132"/>
  <c r="E131"/>
  <c r="E130"/>
  <c r="E129"/>
  <c r="E128"/>
  <c r="E127"/>
  <c r="E125"/>
  <c r="E124"/>
  <c r="E123"/>
  <c r="E122"/>
  <c r="E119"/>
  <c r="E117"/>
  <c r="E116"/>
  <c r="E115"/>
  <c r="E110"/>
  <c r="E109"/>
  <c r="E107"/>
  <c r="E105"/>
  <c r="E104"/>
  <c r="E103"/>
  <c r="E102"/>
  <c r="E101"/>
  <c r="E100"/>
  <c r="E99"/>
  <c r="E98"/>
  <c r="E97"/>
  <c r="E96"/>
  <c r="E95"/>
  <c r="E94"/>
  <c r="E91"/>
  <c r="E87"/>
  <c r="E82"/>
  <c r="E81"/>
  <c r="E78"/>
  <c r="E77"/>
  <c r="E76"/>
  <c r="E75"/>
  <c r="E74"/>
  <c r="E73"/>
  <c r="E72"/>
  <c r="E71"/>
  <c r="E70"/>
  <c r="E69"/>
  <c r="E67"/>
  <c r="E66"/>
  <c r="E65"/>
  <c r="E64"/>
  <c r="E63"/>
  <c r="E62"/>
  <c r="E61"/>
  <c r="E60"/>
  <c r="E58"/>
  <c r="E57"/>
  <c r="E56"/>
  <c r="E55"/>
  <c r="E54"/>
  <c r="E53"/>
  <c r="E52"/>
  <c r="E51"/>
  <c r="E50"/>
  <c r="E49"/>
  <c r="E48"/>
  <c r="E47"/>
  <c r="E46"/>
  <c r="E45"/>
  <c r="E43"/>
  <c r="E42"/>
  <c r="E40"/>
  <c r="E38"/>
  <c r="E37"/>
  <c r="E36"/>
  <c r="E34"/>
  <c r="E33"/>
  <c r="E31"/>
  <c r="E27"/>
  <c r="E26"/>
  <c r="E25"/>
  <c r="E24"/>
  <c r="E22"/>
  <c r="E21"/>
  <c r="E20"/>
  <c r="E19"/>
  <c r="E13"/>
  <c r="E11"/>
  <c r="E10"/>
  <c r="E8"/>
  <c r="E7"/>
  <c r="E6"/>
  <c r="C139"/>
  <c r="C138"/>
  <c r="C136"/>
  <c r="C135"/>
  <c r="C134"/>
  <c r="C133"/>
  <c r="C132"/>
  <c r="C131"/>
  <c r="C130"/>
  <c r="C129"/>
  <c r="C128"/>
  <c r="C127"/>
  <c r="C125"/>
  <c r="C124"/>
  <c r="C123"/>
  <c r="C122"/>
  <c r="C119"/>
  <c r="C116"/>
  <c r="C115"/>
  <c r="C110"/>
  <c r="C109"/>
  <c r="C107"/>
  <c r="C105"/>
  <c r="C104"/>
  <c r="C103"/>
  <c r="C102"/>
  <c r="C101"/>
  <c r="C100"/>
  <c r="C99"/>
  <c r="C98"/>
  <c r="C97"/>
  <c r="C96"/>
  <c r="C95"/>
  <c r="C91"/>
  <c r="C87"/>
  <c r="C82"/>
  <c r="C81"/>
  <c r="C78"/>
  <c r="C77"/>
  <c r="C76"/>
  <c r="C75"/>
  <c r="C74"/>
  <c r="C73"/>
  <c r="C72"/>
  <c r="C71"/>
  <c r="C70"/>
  <c r="C69"/>
  <c r="C67"/>
  <c r="C66"/>
  <c r="C65"/>
  <c r="C64"/>
  <c r="C63"/>
  <c r="C62"/>
  <c r="C61"/>
  <c r="C60"/>
  <c r="C58"/>
  <c r="C57"/>
  <c r="C56"/>
  <c r="C55"/>
  <c r="C54"/>
  <c r="C53"/>
  <c r="C52"/>
  <c r="C51"/>
  <c r="C50"/>
  <c r="C49"/>
  <c r="C48"/>
  <c r="C47"/>
  <c r="C46"/>
  <c r="C45"/>
  <c r="C43"/>
  <c r="C42"/>
  <c r="C40"/>
  <c r="C37"/>
  <c r="C36"/>
  <c r="C34"/>
  <c r="C33"/>
  <c r="C31"/>
  <c r="C27"/>
  <c r="C26"/>
  <c r="C25"/>
  <c r="C24"/>
  <c r="C22"/>
  <c r="C21"/>
  <c r="C20"/>
  <c r="C19"/>
  <c r="C13"/>
  <c r="C11"/>
  <c r="C10"/>
  <c r="C8"/>
  <c r="C7"/>
  <c r="C6"/>
  <c r="C80" i="5"/>
  <c r="C79" s="1"/>
  <c r="E86"/>
  <c r="E83"/>
  <c r="E84"/>
  <c r="E82"/>
  <c r="E80"/>
  <c r="E79" s="1"/>
  <c r="E77"/>
  <c r="E78"/>
  <c r="E76"/>
  <c r="E72"/>
  <c r="E73"/>
  <c r="E71"/>
  <c r="E66"/>
  <c r="E67"/>
  <c r="E68"/>
  <c r="E69"/>
  <c r="E65"/>
  <c r="E56"/>
  <c r="E51"/>
  <c r="E53"/>
  <c r="E54"/>
  <c r="E50"/>
  <c r="E48"/>
  <c r="E42"/>
  <c r="E43"/>
  <c r="E44"/>
  <c r="E45"/>
  <c r="E46"/>
  <c r="E41"/>
  <c r="E36"/>
  <c r="E37"/>
  <c r="E38"/>
  <c r="E39"/>
  <c r="E35"/>
  <c r="E31"/>
  <c r="E32"/>
  <c r="E33"/>
  <c r="E30"/>
  <c r="E25"/>
  <c r="E26"/>
  <c r="E27"/>
  <c r="E28"/>
  <c r="E24"/>
  <c r="E22"/>
  <c r="E18"/>
  <c r="E19"/>
  <c r="E20"/>
  <c r="E21"/>
  <c r="E17"/>
  <c r="E9"/>
  <c r="E10"/>
  <c r="E11"/>
  <c r="E12"/>
  <c r="E13"/>
  <c r="E14"/>
  <c r="E15"/>
  <c r="E8"/>
  <c r="C86"/>
  <c r="F86" s="1"/>
  <c r="I18" i="16" s="1"/>
  <c r="C83" i="5"/>
  <c r="C82"/>
  <c r="C77"/>
  <c r="C78"/>
  <c r="C76"/>
  <c r="C72"/>
  <c r="C73"/>
  <c r="C71"/>
  <c r="C66"/>
  <c r="C67"/>
  <c r="C68"/>
  <c r="C69"/>
  <c r="C65"/>
  <c r="C51"/>
  <c r="C53"/>
  <c r="C54"/>
  <c r="C55"/>
  <c r="C50"/>
  <c r="C48"/>
  <c r="C42"/>
  <c r="C44"/>
  <c r="C45"/>
  <c r="C46"/>
  <c r="C41"/>
  <c r="C36"/>
  <c r="C37"/>
  <c r="C38"/>
  <c r="C39"/>
  <c r="C35"/>
  <c r="C31"/>
  <c r="C32"/>
  <c r="C33"/>
  <c r="C30"/>
  <c r="C25"/>
  <c r="C26"/>
  <c r="C27"/>
  <c r="C28"/>
  <c r="C24"/>
  <c r="C18"/>
  <c r="C19"/>
  <c r="C20"/>
  <c r="C21"/>
  <c r="C22"/>
  <c r="C17"/>
  <c r="C9"/>
  <c r="C10"/>
  <c r="C11"/>
  <c r="C12"/>
  <c r="C13"/>
  <c r="C14"/>
  <c r="C15"/>
  <c r="C8"/>
  <c r="J13818" i="8"/>
  <c r="J13817"/>
  <c r="J13816"/>
  <c r="J13815"/>
  <c r="J13814"/>
  <c r="J13813"/>
  <c r="J13812"/>
  <c r="J13811"/>
  <c r="J13810"/>
  <c r="J13809"/>
  <c r="J13808"/>
  <c r="J13807"/>
  <c r="J13805"/>
  <c r="J13804"/>
  <c r="J12685"/>
  <c r="J12684"/>
  <c r="J12683"/>
  <c r="J12682"/>
  <c r="J12681"/>
  <c r="J12680"/>
  <c r="J12679"/>
  <c r="J12678"/>
  <c r="J12677"/>
  <c r="J12676"/>
  <c r="J12675"/>
  <c r="J12674"/>
  <c r="J12673"/>
  <c r="J12672"/>
  <c r="J12671"/>
  <c r="J12670"/>
  <c r="I4506"/>
  <c r="J4505"/>
  <c r="J4504"/>
  <c r="J4503"/>
  <c r="J4502"/>
  <c r="J4501"/>
  <c r="J4500"/>
  <c r="J4499"/>
  <c r="J4498"/>
  <c r="J4497"/>
  <c r="J4496"/>
  <c r="J4495"/>
  <c r="J4494"/>
  <c r="J4493"/>
  <c r="J4492"/>
  <c r="J4491"/>
  <c r="J4490"/>
  <c r="J12329"/>
  <c r="J12328"/>
  <c r="J12327"/>
  <c r="J12326"/>
  <c r="J12325"/>
  <c r="J12324"/>
  <c r="J12323"/>
  <c r="J12322"/>
  <c r="J12321"/>
  <c r="J12320"/>
  <c r="J12319"/>
  <c r="J12318"/>
  <c r="J12317"/>
  <c r="J12316"/>
  <c r="J12315"/>
  <c r="J12314"/>
  <c r="J12310"/>
  <c r="J12309"/>
  <c r="J12308"/>
  <c r="J12307"/>
  <c r="J12306"/>
  <c r="J12305"/>
  <c r="J12304"/>
  <c r="J12303"/>
  <c r="J12302"/>
  <c r="J12301"/>
  <c r="J12300"/>
  <c r="J12299"/>
  <c r="J12298"/>
  <c r="J12297"/>
  <c r="J12296"/>
  <c r="J12295"/>
  <c r="J12986"/>
  <c r="J12985"/>
  <c r="J12984"/>
  <c r="J12983"/>
  <c r="J12982"/>
  <c r="J12981"/>
  <c r="J12980"/>
  <c r="J12979"/>
  <c r="J12978"/>
  <c r="J12977"/>
  <c r="J12976"/>
  <c r="J12975"/>
  <c r="J12974"/>
  <c r="J12973"/>
  <c r="J12972"/>
  <c r="J12971"/>
  <c r="J12968"/>
  <c r="J12967"/>
  <c r="J12966"/>
  <c r="J12965"/>
  <c r="J12964"/>
  <c r="J12963"/>
  <c r="J12962"/>
  <c r="J12961"/>
  <c r="J12960"/>
  <c r="J12959"/>
  <c r="J12958"/>
  <c r="J12957"/>
  <c r="J12956"/>
  <c r="J12955"/>
  <c r="J12954"/>
  <c r="J12953"/>
  <c r="J12951"/>
  <c r="J12950"/>
  <c r="J12949"/>
  <c r="J12948"/>
  <c r="J12947"/>
  <c r="J12946"/>
  <c r="J12945"/>
  <c r="J12944"/>
  <c r="J12943"/>
  <c r="J12942"/>
  <c r="J12941"/>
  <c r="J12940"/>
  <c r="J12939"/>
  <c r="J12938"/>
  <c r="J12937"/>
  <c r="J12936"/>
  <c r="J12935"/>
  <c r="J12934"/>
  <c r="J12933"/>
  <c r="J12932"/>
  <c r="J12931"/>
  <c r="J12930"/>
  <c r="J12929"/>
  <c r="J12928"/>
  <c r="J12927"/>
  <c r="J12926"/>
  <c r="J12925"/>
  <c r="J12924"/>
  <c r="J12923"/>
  <c r="J12922"/>
  <c r="J12921"/>
  <c r="J12920"/>
  <c r="J12919"/>
  <c r="J12918"/>
  <c r="J12917"/>
  <c r="J12916"/>
  <c r="J12915"/>
  <c r="J12914"/>
  <c r="J12913"/>
  <c r="J12912"/>
  <c r="J12911"/>
  <c r="J12910"/>
  <c r="J12909"/>
  <c r="J12908"/>
  <c r="J12907"/>
  <c r="J12906"/>
  <c r="J12905"/>
  <c r="J12904"/>
  <c r="J12903"/>
  <c r="J12902"/>
  <c r="J12901"/>
  <c r="J12900"/>
  <c r="J12899"/>
  <c r="J12898"/>
  <c r="J12897"/>
  <c r="J12896"/>
  <c r="J12895"/>
  <c r="J12894"/>
  <c r="J12893"/>
  <c r="J12892"/>
  <c r="J12886"/>
  <c r="J12885"/>
  <c r="J12884"/>
  <c r="J12883"/>
  <c r="J12882"/>
  <c r="J12881"/>
  <c r="J12880"/>
  <c r="J12879"/>
  <c r="J12878"/>
  <c r="J12877"/>
  <c r="J12876"/>
  <c r="J12875"/>
  <c r="J12874"/>
  <c r="J12873"/>
  <c r="J12872"/>
  <c r="J12871"/>
  <c r="J12868"/>
  <c r="J12867"/>
  <c r="J12866"/>
  <c r="J12865"/>
  <c r="J12864"/>
  <c r="J12863"/>
  <c r="J12862"/>
  <c r="J12861"/>
  <c r="J12860"/>
  <c r="J12859"/>
  <c r="J12858"/>
  <c r="J12857"/>
  <c r="J12856"/>
  <c r="J12855"/>
  <c r="J12854"/>
  <c r="J12853"/>
  <c r="J12851"/>
  <c r="J12850"/>
  <c r="J12849"/>
  <c r="J12848"/>
  <c r="J12847"/>
  <c r="J12846"/>
  <c r="J12845"/>
  <c r="J12844"/>
  <c r="J12843"/>
  <c r="J12842"/>
  <c r="J12841"/>
  <c r="J12840"/>
  <c r="J12839"/>
  <c r="J12838"/>
  <c r="J12837"/>
  <c r="J12836"/>
  <c r="J12835"/>
  <c r="J12834"/>
  <c r="J12833"/>
  <c r="J12832"/>
  <c r="J12831"/>
  <c r="J12830"/>
  <c r="J12829"/>
  <c r="J12828"/>
  <c r="J12827"/>
  <c r="J12826"/>
  <c r="J12825"/>
  <c r="J12824"/>
  <c r="J12823"/>
  <c r="J12822"/>
  <c r="J12821"/>
  <c r="J12820"/>
  <c r="J12819"/>
  <c r="J12818"/>
  <c r="J12817"/>
  <c r="J12816"/>
  <c r="J12815"/>
  <c r="J12814"/>
  <c r="J12813"/>
  <c r="J12812"/>
  <c r="J12811"/>
  <c r="J12810"/>
  <c r="J12809"/>
  <c r="J12808"/>
  <c r="J12807"/>
  <c r="J12806"/>
  <c r="J12805"/>
  <c r="J12804"/>
  <c r="J12803"/>
  <c r="J12802"/>
  <c r="J12801"/>
  <c r="J12800"/>
  <c r="J12799"/>
  <c r="J12798"/>
  <c r="J12797"/>
  <c r="J12796"/>
  <c r="J12795"/>
  <c r="J12794"/>
  <c r="J12793"/>
  <c r="J12792"/>
  <c r="I4667"/>
  <c r="F312" i="7" s="1"/>
  <c r="F311" s="1"/>
  <c r="J4666" i="8"/>
  <c r="J4665"/>
  <c r="J4664"/>
  <c r="J4663"/>
  <c r="J4662"/>
  <c r="J4661"/>
  <c r="J4660"/>
  <c r="J4659"/>
  <c r="J4658"/>
  <c r="J4657"/>
  <c r="J4656"/>
  <c r="J4655"/>
  <c r="J4654"/>
  <c r="J4653"/>
  <c r="J4652"/>
  <c r="E126" i="6"/>
  <c r="J4648" i="8"/>
  <c r="J4647"/>
  <c r="J4646"/>
  <c r="J4645"/>
  <c r="J4644"/>
  <c r="J4643"/>
  <c r="J4642"/>
  <c r="J4641"/>
  <c r="J4640"/>
  <c r="J4639"/>
  <c r="J4638"/>
  <c r="J4637"/>
  <c r="J4636"/>
  <c r="J4635"/>
  <c r="J4634"/>
  <c r="C126" i="6"/>
  <c r="J4613" i="8"/>
  <c r="J4612"/>
  <c r="J4611"/>
  <c r="J4610"/>
  <c r="J4609"/>
  <c r="J4608"/>
  <c r="J4607"/>
  <c r="J4606"/>
  <c r="J4605"/>
  <c r="J4604"/>
  <c r="J4603"/>
  <c r="J4602"/>
  <c r="J4601"/>
  <c r="J4600"/>
  <c r="J4599"/>
  <c r="J4598"/>
  <c r="J4597"/>
  <c r="J4596"/>
  <c r="J4595"/>
  <c r="J4594"/>
  <c r="J4593"/>
  <c r="J4592"/>
  <c r="J4591"/>
  <c r="J4590"/>
  <c r="J4589"/>
  <c r="J4588"/>
  <c r="J4587"/>
  <c r="J4586"/>
  <c r="J4585"/>
  <c r="J4584"/>
  <c r="J4583"/>
  <c r="J4582"/>
  <c r="J4581"/>
  <c r="J4580"/>
  <c r="J4579"/>
  <c r="J4578"/>
  <c r="J4577"/>
  <c r="J4576"/>
  <c r="J4575"/>
  <c r="J4574"/>
  <c r="J4573"/>
  <c r="J4572"/>
  <c r="J4571"/>
  <c r="J4570"/>
  <c r="J4569"/>
  <c r="J4568"/>
  <c r="J4567"/>
  <c r="J4566"/>
  <c r="J4565"/>
  <c r="J4564"/>
  <c r="J4563"/>
  <c r="J4562"/>
  <c r="J4561"/>
  <c r="J4560"/>
  <c r="J4559"/>
  <c r="J4558"/>
  <c r="J4557"/>
  <c r="J4556"/>
  <c r="J4555"/>
  <c r="J4554"/>
  <c r="F282" i="7"/>
  <c r="F279" s="1"/>
  <c r="D282"/>
  <c r="J12248" i="8"/>
  <c r="J12247"/>
  <c r="J12246"/>
  <c r="J12245"/>
  <c r="J12244"/>
  <c r="J12243"/>
  <c r="J12242"/>
  <c r="J12241"/>
  <c r="J12240"/>
  <c r="J12239"/>
  <c r="J12238"/>
  <c r="J12237"/>
  <c r="J12236"/>
  <c r="J12235"/>
  <c r="J12234"/>
  <c r="J12233"/>
  <c r="J12230"/>
  <c r="J12229"/>
  <c r="J12228"/>
  <c r="J12227"/>
  <c r="J12226"/>
  <c r="J12225"/>
  <c r="J12224"/>
  <c r="J12223"/>
  <c r="J12222"/>
  <c r="J12221"/>
  <c r="J12220"/>
  <c r="J12219"/>
  <c r="J12218"/>
  <c r="J12217"/>
  <c r="J12216"/>
  <c r="J12215"/>
  <c r="J12212"/>
  <c r="J12211"/>
  <c r="J12210"/>
  <c r="J12209"/>
  <c r="J12208"/>
  <c r="J12207"/>
  <c r="J12206"/>
  <c r="J12205"/>
  <c r="J12204"/>
  <c r="J12203"/>
  <c r="J12202"/>
  <c r="J12201"/>
  <c r="J12200"/>
  <c r="J12199"/>
  <c r="J12198"/>
  <c r="J12197"/>
  <c r="J12196"/>
  <c r="J12195"/>
  <c r="J12194"/>
  <c r="J12193"/>
  <c r="J12192"/>
  <c r="J12191"/>
  <c r="J12190"/>
  <c r="J12189"/>
  <c r="J12188"/>
  <c r="J12187"/>
  <c r="J12186"/>
  <c r="J12185"/>
  <c r="J12184"/>
  <c r="J12183"/>
  <c r="J12182"/>
  <c r="J12181"/>
  <c r="J12180"/>
  <c r="J12179"/>
  <c r="J12178"/>
  <c r="J12177"/>
  <c r="J12176"/>
  <c r="J12175"/>
  <c r="J12174"/>
  <c r="J12173"/>
  <c r="J12172"/>
  <c r="J12171"/>
  <c r="J12170"/>
  <c r="J12169"/>
  <c r="J12168"/>
  <c r="J12167"/>
  <c r="J12166"/>
  <c r="J12165"/>
  <c r="J12164"/>
  <c r="J12163"/>
  <c r="J12162"/>
  <c r="J12161"/>
  <c r="J12160"/>
  <c r="J12159"/>
  <c r="J12158"/>
  <c r="J12157"/>
  <c r="J12156"/>
  <c r="J12155"/>
  <c r="J12154"/>
  <c r="J4487"/>
  <c r="J4486"/>
  <c r="J4485"/>
  <c r="J4484"/>
  <c r="J4483"/>
  <c r="J4482"/>
  <c r="J4481"/>
  <c r="J4480"/>
  <c r="J4479"/>
  <c r="J4478"/>
  <c r="J4477"/>
  <c r="J4476"/>
  <c r="J4475"/>
  <c r="J4474"/>
  <c r="J4473"/>
  <c r="J4469"/>
  <c r="J4468"/>
  <c r="J4467"/>
  <c r="J4466"/>
  <c r="J4465"/>
  <c r="J4464"/>
  <c r="J4463"/>
  <c r="J4462"/>
  <c r="J4461"/>
  <c r="J4460"/>
  <c r="J4459"/>
  <c r="J4458"/>
  <c r="J4457"/>
  <c r="J4456"/>
  <c r="J4455"/>
  <c r="C121" i="6"/>
  <c r="J4439" i="8"/>
  <c r="J4438"/>
  <c r="J4437"/>
  <c r="J4436"/>
  <c r="J4435"/>
  <c r="J4434"/>
  <c r="J4433"/>
  <c r="J4432"/>
  <c r="J4431"/>
  <c r="J4430"/>
  <c r="J4429"/>
  <c r="J4428"/>
  <c r="J4427"/>
  <c r="J4426"/>
  <c r="J4425"/>
  <c r="J4424"/>
  <c r="J4423"/>
  <c r="J4422"/>
  <c r="J4421"/>
  <c r="J4420"/>
  <c r="J4419"/>
  <c r="J4418"/>
  <c r="J4417"/>
  <c r="J4416"/>
  <c r="J4415"/>
  <c r="J4414"/>
  <c r="J4413"/>
  <c r="J4412"/>
  <c r="J4411"/>
  <c r="J4410"/>
  <c r="J4409"/>
  <c r="J4408"/>
  <c r="J4407"/>
  <c r="J4406"/>
  <c r="J4405"/>
  <c r="J4404"/>
  <c r="J4403"/>
  <c r="J4402"/>
  <c r="J4401"/>
  <c r="J4400"/>
  <c r="J4399"/>
  <c r="J4398"/>
  <c r="J4397"/>
  <c r="J4396"/>
  <c r="J4395"/>
  <c r="J4394"/>
  <c r="J4393"/>
  <c r="J4392"/>
  <c r="J4391"/>
  <c r="J4390"/>
  <c r="J4389"/>
  <c r="J4388"/>
  <c r="J4387"/>
  <c r="J4386"/>
  <c r="J4385"/>
  <c r="J4384"/>
  <c r="J4383"/>
  <c r="J4382"/>
  <c r="J4381"/>
  <c r="J4380"/>
  <c r="I12150"/>
  <c r="F248" i="7" s="1"/>
  <c r="J12149" i="8"/>
  <c r="J12148"/>
  <c r="J12147"/>
  <c r="J12146"/>
  <c r="J12145"/>
  <c r="J12144"/>
  <c r="J12143"/>
  <c r="J12142"/>
  <c r="J12141"/>
  <c r="J12140"/>
  <c r="J12139"/>
  <c r="J12138"/>
  <c r="J12137"/>
  <c r="J12136"/>
  <c r="J12135"/>
  <c r="J12131"/>
  <c r="J12130"/>
  <c r="J12129"/>
  <c r="J12128"/>
  <c r="J12127"/>
  <c r="J12126"/>
  <c r="J12125"/>
  <c r="J12124"/>
  <c r="J12123"/>
  <c r="J12122"/>
  <c r="J12121"/>
  <c r="J12120"/>
  <c r="J12119"/>
  <c r="J12118"/>
  <c r="J12117"/>
  <c r="J12114"/>
  <c r="J12113"/>
  <c r="J12112"/>
  <c r="J12111"/>
  <c r="J12110"/>
  <c r="J12109"/>
  <c r="J12108"/>
  <c r="J12107"/>
  <c r="J12106"/>
  <c r="J12105"/>
  <c r="J12104"/>
  <c r="J12103"/>
  <c r="J12102"/>
  <c r="J12101"/>
  <c r="J12100"/>
  <c r="J12099"/>
  <c r="J12098"/>
  <c r="J12097"/>
  <c r="J12096"/>
  <c r="J12095"/>
  <c r="J12094"/>
  <c r="J12093"/>
  <c r="J12092"/>
  <c r="J12091"/>
  <c r="J12090"/>
  <c r="J12089"/>
  <c r="J12088"/>
  <c r="J12087"/>
  <c r="J12086"/>
  <c r="J12085"/>
  <c r="J12084"/>
  <c r="J12083"/>
  <c r="J12082"/>
  <c r="J12081"/>
  <c r="J12080"/>
  <c r="J12079"/>
  <c r="J12078"/>
  <c r="J12077"/>
  <c r="J12076"/>
  <c r="J12075"/>
  <c r="J12074"/>
  <c r="J12073"/>
  <c r="J12072"/>
  <c r="J12071"/>
  <c r="J12070"/>
  <c r="J12069"/>
  <c r="J12068"/>
  <c r="J12067"/>
  <c r="J12066"/>
  <c r="J12065"/>
  <c r="J12064"/>
  <c r="J12063"/>
  <c r="J12062"/>
  <c r="J12061"/>
  <c r="J12060"/>
  <c r="J12059"/>
  <c r="J12058"/>
  <c r="J12057"/>
  <c r="J12056"/>
  <c r="J12055"/>
  <c r="J13996"/>
  <c r="J13995"/>
  <c r="J13994"/>
  <c r="J13993"/>
  <c r="J13992"/>
  <c r="J13991"/>
  <c r="J13990"/>
  <c r="J13989"/>
  <c r="J13988"/>
  <c r="J13987"/>
  <c r="J13986"/>
  <c r="J13985"/>
  <c r="J13983"/>
  <c r="J13982"/>
  <c r="J13976"/>
  <c r="J13975"/>
  <c r="J13974"/>
  <c r="J13973"/>
  <c r="J13972"/>
  <c r="J13971"/>
  <c r="J13970"/>
  <c r="J13969"/>
  <c r="J13968"/>
  <c r="J13967"/>
  <c r="J13966"/>
  <c r="J13965"/>
  <c r="J13964"/>
  <c r="J13963"/>
  <c r="J13962"/>
  <c r="J13938"/>
  <c r="J13937"/>
  <c r="J13936"/>
  <c r="J13935"/>
  <c r="J13934"/>
  <c r="J13933"/>
  <c r="J13932"/>
  <c r="J13931"/>
  <c r="J13930"/>
  <c r="J13929"/>
  <c r="J13928"/>
  <c r="J13927"/>
  <c r="J13926"/>
  <c r="J13925"/>
  <c r="J13924"/>
  <c r="I13958"/>
  <c r="J13957"/>
  <c r="J13956"/>
  <c r="J13955"/>
  <c r="J13954"/>
  <c r="J13953"/>
  <c r="J13952"/>
  <c r="J13951"/>
  <c r="J13950"/>
  <c r="J13949"/>
  <c r="J13948"/>
  <c r="J13947"/>
  <c r="J13946"/>
  <c r="J13945"/>
  <c r="J13944"/>
  <c r="J13943"/>
  <c r="I13920"/>
  <c r="F523" i="7" s="1"/>
  <c r="J13919" i="8"/>
  <c r="J13918"/>
  <c r="J13917"/>
  <c r="J13916"/>
  <c r="J13915"/>
  <c r="J13914"/>
  <c r="J13913"/>
  <c r="J13912"/>
  <c r="J13911"/>
  <c r="J13910"/>
  <c r="J13909"/>
  <c r="J13908"/>
  <c r="J13907"/>
  <c r="J13906"/>
  <c r="J13905"/>
  <c r="I13902"/>
  <c r="J13901"/>
  <c r="J13900"/>
  <c r="J13899"/>
  <c r="J13898"/>
  <c r="J13897"/>
  <c r="J13896"/>
  <c r="J13895"/>
  <c r="J13894"/>
  <c r="J13893"/>
  <c r="J13892"/>
  <c r="J13891"/>
  <c r="J13890"/>
  <c r="J13889"/>
  <c r="J13888"/>
  <c r="J13887"/>
  <c r="J13884"/>
  <c r="J13883"/>
  <c r="J13882"/>
  <c r="J13881"/>
  <c r="J13880"/>
  <c r="J13879"/>
  <c r="J13878"/>
  <c r="J13877"/>
  <c r="J13876"/>
  <c r="J13875"/>
  <c r="J13874"/>
  <c r="J13873"/>
  <c r="J13872"/>
  <c r="J13871"/>
  <c r="J13870"/>
  <c r="J13869"/>
  <c r="J13868"/>
  <c r="J13867"/>
  <c r="J13866"/>
  <c r="J13865"/>
  <c r="J13864"/>
  <c r="J13863"/>
  <c r="J13862"/>
  <c r="J13861"/>
  <c r="J13860"/>
  <c r="J13859"/>
  <c r="J13858"/>
  <c r="J13857"/>
  <c r="J13856"/>
  <c r="J13855"/>
  <c r="J13854"/>
  <c r="J13853"/>
  <c r="J13852"/>
  <c r="J13851"/>
  <c r="J13850"/>
  <c r="J13849"/>
  <c r="J13848"/>
  <c r="J13847"/>
  <c r="J13846"/>
  <c r="J13845"/>
  <c r="J13844"/>
  <c r="J13843"/>
  <c r="J13842"/>
  <c r="J13841"/>
  <c r="J13840"/>
  <c r="J13839"/>
  <c r="J13838"/>
  <c r="J13837"/>
  <c r="J13836"/>
  <c r="J13835"/>
  <c r="J13834"/>
  <c r="J13833"/>
  <c r="J13832"/>
  <c r="J13831"/>
  <c r="J13830"/>
  <c r="J13829"/>
  <c r="J13828"/>
  <c r="J13827"/>
  <c r="J13826"/>
  <c r="J13825"/>
  <c r="I13799"/>
  <c r="I13806" s="1"/>
  <c r="J13798"/>
  <c r="J13797"/>
  <c r="J13796"/>
  <c r="J13795"/>
  <c r="J13794"/>
  <c r="J13793"/>
  <c r="J13792"/>
  <c r="J13791"/>
  <c r="J13790"/>
  <c r="J13789"/>
  <c r="J13788"/>
  <c r="J13787"/>
  <c r="J13786"/>
  <c r="J13785"/>
  <c r="J13784"/>
  <c r="J13783"/>
  <c r="I13561"/>
  <c r="J13560"/>
  <c r="J13559"/>
  <c r="J13558"/>
  <c r="J13557"/>
  <c r="J13556"/>
  <c r="J13555"/>
  <c r="J13554"/>
  <c r="J13553"/>
  <c r="J13552"/>
  <c r="J13551"/>
  <c r="J13550"/>
  <c r="J13549"/>
  <c r="J13548"/>
  <c r="J13547"/>
  <c r="J13546"/>
  <c r="J13545"/>
  <c r="I13780"/>
  <c r="J13779"/>
  <c r="J13778"/>
  <c r="J13777"/>
  <c r="J13776"/>
  <c r="J13775"/>
  <c r="J13774"/>
  <c r="J13773"/>
  <c r="J13772"/>
  <c r="J13771"/>
  <c r="J13770"/>
  <c r="J13769"/>
  <c r="J13768"/>
  <c r="J13767"/>
  <c r="J13766"/>
  <c r="J13765"/>
  <c r="I13761"/>
  <c r="J13760"/>
  <c r="J13759"/>
  <c r="J13758"/>
  <c r="J13757"/>
  <c r="J13756"/>
  <c r="J13755"/>
  <c r="J13754"/>
  <c r="J13753"/>
  <c r="J13752"/>
  <c r="J13751"/>
  <c r="J13750"/>
  <c r="J13749"/>
  <c r="J13748"/>
  <c r="J13747"/>
  <c r="J13746"/>
  <c r="I13743"/>
  <c r="J13742"/>
  <c r="J13741"/>
  <c r="J13740"/>
  <c r="J13739"/>
  <c r="J13738"/>
  <c r="J13737"/>
  <c r="J13736"/>
  <c r="J13735"/>
  <c r="J13734"/>
  <c r="J13733"/>
  <c r="J13732"/>
  <c r="J13731"/>
  <c r="J13730"/>
  <c r="J13729"/>
  <c r="J13728"/>
  <c r="J13725"/>
  <c r="J13724"/>
  <c r="J13723"/>
  <c r="J13722"/>
  <c r="J13721"/>
  <c r="J13720"/>
  <c r="J13719"/>
  <c r="J13718"/>
  <c r="J13717"/>
  <c r="J13716"/>
  <c r="J13715"/>
  <c r="J13714"/>
  <c r="J13713"/>
  <c r="J13712"/>
  <c r="J13711"/>
  <c r="J13710"/>
  <c r="J13709"/>
  <c r="J13708"/>
  <c r="J13707"/>
  <c r="J13706"/>
  <c r="J13705"/>
  <c r="J13704"/>
  <c r="J13703"/>
  <c r="J13702"/>
  <c r="J13701"/>
  <c r="J13700"/>
  <c r="J13699"/>
  <c r="J13698"/>
  <c r="J13697"/>
  <c r="J13696"/>
  <c r="J13695"/>
  <c r="J13694"/>
  <c r="J13693"/>
  <c r="J13692"/>
  <c r="J13691"/>
  <c r="J13690"/>
  <c r="J13689"/>
  <c r="J13688"/>
  <c r="J13687"/>
  <c r="J13686"/>
  <c r="J13685"/>
  <c r="J13684"/>
  <c r="J13683"/>
  <c r="J13682"/>
  <c r="J13681"/>
  <c r="J13680"/>
  <c r="J13679"/>
  <c r="J13678"/>
  <c r="J13677"/>
  <c r="J13676"/>
  <c r="J13675"/>
  <c r="J13674"/>
  <c r="J13673"/>
  <c r="J13672"/>
  <c r="J13671"/>
  <c r="J13670"/>
  <c r="J13669"/>
  <c r="J13668"/>
  <c r="J13667"/>
  <c r="J13666"/>
  <c r="I13662"/>
  <c r="J13661"/>
  <c r="J13660"/>
  <c r="J13659"/>
  <c r="J13658"/>
  <c r="J13657"/>
  <c r="J13656"/>
  <c r="J13655"/>
  <c r="J13654"/>
  <c r="J13653"/>
  <c r="J13652"/>
  <c r="J13651"/>
  <c r="J13650"/>
  <c r="J13649"/>
  <c r="J13648"/>
  <c r="J13647"/>
  <c r="I13644"/>
  <c r="J13643"/>
  <c r="J13642"/>
  <c r="J13641"/>
  <c r="J13640"/>
  <c r="J13639"/>
  <c r="J13638"/>
  <c r="J13637"/>
  <c r="J13636"/>
  <c r="J13635"/>
  <c r="J13634"/>
  <c r="J13633"/>
  <c r="J13632"/>
  <c r="J13631"/>
  <c r="J13630"/>
  <c r="J13629"/>
  <c r="J13626"/>
  <c r="J13625"/>
  <c r="J13624"/>
  <c r="J13623"/>
  <c r="J13622"/>
  <c r="J13621"/>
  <c r="J13620"/>
  <c r="J13619"/>
  <c r="J13618"/>
  <c r="J13617"/>
  <c r="J13616"/>
  <c r="J13615"/>
  <c r="J13614"/>
  <c r="J13613"/>
  <c r="J13612"/>
  <c r="J13611"/>
  <c r="J13610"/>
  <c r="J13609"/>
  <c r="J13608"/>
  <c r="J13607"/>
  <c r="J13606"/>
  <c r="J13605"/>
  <c r="J13604"/>
  <c r="J13603"/>
  <c r="J13602"/>
  <c r="J13601"/>
  <c r="J13600"/>
  <c r="J13599"/>
  <c r="J13598"/>
  <c r="J13597"/>
  <c r="J13596"/>
  <c r="J13595"/>
  <c r="J13594"/>
  <c r="J13593"/>
  <c r="J13592"/>
  <c r="J13591"/>
  <c r="J13590"/>
  <c r="J13589"/>
  <c r="J13588"/>
  <c r="J13587"/>
  <c r="J13586"/>
  <c r="J13585"/>
  <c r="J13584"/>
  <c r="J13583"/>
  <c r="J13582"/>
  <c r="J13581"/>
  <c r="J13580"/>
  <c r="J13579"/>
  <c r="J13578"/>
  <c r="J13577"/>
  <c r="J13576"/>
  <c r="J13575"/>
  <c r="J13574"/>
  <c r="J13573"/>
  <c r="J13572"/>
  <c r="J13571"/>
  <c r="J13570"/>
  <c r="J13569"/>
  <c r="J13568"/>
  <c r="J13567"/>
  <c r="I13424"/>
  <c r="F347" i="7" s="1"/>
  <c r="J13423" i="8"/>
  <c r="J13422"/>
  <c r="J13421"/>
  <c r="J13420"/>
  <c r="J13419"/>
  <c r="J13418"/>
  <c r="J13417"/>
  <c r="J13416"/>
  <c r="J13415"/>
  <c r="J13414"/>
  <c r="J13413"/>
  <c r="J13412"/>
  <c r="J13411"/>
  <c r="J13410"/>
  <c r="J13409"/>
  <c r="H13424"/>
  <c r="D347" i="7" s="1"/>
  <c r="I13406" i="8"/>
  <c r="J13405"/>
  <c r="J13404"/>
  <c r="J13403"/>
  <c r="J13402"/>
  <c r="J13401"/>
  <c r="J13400"/>
  <c r="J13399"/>
  <c r="J13398"/>
  <c r="J13397"/>
  <c r="J13396"/>
  <c r="J13395"/>
  <c r="J13394"/>
  <c r="J13393"/>
  <c r="J13392"/>
  <c r="J13391"/>
  <c r="J13388"/>
  <c r="J13387"/>
  <c r="J13386"/>
  <c r="J13385"/>
  <c r="J13384"/>
  <c r="J13383"/>
  <c r="J13382"/>
  <c r="J13381"/>
  <c r="J13380"/>
  <c r="J13379"/>
  <c r="J13378"/>
  <c r="J13377"/>
  <c r="J13376"/>
  <c r="J13375"/>
  <c r="J13374"/>
  <c r="J13373"/>
  <c r="J13372"/>
  <c r="J13371"/>
  <c r="J13370"/>
  <c r="J13369"/>
  <c r="J13368"/>
  <c r="J13367"/>
  <c r="J13366"/>
  <c r="J13365"/>
  <c r="J13364"/>
  <c r="J13363"/>
  <c r="J13362"/>
  <c r="J13361"/>
  <c r="J13360"/>
  <c r="J13359"/>
  <c r="J13358"/>
  <c r="J13357"/>
  <c r="J13356"/>
  <c r="J13355"/>
  <c r="J13354"/>
  <c r="J13353"/>
  <c r="J13352"/>
  <c r="J13351"/>
  <c r="J13350"/>
  <c r="J13349"/>
  <c r="J13348"/>
  <c r="J13347"/>
  <c r="J13346"/>
  <c r="J13345"/>
  <c r="J13344"/>
  <c r="J13343"/>
  <c r="J13342"/>
  <c r="J13341"/>
  <c r="J13340"/>
  <c r="J13339"/>
  <c r="J13338"/>
  <c r="J13337"/>
  <c r="J13336"/>
  <c r="J13335"/>
  <c r="J13334"/>
  <c r="J13333"/>
  <c r="J13332"/>
  <c r="J13331"/>
  <c r="J13330"/>
  <c r="J13329"/>
  <c r="I13226"/>
  <c r="J13225"/>
  <c r="J13224"/>
  <c r="J13223"/>
  <c r="J13222"/>
  <c r="J13221"/>
  <c r="J13220"/>
  <c r="J13219"/>
  <c r="J13218"/>
  <c r="J13217"/>
  <c r="J13216"/>
  <c r="J13215"/>
  <c r="J13214"/>
  <c r="J13213"/>
  <c r="J13212"/>
  <c r="J13211"/>
  <c r="I13208"/>
  <c r="J13207"/>
  <c r="J13206"/>
  <c r="J13205"/>
  <c r="J13204"/>
  <c r="J13203"/>
  <c r="J13202"/>
  <c r="J13201"/>
  <c r="J13200"/>
  <c r="J13199"/>
  <c r="J13198"/>
  <c r="J13197"/>
  <c r="J13196"/>
  <c r="J13195"/>
  <c r="J13194"/>
  <c r="J13193"/>
  <c r="J13190"/>
  <c r="J13189"/>
  <c r="J13188"/>
  <c r="J13187"/>
  <c r="J13186"/>
  <c r="J13185"/>
  <c r="J13184"/>
  <c r="J13183"/>
  <c r="J13182"/>
  <c r="J13181"/>
  <c r="J13180"/>
  <c r="J13179"/>
  <c r="J13178"/>
  <c r="J13177"/>
  <c r="J13176"/>
  <c r="J13175"/>
  <c r="J13174"/>
  <c r="J13173"/>
  <c r="J13172"/>
  <c r="J13171"/>
  <c r="J13170"/>
  <c r="J13169"/>
  <c r="J13168"/>
  <c r="J13167"/>
  <c r="J13166"/>
  <c r="J13165"/>
  <c r="J13164"/>
  <c r="J13163"/>
  <c r="J13162"/>
  <c r="J13161"/>
  <c r="J13160"/>
  <c r="J13159"/>
  <c r="J13158"/>
  <c r="J13157"/>
  <c r="J13156"/>
  <c r="J13155"/>
  <c r="J13154"/>
  <c r="J13153"/>
  <c r="J13152"/>
  <c r="J13151"/>
  <c r="J13150"/>
  <c r="J13149"/>
  <c r="J13148"/>
  <c r="J13147"/>
  <c r="J13146"/>
  <c r="J13145"/>
  <c r="J13144"/>
  <c r="J13143"/>
  <c r="J13142"/>
  <c r="J13141"/>
  <c r="J13140"/>
  <c r="J13139"/>
  <c r="J13138"/>
  <c r="J13137"/>
  <c r="J13136"/>
  <c r="J13135"/>
  <c r="J13134"/>
  <c r="J13133"/>
  <c r="J13132"/>
  <c r="J13131"/>
  <c r="I13542"/>
  <c r="J13541"/>
  <c r="J13540"/>
  <c r="J13539"/>
  <c r="J13538"/>
  <c r="J13537"/>
  <c r="J13536"/>
  <c r="J13535"/>
  <c r="J13534"/>
  <c r="J13533"/>
  <c r="J13532"/>
  <c r="J13531"/>
  <c r="J13530"/>
  <c r="J13529"/>
  <c r="J13528"/>
  <c r="J13527"/>
  <c r="I13523"/>
  <c r="J13522"/>
  <c r="J13521"/>
  <c r="J13520"/>
  <c r="J13519"/>
  <c r="J13518"/>
  <c r="J13517"/>
  <c r="J13516"/>
  <c r="J13515"/>
  <c r="J13514"/>
  <c r="J13513"/>
  <c r="J13512"/>
  <c r="J13511"/>
  <c r="J13510"/>
  <c r="J13509"/>
  <c r="J13508"/>
  <c r="I13505"/>
  <c r="J13504"/>
  <c r="J13503"/>
  <c r="J13502"/>
  <c r="J13501"/>
  <c r="J13500"/>
  <c r="J13499"/>
  <c r="J13498"/>
  <c r="J13497"/>
  <c r="J13496"/>
  <c r="J13495"/>
  <c r="J13494"/>
  <c r="J13493"/>
  <c r="J13492"/>
  <c r="J13491"/>
  <c r="J13490"/>
  <c r="J13487"/>
  <c r="J13486"/>
  <c r="J13485"/>
  <c r="J13484"/>
  <c r="J13483"/>
  <c r="J13482"/>
  <c r="J13481"/>
  <c r="J13480"/>
  <c r="J13479"/>
  <c r="J13478"/>
  <c r="J13477"/>
  <c r="J13476"/>
  <c r="J13475"/>
  <c r="J13474"/>
  <c r="J13473"/>
  <c r="J13472"/>
  <c r="J13471"/>
  <c r="J13470"/>
  <c r="J13469"/>
  <c r="J13468"/>
  <c r="J13467"/>
  <c r="J13466"/>
  <c r="J13465"/>
  <c r="J13464"/>
  <c r="J13463"/>
  <c r="J13462"/>
  <c r="J13461"/>
  <c r="J13460"/>
  <c r="J13459"/>
  <c r="J13458"/>
  <c r="J13457"/>
  <c r="J13456"/>
  <c r="J13455"/>
  <c r="J13454"/>
  <c r="J13453"/>
  <c r="J13452"/>
  <c r="J13451"/>
  <c r="J13450"/>
  <c r="J13449"/>
  <c r="J13448"/>
  <c r="J13447"/>
  <c r="J13446"/>
  <c r="J13445"/>
  <c r="J13444"/>
  <c r="J13443"/>
  <c r="J13442"/>
  <c r="J13441"/>
  <c r="J13440"/>
  <c r="J13439"/>
  <c r="J13438"/>
  <c r="J13437"/>
  <c r="J13436"/>
  <c r="J13435"/>
  <c r="J13434"/>
  <c r="J13433"/>
  <c r="J13432"/>
  <c r="J13431"/>
  <c r="J13430"/>
  <c r="J13429"/>
  <c r="J13428"/>
  <c r="I13325"/>
  <c r="J13324"/>
  <c r="J13323"/>
  <c r="J13322"/>
  <c r="J13321"/>
  <c r="J13320"/>
  <c r="J13319"/>
  <c r="J13318"/>
  <c r="J13317"/>
  <c r="J13316"/>
  <c r="J13315"/>
  <c r="J13314"/>
  <c r="J13313"/>
  <c r="J13312"/>
  <c r="J13311"/>
  <c r="J13310"/>
  <c r="I13307"/>
  <c r="J13306"/>
  <c r="J13305"/>
  <c r="J13304"/>
  <c r="J13303"/>
  <c r="J13302"/>
  <c r="J13301"/>
  <c r="J13300"/>
  <c r="J13299"/>
  <c r="J13298"/>
  <c r="J13297"/>
  <c r="J13296"/>
  <c r="J13295"/>
  <c r="J13294"/>
  <c r="J13293"/>
  <c r="J13292"/>
  <c r="J13289"/>
  <c r="J13288"/>
  <c r="J13287"/>
  <c r="J13286"/>
  <c r="J13285"/>
  <c r="J13284"/>
  <c r="J13283"/>
  <c r="J13282"/>
  <c r="J13281"/>
  <c r="J13280"/>
  <c r="J13279"/>
  <c r="J13278"/>
  <c r="J13277"/>
  <c r="J13276"/>
  <c r="J13275"/>
  <c r="J13274"/>
  <c r="J13273"/>
  <c r="J13272"/>
  <c r="J13271"/>
  <c r="J13270"/>
  <c r="J13269"/>
  <c r="J13268"/>
  <c r="J13267"/>
  <c r="J13266"/>
  <c r="J13265"/>
  <c r="J13264"/>
  <c r="J13263"/>
  <c r="J13262"/>
  <c r="J13261"/>
  <c r="J13260"/>
  <c r="J13259"/>
  <c r="J13258"/>
  <c r="J13257"/>
  <c r="J13256"/>
  <c r="J13255"/>
  <c r="J13254"/>
  <c r="J13253"/>
  <c r="J13252"/>
  <c r="J13251"/>
  <c r="J13250"/>
  <c r="J13249"/>
  <c r="J13248"/>
  <c r="J13247"/>
  <c r="J13246"/>
  <c r="J13245"/>
  <c r="J13244"/>
  <c r="J13243"/>
  <c r="J13242"/>
  <c r="J13241"/>
  <c r="J13240"/>
  <c r="J13239"/>
  <c r="J13238"/>
  <c r="J13237"/>
  <c r="J13236"/>
  <c r="J13235"/>
  <c r="J13234"/>
  <c r="J13233"/>
  <c r="J13232"/>
  <c r="J13231"/>
  <c r="J13230"/>
  <c r="I13127"/>
  <c r="J13126"/>
  <c r="J13125"/>
  <c r="J13124"/>
  <c r="J13123"/>
  <c r="J13122"/>
  <c r="J13121"/>
  <c r="J13120"/>
  <c r="J13119"/>
  <c r="J13118"/>
  <c r="J13117"/>
  <c r="J13116"/>
  <c r="J13115"/>
  <c r="J13114"/>
  <c r="J13113"/>
  <c r="J13112"/>
  <c r="J13108"/>
  <c r="J13107"/>
  <c r="J13106"/>
  <c r="J13105"/>
  <c r="J13104"/>
  <c r="J13103"/>
  <c r="J13102"/>
  <c r="J13101"/>
  <c r="J13100"/>
  <c r="J13099"/>
  <c r="J13098"/>
  <c r="J13097"/>
  <c r="J13096"/>
  <c r="J13095"/>
  <c r="J13094"/>
  <c r="J13091"/>
  <c r="J13090"/>
  <c r="J13089"/>
  <c r="J13088"/>
  <c r="J13087"/>
  <c r="J13086"/>
  <c r="J13085"/>
  <c r="J13084"/>
  <c r="J13083"/>
  <c r="J13082"/>
  <c r="J13081"/>
  <c r="J13080"/>
  <c r="J13079"/>
  <c r="J13078"/>
  <c r="J13077"/>
  <c r="J13076"/>
  <c r="J13075"/>
  <c r="J13074"/>
  <c r="J13073"/>
  <c r="J13072"/>
  <c r="J13071"/>
  <c r="J13070"/>
  <c r="J13069"/>
  <c r="J13068"/>
  <c r="J13067"/>
  <c r="J13066"/>
  <c r="J13065"/>
  <c r="J13064"/>
  <c r="J13063"/>
  <c r="J13062"/>
  <c r="J13061"/>
  <c r="J13060"/>
  <c r="J13059"/>
  <c r="J13058"/>
  <c r="J13057"/>
  <c r="J13056"/>
  <c r="J13055"/>
  <c r="J13054"/>
  <c r="J13053"/>
  <c r="J13052"/>
  <c r="J13051"/>
  <c r="J13050"/>
  <c r="J13049"/>
  <c r="J13048"/>
  <c r="J13047"/>
  <c r="J13046"/>
  <c r="J13045"/>
  <c r="J13044"/>
  <c r="J13043"/>
  <c r="J13042"/>
  <c r="J13041"/>
  <c r="J13040"/>
  <c r="J13039"/>
  <c r="J13038"/>
  <c r="J13037"/>
  <c r="J13036"/>
  <c r="J13035"/>
  <c r="J13034"/>
  <c r="J13033"/>
  <c r="J13032"/>
  <c r="I12048"/>
  <c r="J12047"/>
  <c r="J12046"/>
  <c r="J12045"/>
  <c r="J12044"/>
  <c r="J12043"/>
  <c r="J12042"/>
  <c r="J12041"/>
  <c r="J12040"/>
  <c r="J12039"/>
  <c r="J12038"/>
  <c r="J12037"/>
  <c r="J12036"/>
  <c r="J12035"/>
  <c r="J12034"/>
  <c r="J12033"/>
  <c r="J12032"/>
  <c r="I12029"/>
  <c r="J12028"/>
  <c r="J12027"/>
  <c r="J12026"/>
  <c r="J12025"/>
  <c r="J12024"/>
  <c r="J12023"/>
  <c r="J12022"/>
  <c r="J12021"/>
  <c r="J12020"/>
  <c r="J12019"/>
  <c r="J12018"/>
  <c r="J12017"/>
  <c r="J12016"/>
  <c r="J12015"/>
  <c r="J12014"/>
  <c r="J12013"/>
  <c r="J12009"/>
  <c r="J12008"/>
  <c r="J12007"/>
  <c r="J12006"/>
  <c r="J12005"/>
  <c r="J12004"/>
  <c r="J12003"/>
  <c r="J12002"/>
  <c r="J12001"/>
  <c r="J12000"/>
  <c r="J11999"/>
  <c r="J11998"/>
  <c r="J11997"/>
  <c r="J11996"/>
  <c r="J11995"/>
  <c r="J11994"/>
  <c r="J11991"/>
  <c r="J11990"/>
  <c r="J11989"/>
  <c r="J11988"/>
  <c r="J11987"/>
  <c r="J11986"/>
  <c r="J11985"/>
  <c r="J11984"/>
  <c r="J11983"/>
  <c r="J11982"/>
  <c r="J11981"/>
  <c r="J11980"/>
  <c r="J11979"/>
  <c r="J11978"/>
  <c r="J11977"/>
  <c r="J11976"/>
  <c r="J11974"/>
  <c r="J11973"/>
  <c r="J11972"/>
  <c r="J11971"/>
  <c r="J11970"/>
  <c r="J11969"/>
  <c r="J11968"/>
  <c r="J11967"/>
  <c r="J11966"/>
  <c r="J11965"/>
  <c r="J11964"/>
  <c r="J11963"/>
  <c r="J11962"/>
  <c r="J11961"/>
  <c r="J11960"/>
  <c r="J11959"/>
  <c r="J11958"/>
  <c r="J11957"/>
  <c r="J11956"/>
  <c r="J11955"/>
  <c r="J11954"/>
  <c r="J11953"/>
  <c r="J11952"/>
  <c r="J11951"/>
  <c r="J11950"/>
  <c r="J11949"/>
  <c r="J11948"/>
  <c r="J11947"/>
  <c r="J11946"/>
  <c r="J11945"/>
  <c r="J11944"/>
  <c r="J11943"/>
  <c r="J11942"/>
  <c r="J11941"/>
  <c r="J11940"/>
  <c r="J11939"/>
  <c r="J11938"/>
  <c r="J11937"/>
  <c r="J11936"/>
  <c r="J11935"/>
  <c r="J11934"/>
  <c r="J11933"/>
  <c r="J11932"/>
  <c r="J11931"/>
  <c r="J11930"/>
  <c r="J11929"/>
  <c r="J11928"/>
  <c r="J11927"/>
  <c r="J11926"/>
  <c r="J11925"/>
  <c r="J11924"/>
  <c r="J11923"/>
  <c r="J11922"/>
  <c r="J11921"/>
  <c r="J11920"/>
  <c r="J11919"/>
  <c r="J11918"/>
  <c r="J11917"/>
  <c r="J11916"/>
  <c r="J11915"/>
  <c r="I11911"/>
  <c r="J11910"/>
  <c r="J11909"/>
  <c r="J11908"/>
  <c r="J11907"/>
  <c r="J11906"/>
  <c r="J11905"/>
  <c r="J11904"/>
  <c r="J11903"/>
  <c r="J11902"/>
  <c r="J11901"/>
  <c r="J11900"/>
  <c r="J11899"/>
  <c r="J11898"/>
  <c r="J11897"/>
  <c r="J11896"/>
  <c r="J11892"/>
  <c r="J11891"/>
  <c r="J11890"/>
  <c r="J11889"/>
  <c r="J11888"/>
  <c r="J11887"/>
  <c r="J11886"/>
  <c r="J11885"/>
  <c r="J11884"/>
  <c r="J11883"/>
  <c r="J11882"/>
  <c r="J11881"/>
  <c r="J11880"/>
  <c r="J11879"/>
  <c r="J11878"/>
  <c r="J11875"/>
  <c r="J11874"/>
  <c r="J11873"/>
  <c r="J11872"/>
  <c r="J11871"/>
  <c r="J11870"/>
  <c r="J11869"/>
  <c r="J11868"/>
  <c r="J11867"/>
  <c r="J11866"/>
  <c r="J11865"/>
  <c r="J11864"/>
  <c r="J11863"/>
  <c r="J11862"/>
  <c r="J11861"/>
  <c r="J11860"/>
  <c r="J11859"/>
  <c r="J11858"/>
  <c r="J11857"/>
  <c r="J11856"/>
  <c r="J11855"/>
  <c r="J11854"/>
  <c r="J11853"/>
  <c r="J11852"/>
  <c r="J11851"/>
  <c r="J11850"/>
  <c r="J11849"/>
  <c r="J11848"/>
  <c r="J11847"/>
  <c r="J11846"/>
  <c r="J11845"/>
  <c r="J11844"/>
  <c r="J11843"/>
  <c r="J11842"/>
  <c r="J11841"/>
  <c r="J11840"/>
  <c r="J11839"/>
  <c r="J11838"/>
  <c r="J11837"/>
  <c r="J11836"/>
  <c r="J11835"/>
  <c r="J11834"/>
  <c r="J11833"/>
  <c r="J11832"/>
  <c r="J11831"/>
  <c r="J11830"/>
  <c r="J11829"/>
  <c r="J11828"/>
  <c r="J11827"/>
  <c r="J11826"/>
  <c r="J11825"/>
  <c r="J11824"/>
  <c r="J11823"/>
  <c r="J11822"/>
  <c r="J11821"/>
  <c r="J11820"/>
  <c r="J11819"/>
  <c r="J11818"/>
  <c r="J11817"/>
  <c r="J11816"/>
  <c r="I11810"/>
  <c r="J11809"/>
  <c r="J11808"/>
  <c r="J11807"/>
  <c r="J11806"/>
  <c r="J11805"/>
  <c r="J11804"/>
  <c r="J11803"/>
  <c r="J11802"/>
  <c r="J11801"/>
  <c r="J11800"/>
  <c r="J11799"/>
  <c r="J11798"/>
  <c r="J11797"/>
  <c r="J11796"/>
  <c r="J11795"/>
  <c r="I11791"/>
  <c r="J11790"/>
  <c r="J11789"/>
  <c r="J11788"/>
  <c r="J11787"/>
  <c r="J11786"/>
  <c r="J11785"/>
  <c r="J11784"/>
  <c r="J11783"/>
  <c r="J11782"/>
  <c r="J11781"/>
  <c r="J11780"/>
  <c r="J11779"/>
  <c r="J11778"/>
  <c r="J11777"/>
  <c r="J11776"/>
  <c r="J11771"/>
  <c r="J11770"/>
  <c r="J11769"/>
  <c r="J11768"/>
  <c r="J11767"/>
  <c r="J11766"/>
  <c r="J11765"/>
  <c r="J11764"/>
  <c r="J11763"/>
  <c r="J11762"/>
  <c r="J11761"/>
  <c r="J11760"/>
  <c r="J11759"/>
  <c r="J11758"/>
  <c r="J11757"/>
  <c r="J11756"/>
  <c r="J11753"/>
  <c r="J11752"/>
  <c r="J11751"/>
  <c r="J11750"/>
  <c r="J11749"/>
  <c r="J11748"/>
  <c r="J11747"/>
  <c r="J11746"/>
  <c r="J11745"/>
  <c r="J11744"/>
  <c r="J11743"/>
  <c r="J11742"/>
  <c r="J11741"/>
  <c r="J11740"/>
  <c r="J11739"/>
  <c r="J11738"/>
  <c r="J11736"/>
  <c r="J11735"/>
  <c r="J11734"/>
  <c r="J11733"/>
  <c r="J11732"/>
  <c r="J11731"/>
  <c r="J11730"/>
  <c r="J11729"/>
  <c r="J11728"/>
  <c r="J11727"/>
  <c r="J11726"/>
  <c r="J11725"/>
  <c r="J11724"/>
  <c r="J11723"/>
  <c r="J11722"/>
  <c r="J11721"/>
  <c r="J11720"/>
  <c r="J11719"/>
  <c r="J11718"/>
  <c r="J11717"/>
  <c r="J11716"/>
  <c r="J11715"/>
  <c r="J11714"/>
  <c r="J11713"/>
  <c r="J11712"/>
  <c r="J11711"/>
  <c r="J11710"/>
  <c r="J11709"/>
  <c r="J11708"/>
  <c r="J11707"/>
  <c r="J11706"/>
  <c r="J11705"/>
  <c r="J11704"/>
  <c r="J11703"/>
  <c r="J11702"/>
  <c r="J11701"/>
  <c r="J11700"/>
  <c r="J11699"/>
  <c r="J11698"/>
  <c r="J11697"/>
  <c r="J11696"/>
  <c r="J11695"/>
  <c r="J11694"/>
  <c r="J11693"/>
  <c r="J11692"/>
  <c r="J11691"/>
  <c r="J11690"/>
  <c r="J11689"/>
  <c r="J11688"/>
  <c r="J11687"/>
  <c r="J11686"/>
  <c r="J11685"/>
  <c r="J11684"/>
  <c r="J11683"/>
  <c r="J11682"/>
  <c r="J11681"/>
  <c r="J11680"/>
  <c r="J11679"/>
  <c r="J11678"/>
  <c r="J11677"/>
  <c r="I11673"/>
  <c r="J11672"/>
  <c r="J11671"/>
  <c r="J11670"/>
  <c r="J11669"/>
  <c r="J11668"/>
  <c r="J11667"/>
  <c r="J11666"/>
  <c r="J11665"/>
  <c r="J11664"/>
  <c r="J11663"/>
  <c r="J11662"/>
  <c r="J11661"/>
  <c r="J11660"/>
  <c r="J11659"/>
  <c r="J11658"/>
  <c r="I11655"/>
  <c r="J11654"/>
  <c r="J11653"/>
  <c r="J11652"/>
  <c r="J11651"/>
  <c r="J11650"/>
  <c r="J11649"/>
  <c r="J11648"/>
  <c r="J11647"/>
  <c r="J11646"/>
  <c r="J11645"/>
  <c r="J11644"/>
  <c r="J11643"/>
  <c r="J11642"/>
  <c r="J11641"/>
  <c r="J11640"/>
  <c r="J11637"/>
  <c r="J11636"/>
  <c r="J11635"/>
  <c r="J11634"/>
  <c r="J11633"/>
  <c r="J11632"/>
  <c r="J11631"/>
  <c r="J11630"/>
  <c r="J11629"/>
  <c r="J11628"/>
  <c r="J11627"/>
  <c r="J11626"/>
  <c r="J11625"/>
  <c r="J11624"/>
  <c r="J11623"/>
  <c r="J11622"/>
  <c r="J11621"/>
  <c r="J11620"/>
  <c r="J11619"/>
  <c r="J11618"/>
  <c r="J11617"/>
  <c r="J11616"/>
  <c r="J11615"/>
  <c r="J11614"/>
  <c r="J11613"/>
  <c r="J11612"/>
  <c r="J11611"/>
  <c r="J11610"/>
  <c r="J11609"/>
  <c r="J11608"/>
  <c r="J11607"/>
  <c r="J11606"/>
  <c r="J11605"/>
  <c r="J11604"/>
  <c r="J11603"/>
  <c r="J11602"/>
  <c r="J11601"/>
  <c r="J11600"/>
  <c r="J11599"/>
  <c r="J11598"/>
  <c r="J11597"/>
  <c r="J11596"/>
  <c r="J11595"/>
  <c r="J11594"/>
  <c r="J11593"/>
  <c r="J11592"/>
  <c r="J11591"/>
  <c r="J11590"/>
  <c r="J11589"/>
  <c r="J11588"/>
  <c r="J11587"/>
  <c r="J11586"/>
  <c r="J11585"/>
  <c r="J11584"/>
  <c r="J11583"/>
  <c r="J11582"/>
  <c r="J11581"/>
  <c r="J11580"/>
  <c r="J11579"/>
  <c r="J11578"/>
  <c r="J11571"/>
  <c r="J11570"/>
  <c r="J11569"/>
  <c r="J11568"/>
  <c r="J11567"/>
  <c r="J11566"/>
  <c r="J11565"/>
  <c r="J11564"/>
  <c r="J11563"/>
  <c r="J11562"/>
  <c r="J11561"/>
  <c r="J11560"/>
  <c r="J11559"/>
  <c r="J11558"/>
  <c r="J11557"/>
  <c r="J11556"/>
  <c r="J11552"/>
  <c r="J11551"/>
  <c r="J11550"/>
  <c r="J11549"/>
  <c r="J11548"/>
  <c r="J11547"/>
  <c r="J11546"/>
  <c r="J11545"/>
  <c r="J11544"/>
  <c r="J11543"/>
  <c r="J11542"/>
  <c r="J11541"/>
  <c r="J11540"/>
  <c r="J11539"/>
  <c r="J11538"/>
  <c r="J11537"/>
  <c r="J10839"/>
  <c r="J10838"/>
  <c r="J10837"/>
  <c r="J10836"/>
  <c r="J10835"/>
  <c r="J10834"/>
  <c r="J10833"/>
  <c r="J10832"/>
  <c r="J10831"/>
  <c r="J10830"/>
  <c r="J10829"/>
  <c r="J10828"/>
  <c r="J10827"/>
  <c r="J10826"/>
  <c r="J10825"/>
  <c r="J10824"/>
  <c r="H10822"/>
  <c r="J10821"/>
  <c r="J10820"/>
  <c r="J10819"/>
  <c r="J10818"/>
  <c r="J10817"/>
  <c r="J10816"/>
  <c r="J10815"/>
  <c r="J10814"/>
  <c r="J10813"/>
  <c r="J10812"/>
  <c r="J10811"/>
  <c r="J10810"/>
  <c r="J10809"/>
  <c r="J10808"/>
  <c r="J10807"/>
  <c r="J10806"/>
  <c r="J10804"/>
  <c r="J10803"/>
  <c r="J10802"/>
  <c r="J10801"/>
  <c r="J10800"/>
  <c r="J10799"/>
  <c r="J10798"/>
  <c r="J10797"/>
  <c r="J10796"/>
  <c r="J10795"/>
  <c r="J10794"/>
  <c r="J10793"/>
  <c r="J10792"/>
  <c r="J10791"/>
  <c r="J10790"/>
  <c r="J10789"/>
  <c r="J10788"/>
  <c r="J10787"/>
  <c r="J10786"/>
  <c r="J10785"/>
  <c r="J10784"/>
  <c r="J10783"/>
  <c r="J10782"/>
  <c r="J10781"/>
  <c r="J10780"/>
  <c r="J10779"/>
  <c r="J10778"/>
  <c r="J10777"/>
  <c r="J10776"/>
  <c r="J10775"/>
  <c r="J10774"/>
  <c r="J10773"/>
  <c r="J10772"/>
  <c r="J10771"/>
  <c r="J10770"/>
  <c r="J10769"/>
  <c r="J10768"/>
  <c r="J10767"/>
  <c r="J10766"/>
  <c r="J10765"/>
  <c r="J10764"/>
  <c r="J10763"/>
  <c r="J10762"/>
  <c r="J10761"/>
  <c r="J10760"/>
  <c r="J10759"/>
  <c r="J10758"/>
  <c r="J10757"/>
  <c r="J10756"/>
  <c r="J10755"/>
  <c r="J10754"/>
  <c r="J10753"/>
  <c r="J10752"/>
  <c r="J10751"/>
  <c r="J10750"/>
  <c r="J10749"/>
  <c r="J10748"/>
  <c r="J10747"/>
  <c r="J10746"/>
  <c r="J10745"/>
  <c r="J10740"/>
  <c r="J10739"/>
  <c r="J10738"/>
  <c r="J10737"/>
  <c r="J10736"/>
  <c r="J10735"/>
  <c r="J10734"/>
  <c r="J10733"/>
  <c r="J10732"/>
  <c r="J10731"/>
  <c r="J10730"/>
  <c r="J10729"/>
  <c r="J10728"/>
  <c r="J10727"/>
  <c r="J10726"/>
  <c r="I10723"/>
  <c r="J10722"/>
  <c r="J10721"/>
  <c r="J10720"/>
  <c r="J10719"/>
  <c r="J10718"/>
  <c r="J10717"/>
  <c r="J10716"/>
  <c r="J10715"/>
  <c r="J10714"/>
  <c r="J10713"/>
  <c r="J10712"/>
  <c r="J10711"/>
  <c r="J10710"/>
  <c r="J10709"/>
  <c r="J10708"/>
  <c r="J10705"/>
  <c r="J10704"/>
  <c r="J10703"/>
  <c r="J10702"/>
  <c r="J10701"/>
  <c r="J10700"/>
  <c r="J10699"/>
  <c r="J10698"/>
  <c r="J10697"/>
  <c r="J10696"/>
  <c r="J10695"/>
  <c r="J10694"/>
  <c r="J10693"/>
  <c r="J10692"/>
  <c r="J10691"/>
  <c r="J10690"/>
  <c r="J10689"/>
  <c r="J10688"/>
  <c r="J10687"/>
  <c r="J10686"/>
  <c r="J10685"/>
  <c r="J10684"/>
  <c r="J10683"/>
  <c r="J10682"/>
  <c r="J10681"/>
  <c r="J10680"/>
  <c r="J10679"/>
  <c r="J10678"/>
  <c r="J10677"/>
  <c r="J10676"/>
  <c r="J10675"/>
  <c r="J10674"/>
  <c r="J10673"/>
  <c r="J10672"/>
  <c r="J10671"/>
  <c r="J10670"/>
  <c r="J10669"/>
  <c r="J10668"/>
  <c r="J10667"/>
  <c r="J10666"/>
  <c r="J10665"/>
  <c r="J10664"/>
  <c r="J10663"/>
  <c r="J10662"/>
  <c r="J10661"/>
  <c r="J10660"/>
  <c r="J10659"/>
  <c r="J10658"/>
  <c r="J10657"/>
  <c r="J10656"/>
  <c r="J10655"/>
  <c r="J10654"/>
  <c r="J10653"/>
  <c r="J10652"/>
  <c r="J10651"/>
  <c r="J10650"/>
  <c r="J10649"/>
  <c r="J10648"/>
  <c r="J10647"/>
  <c r="J10646"/>
  <c r="I10640"/>
  <c r="H10640"/>
  <c r="J10639"/>
  <c r="J10638"/>
  <c r="J10637"/>
  <c r="J10636"/>
  <c r="J10635"/>
  <c r="J10634"/>
  <c r="J10633"/>
  <c r="J10632"/>
  <c r="J10631"/>
  <c r="J10630"/>
  <c r="J10629"/>
  <c r="J10628"/>
  <c r="J10627"/>
  <c r="J10626"/>
  <c r="J10625"/>
  <c r="J10624"/>
  <c r="I10621"/>
  <c r="H10621"/>
  <c r="J10620"/>
  <c r="J10619"/>
  <c r="J10618"/>
  <c r="J10617"/>
  <c r="J10616"/>
  <c r="J10615"/>
  <c r="J10614"/>
  <c r="J10613"/>
  <c r="J10612"/>
  <c r="J10611"/>
  <c r="J10610"/>
  <c r="J10609"/>
  <c r="J10608"/>
  <c r="J10607"/>
  <c r="J10606"/>
  <c r="J10605"/>
  <c r="J10601"/>
  <c r="J10600"/>
  <c r="J10599"/>
  <c r="J10598"/>
  <c r="J10597"/>
  <c r="J10596"/>
  <c r="J10595"/>
  <c r="J10594"/>
  <c r="J10593"/>
  <c r="J10592"/>
  <c r="J10591"/>
  <c r="J10590"/>
  <c r="J10589"/>
  <c r="J10588"/>
  <c r="J10587"/>
  <c r="J10586"/>
  <c r="J10583"/>
  <c r="J10582"/>
  <c r="J10581"/>
  <c r="J10580"/>
  <c r="J10579"/>
  <c r="J10578"/>
  <c r="J10577"/>
  <c r="J10576"/>
  <c r="J10575"/>
  <c r="J10574"/>
  <c r="J10573"/>
  <c r="J10572"/>
  <c r="J10571"/>
  <c r="J10570"/>
  <c r="J10569"/>
  <c r="J10568"/>
  <c r="J10566"/>
  <c r="J10565"/>
  <c r="J10564"/>
  <c r="J10563"/>
  <c r="J10562"/>
  <c r="J10561"/>
  <c r="J10560"/>
  <c r="J10559"/>
  <c r="J10558"/>
  <c r="J10557"/>
  <c r="J10556"/>
  <c r="J10555"/>
  <c r="J10554"/>
  <c r="J10553"/>
  <c r="J10552"/>
  <c r="J10551"/>
  <c r="J10550"/>
  <c r="J10549"/>
  <c r="J10548"/>
  <c r="J10547"/>
  <c r="J10546"/>
  <c r="J10545"/>
  <c r="J10544"/>
  <c r="J10543"/>
  <c r="J10542"/>
  <c r="J10541"/>
  <c r="J10540"/>
  <c r="J10539"/>
  <c r="J10538"/>
  <c r="J10537"/>
  <c r="J10536"/>
  <c r="J10535"/>
  <c r="J10534"/>
  <c r="J10533"/>
  <c r="J10532"/>
  <c r="J10531"/>
  <c r="J10530"/>
  <c r="J10529"/>
  <c r="J10528"/>
  <c r="J10527"/>
  <c r="J10526"/>
  <c r="J10525"/>
  <c r="J10524"/>
  <c r="J10523"/>
  <c r="J10522"/>
  <c r="J10521"/>
  <c r="J10520"/>
  <c r="J10519"/>
  <c r="J10518"/>
  <c r="J10517"/>
  <c r="J10516"/>
  <c r="J10515"/>
  <c r="J10514"/>
  <c r="J10513"/>
  <c r="J10512"/>
  <c r="J10511"/>
  <c r="J10510"/>
  <c r="J10509"/>
  <c r="J10508"/>
  <c r="J10507"/>
  <c r="I10503"/>
  <c r="J10502"/>
  <c r="J10501"/>
  <c r="J10500"/>
  <c r="J10499"/>
  <c r="J10498"/>
  <c r="J10497"/>
  <c r="J10496"/>
  <c r="J10495"/>
  <c r="J10494"/>
  <c r="J10493"/>
  <c r="J10492"/>
  <c r="J10491"/>
  <c r="J10490"/>
  <c r="J10489"/>
  <c r="J10488"/>
  <c r="I10485"/>
  <c r="J10484"/>
  <c r="J10483"/>
  <c r="J10482"/>
  <c r="J10481"/>
  <c r="J10480"/>
  <c r="J10479"/>
  <c r="J10478"/>
  <c r="J10477"/>
  <c r="J10476"/>
  <c r="J10475"/>
  <c r="J10474"/>
  <c r="J10473"/>
  <c r="J10472"/>
  <c r="J10471"/>
  <c r="J10470"/>
  <c r="J10467"/>
  <c r="J10466"/>
  <c r="J10465"/>
  <c r="J10464"/>
  <c r="J10463"/>
  <c r="J10462"/>
  <c r="J10461"/>
  <c r="J10460"/>
  <c r="J10459"/>
  <c r="J10458"/>
  <c r="J10457"/>
  <c r="J10456"/>
  <c r="J10455"/>
  <c r="J10454"/>
  <c r="J10453"/>
  <c r="J10452"/>
  <c r="J10451"/>
  <c r="J10450"/>
  <c r="J10449"/>
  <c r="J10448"/>
  <c r="J10447"/>
  <c r="J10446"/>
  <c r="J10445"/>
  <c r="J10444"/>
  <c r="J10443"/>
  <c r="J10442"/>
  <c r="J10441"/>
  <c r="J10440"/>
  <c r="J10439"/>
  <c r="J10438"/>
  <c r="J10437"/>
  <c r="J10436"/>
  <c r="J10435"/>
  <c r="J10434"/>
  <c r="J10433"/>
  <c r="J10432"/>
  <c r="J10431"/>
  <c r="J10430"/>
  <c r="J10429"/>
  <c r="J10428"/>
  <c r="J10427"/>
  <c r="J10426"/>
  <c r="J10425"/>
  <c r="J10424"/>
  <c r="J10423"/>
  <c r="J10422"/>
  <c r="J10421"/>
  <c r="J10420"/>
  <c r="J10419"/>
  <c r="J10418"/>
  <c r="J10417"/>
  <c r="J10416"/>
  <c r="J10415"/>
  <c r="J10414"/>
  <c r="J10413"/>
  <c r="J10412"/>
  <c r="J10411"/>
  <c r="J10410"/>
  <c r="J10409"/>
  <c r="J10408"/>
  <c r="J10401"/>
  <c r="J10400"/>
  <c r="J10399"/>
  <c r="J10398"/>
  <c r="J10397"/>
  <c r="J10396"/>
  <c r="J10395"/>
  <c r="J10394"/>
  <c r="J10393"/>
  <c r="J10392"/>
  <c r="J10391"/>
  <c r="J10390"/>
  <c r="J10389"/>
  <c r="J10388"/>
  <c r="J10387"/>
  <c r="J10386"/>
  <c r="J10382"/>
  <c r="J10381"/>
  <c r="J10380"/>
  <c r="J10379"/>
  <c r="J10378"/>
  <c r="J10377"/>
  <c r="J10376"/>
  <c r="J10375"/>
  <c r="J10374"/>
  <c r="J10373"/>
  <c r="J10372"/>
  <c r="J10371"/>
  <c r="J10370"/>
  <c r="J10369"/>
  <c r="J10368"/>
  <c r="J10367"/>
  <c r="J10363"/>
  <c r="J10362"/>
  <c r="J10361"/>
  <c r="J10360"/>
  <c r="J10359"/>
  <c r="J10358"/>
  <c r="J10357"/>
  <c r="J10356"/>
  <c r="J10355"/>
  <c r="J10354"/>
  <c r="J10353"/>
  <c r="J10352"/>
  <c r="J10351"/>
  <c r="J10350"/>
  <c r="J10349"/>
  <c r="J10348"/>
  <c r="J10345"/>
  <c r="J10344"/>
  <c r="J10343"/>
  <c r="J10342"/>
  <c r="J10341"/>
  <c r="J10340"/>
  <c r="J10339"/>
  <c r="J10338"/>
  <c r="J10337"/>
  <c r="J10336"/>
  <c r="J10335"/>
  <c r="J10334"/>
  <c r="J10333"/>
  <c r="J10332"/>
  <c r="J10331"/>
  <c r="J10330"/>
  <c r="J10328"/>
  <c r="J10327"/>
  <c r="J10326"/>
  <c r="J10325"/>
  <c r="J10324"/>
  <c r="J10323"/>
  <c r="J10322"/>
  <c r="J10321"/>
  <c r="J10320"/>
  <c r="J10319"/>
  <c r="J10318"/>
  <c r="J10317"/>
  <c r="J10316"/>
  <c r="J10315"/>
  <c r="J10314"/>
  <c r="J10313"/>
  <c r="J10312"/>
  <c r="J10311"/>
  <c r="J10310"/>
  <c r="J10309"/>
  <c r="J10308"/>
  <c r="J10307"/>
  <c r="J10306"/>
  <c r="J10305"/>
  <c r="J10304"/>
  <c r="J10303"/>
  <c r="J10302"/>
  <c r="J10301"/>
  <c r="J10300"/>
  <c r="J10299"/>
  <c r="J10298"/>
  <c r="J10297"/>
  <c r="J10296"/>
  <c r="J10295"/>
  <c r="J10294"/>
  <c r="J10293"/>
  <c r="J10292"/>
  <c r="J10291"/>
  <c r="J10290"/>
  <c r="J10289"/>
  <c r="J10288"/>
  <c r="J10287"/>
  <c r="J10286"/>
  <c r="J10285"/>
  <c r="J10284"/>
  <c r="J10283"/>
  <c r="J10282"/>
  <c r="J10281"/>
  <c r="J10280"/>
  <c r="J10279"/>
  <c r="J10278"/>
  <c r="J10277"/>
  <c r="J10276"/>
  <c r="J10275"/>
  <c r="J10274"/>
  <c r="J10273"/>
  <c r="J10272"/>
  <c r="J10271"/>
  <c r="J10270"/>
  <c r="J10269"/>
  <c r="J10264"/>
  <c r="J10263"/>
  <c r="J10262"/>
  <c r="J10261"/>
  <c r="J10260"/>
  <c r="J10259"/>
  <c r="J10258"/>
  <c r="J10257"/>
  <c r="J10256"/>
  <c r="J10255"/>
  <c r="J10254"/>
  <c r="J10253"/>
  <c r="J10252"/>
  <c r="J10251"/>
  <c r="J10250"/>
  <c r="I10247"/>
  <c r="J10246"/>
  <c r="J10245"/>
  <c r="J10244"/>
  <c r="J10243"/>
  <c r="J10242"/>
  <c r="J10241"/>
  <c r="J10240"/>
  <c r="J10239"/>
  <c r="J10238"/>
  <c r="J10237"/>
  <c r="J10236"/>
  <c r="J10235"/>
  <c r="J10234"/>
  <c r="J10233"/>
  <c r="J10232"/>
  <c r="J10229"/>
  <c r="J10228"/>
  <c r="J10227"/>
  <c r="J10226"/>
  <c r="J10225"/>
  <c r="J10224"/>
  <c r="J10223"/>
  <c r="J10222"/>
  <c r="J10221"/>
  <c r="J10220"/>
  <c r="J10219"/>
  <c r="J10218"/>
  <c r="J10217"/>
  <c r="J10216"/>
  <c r="J10215"/>
  <c r="J10214"/>
  <c r="J10213"/>
  <c r="J10212"/>
  <c r="J10211"/>
  <c r="J10210"/>
  <c r="J10209"/>
  <c r="J10208"/>
  <c r="J10207"/>
  <c r="J10206"/>
  <c r="J10205"/>
  <c r="J10204"/>
  <c r="J10203"/>
  <c r="J10202"/>
  <c r="J10201"/>
  <c r="J10200"/>
  <c r="J10199"/>
  <c r="J10198"/>
  <c r="J10197"/>
  <c r="J10196"/>
  <c r="J10195"/>
  <c r="J10194"/>
  <c r="J10193"/>
  <c r="J10192"/>
  <c r="J10191"/>
  <c r="J10190"/>
  <c r="J10189"/>
  <c r="J10188"/>
  <c r="J10187"/>
  <c r="J10186"/>
  <c r="J10185"/>
  <c r="J10184"/>
  <c r="J10183"/>
  <c r="J10182"/>
  <c r="J10181"/>
  <c r="J10180"/>
  <c r="J10179"/>
  <c r="J10178"/>
  <c r="J10177"/>
  <c r="J10176"/>
  <c r="J10175"/>
  <c r="J10174"/>
  <c r="J10173"/>
  <c r="J10172"/>
  <c r="J10171"/>
  <c r="J10170"/>
  <c r="I10163"/>
  <c r="J10162"/>
  <c r="J10161"/>
  <c r="J10160"/>
  <c r="J10159"/>
  <c r="J10158"/>
  <c r="J10157"/>
  <c r="J10156"/>
  <c r="J10155"/>
  <c r="J10154"/>
  <c r="J10153"/>
  <c r="J10152"/>
  <c r="J10151"/>
  <c r="J10150"/>
  <c r="J10149"/>
  <c r="J10148"/>
  <c r="J10147"/>
  <c r="J10143"/>
  <c r="J10142"/>
  <c r="J10141"/>
  <c r="J10140"/>
  <c r="J10139"/>
  <c r="J10138"/>
  <c r="J10137"/>
  <c r="J10136"/>
  <c r="J10135"/>
  <c r="J10134"/>
  <c r="J10133"/>
  <c r="J10132"/>
  <c r="J10131"/>
  <c r="J10130"/>
  <c r="J10129"/>
  <c r="J10128"/>
  <c r="J10124"/>
  <c r="J10123"/>
  <c r="J10122"/>
  <c r="J10121"/>
  <c r="J10120"/>
  <c r="J10119"/>
  <c r="J10118"/>
  <c r="J10117"/>
  <c r="J10116"/>
  <c r="J10115"/>
  <c r="J10114"/>
  <c r="J10113"/>
  <c r="J10112"/>
  <c r="J10111"/>
  <c r="J10110"/>
  <c r="J10109"/>
  <c r="H10107"/>
  <c r="J10106"/>
  <c r="J10105"/>
  <c r="J10104"/>
  <c r="J10103"/>
  <c r="J10102"/>
  <c r="J10101"/>
  <c r="J10100"/>
  <c r="J10099"/>
  <c r="J10098"/>
  <c r="J10097"/>
  <c r="J10096"/>
  <c r="J10095"/>
  <c r="J10094"/>
  <c r="J10093"/>
  <c r="J10092"/>
  <c r="J10091"/>
  <c r="J10089"/>
  <c r="J10088"/>
  <c r="J10087"/>
  <c r="J10086"/>
  <c r="J10085"/>
  <c r="J10084"/>
  <c r="J10083"/>
  <c r="J10082"/>
  <c r="J10081"/>
  <c r="J10080"/>
  <c r="J10079"/>
  <c r="J10078"/>
  <c r="J10077"/>
  <c r="J10076"/>
  <c r="J10075"/>
  <c r="J10074"/>
  <c r="J10073"/>
  <c r="J10072"/>
  <c r="J10071"/>
  <c r="J10070"/>
  <c r="J10069"/>
  <c r="J10068"/>
  <c r="J10067"/>
  <c r="J10066"/>
  <c r="J10065"/>
  <c r="J10064"/>
  <c r="J10063"/>
  <c r="J10062"/>
  <c r="J10061"/>
  <c r="J10060"/>
  <c r="J10059"/>
  <c r="J10058"/>
  <c r="J10057"/>
  <c r="J10056"/>
  <c r="J10055"/>
  <c r="J10054"/>
  <c r="J10053"/>
  <c r="J10052"/>
  <c r="J10051"/>
  <c r="J10050"/>
  <c r="J10049"/>
  <c r="J10048"/>
  <c r="J10047"/>
  <c r="J10046"/>
  <c r="J10045"/>
  <c r="J10044"/>
  <c r="J10043"/>
  <c r="J10042"/>
  <c r="J10041"/>
  <c r="J10040"/>
  <c r="J10039"/>
  <c r="J10038"/>
  <c r="J10037"/>
  <c r="J10036"/>
  <c r="J10035"/>
  <c r="J10034"/>
  <c r="J10033"/>
  <c r="J10032"/>
  <c r="J10031"/>
  <c r="J10030"/>
  <c r="J10025"/>
  <c r="J10024"/>
  <c r="J10023"/>
  <c r="J10022"/>
  <c r="J10021"/>
  <c r="J10020"/>
  <c r="J10019"/>
  <c r="J10018"/>
  <c r="J10017"/>
  <c r="J10016"/>
  <c r="J10015"/>
  <c r="J10014"/>
  <c r="J10013"/>
  <c r="J10012"/>
  <c r="J10011"/>
  <c r="I10008"/>
  <c r="J10007"/>
  <c r="J10006"/>
  <c r="J10005"/>
  <c r="J10004"/>
  <c r="J10003"/>
  <c r="J10002"/>
  <c r="J10001"/>
  <c r="J10000"/>
  <c r="J9999"/>
  <c r="J9998"/>
  <c r="J9997"/>
  <c r="J9996"/>
  <c r="J9995"/>
  <c r="J9994"/>
  <c r="J9993"/>
  <c r="J9990"/>
  <c r="J9989"/>
  <c r="J9988"/>
  <c r="J9987"/>
  <c r="J9986"/>
  <c r="J9985"/>
  <c r="J9984"/>
  <c r="J9983"/>
  <c r="J9982"/>
  <c r="J9981"/>
  <c r="J9980"/>
  <c r="J9979"/>
  <c r="J9978"/>
  <c r="J9977"/>
  <c r="J9976"/>
  <c r="J9975"/>
  <c r="J9974"/>
  <c r="J9973"/>
  <c r="J9972"/>
  <c r="J9971"/>
  <c r="J9970"/>
  <c r="J9969"/>
  <c r="J9968"/>
  <c r="J9967"/>
  <c r="J9966"/>
  <c r="J9965"/>
  <c r="J9964"/>
  <c r="J9963"/>
  <c r="J9962"/>
  <c r="J9961"/>
  <c r="J9960"/>
  <c r="J9959"/>
  <c r="J9958"/>
  <c r="J9957"/>
  <c r="J9956"/>
  <c r="J9955"/>
  <c r="J9954"/>
  <c r="J9953"/>
  <c r="J9952"/>
  <c r="J9951"/>
  <c r="J9950"/>
  <c r="J9949"/>
  <c r="J9948"/>
  <c r="J9947"/>
  <c r="J9946"/>
  <c r="J9945"/>
  <c r="J9944"/>
  <c r="J9943"/>
  <c r="J9942"/>
  <c r="J9941"/>
  <c r="J9940"/>
  <c r="J9939"/>
  <c r="J9938"/>
  <c r="J9937"/>
  <c r="J9936"/>
  <c r="J9935"/>
  <c r="J9934"/>
  <c r="J9933"/>
  <c r="J9932"/>
  <c r="J9931"/>
  <c r="J9924"/>
  <c r="J9923"/>
  <c r="J9922"/>
  <c r="J9921"/>
  <c r="J9920"/>
  <c r="J9919"/>
  <c r="J9918"/>
  <c r="J9917"/>
  <c r="J9916"/>
  <c r="J9915"/>
  <c r="J9914"/>
  <c r="J9913"/>
  <c r="J9912"/>
  <c r="J9911"/>
  <c r="J9910"/>
  <c r="J9909"/>
  <c r="J9905"/>
  <c r="J9904"/>
  <c r="J9903"/>
  <c r="J9902"/>
  <c r="J9901"/>
  <c r="J9900"/>
  <c r="J9899"/>
  <c r="J9898"/>
  <c r="J9897"/>
  <c r="J9896"/>
  <c r="J9895"/>
  <c r="J9894"/>
  <c r="J9893"/>
  <c r="J9892"/>
  <c r="J9891"/>
  <c r="J9890"/>
  <c r="J9886"/>
  <c r="J9885"/>
  <c r="J9884"/>
  <c r="J9883"/>
  <c r="J9882"/>
  <c r="J9881"/>
  <c r="J9880"/>
  <c r="J9879"/>
  <c r="J9878"/>
  <c r="J9877"/>
  <c r="J9876"/>
  <c r="J9875"/>
  <c r="J9874"/>
  <c r="J9873"/>
  <c r="J9872"/>
  <c r="J9871"/>
  <c r="J9868"/>
  <c r="J9867"/>
  <c r="J9866"/>
  <c r="J9865"/>
  <c r="J9864"/>
  <c r="J9863"/>
  <c r="J9862"/>
  <c r="J9861"/>
  <c r="J9860"/>
  <c r="J9859"/>
  <c r="J9858"/>
  <c r="J9857"/>
  <c r="J9856"/>
  <c r="J9855"/>
  <c r="J9854"/>
  <c r="J9853"/>
  <c r="J9851"/>
  <c r="J9850"/>
  <c r="J9849"/>
  <c r="J9848"/>
  <c r="J9847"/>
  <c r="J9846"/>
  <c r="J9845"/>
  <c r="J9844"/>
  <c r="J9843"/>
  <c r="J9842"/>
  <c r="J9841"/>
  <c r="J9840"/>
  <c r="J9839"/>
  <c r="J9838"/>
  <c r="J9837"/>
  <c r="J9836"/>
  <c r="J9835"/>
  <c r="J9834"/>
  <c r="J9833"/>
  <c r="J9832"/>
  <c r="J9831"/>
  <c r="J9830"/>
  <c r="J9829"/>
  <c r="J9828"/>
  <c r="J9827"/>
  <c r="J9826"/>
  <c r="J9825"/>
  <c r="J9824"/>
  <c r="J9823"/>
  <c r="J9822"/>
  <c r="J9821"/>
  <c r="J9820"/>
  <c r="J9819"/>
  <c r="J9818"/>
  <c r="J9817"/>
  <c r="J9816"/>
  <c r="J9815"/>
  <c r="J9814"/>
  <c r="J9813"/>
  <c r="J9812"/>
  <c r="J9811"/>
  <c r="J9810"/>
  <c r="J9809"/>
  <c r="J9808"/>
  <c r="J9807"/>
  <c r="J9806"/>
  <c r="J9805"/>
  <c r="J9804"/>
  <c r="J9803"/>
  <c r="J9802"/>
  <c r="J9801"/>
  <c r="J9800"/>
  <c r="J9799"/>
  <c r="J9798"/>
  <c r="J9797"/>
  <c r="J9796"/>
  <c r="J9795"/>
  <c r="J9794"/>
  <c r="J9793"/>
  <c r="J9792"/>
  <c r="J9787"/>
  <c r="J9786"/>
  <c r="J9785"/>
  <c r="J9784"/>
  <c r="J9783"/>
  <c r="J9782"/>
  <c r="J9781"/>
  <c r="J9780"/>
  <c r="J9779"/>
  <c r="J9778"/>
  <c r="J9777"/>
  <c r="J9776"/>
  <c r="J9775"/>
  <c r="J9774"/>
  <c r="J9773"/>
  <c r="J9772"/>
  <c r="J9769"/>
  <c r="J9768"/>
  <c r="J9767"/>
  <c r="J9766"/>
  <c r="J9765"/>
  <c r="J9764"/>
  <c r="J9763"/>
  <c r="J9762"/>
  <c r="J9761"/>
  <c r="J9760"/>
  <c r="J9759"/>
  <c r="J9758"/>
  <c r="J9757"/>
  <c r="J9756"/>
  <c r="J9755"/>
  <c r="J9754"/>
  <c r="J9752"/>
  <c r="J9751"/>
  <c r="J9750"/>
  <c r="J9749"/>
  <c r="J9748"/>
  <c r="J9747"/>
  <c r="J9746"/>
  <c r="J9745"/>
  <c r="J9744"/>
  <c r="J9743"/>
  <c r="J9742"/>
  <c r="J9741"/>
  <c r="J9740"/>
  <c r="J9739"/>
  <c r="J9738"/>
  <c r="J9737"/>
  <c r="J9736"/>
  <c r="J9735"/>
  <c r="J9734"/>
  <c r="J9733"/>
  <c r="J9732"/>
  <c r="J9731"/>
  <c r="J9730"/>
  <c r="J9729"/>
  <c r="J9728"/>
  <c r="J9727"/>
  <c r="J9726"/>
  <c r="J9725"/>
  <c r="J9724"/>
  <c r="J9723"/>
  <c r="J9722"/>
  <c r="J9721"/>
  <c r="J9720"/>
  <c r="J9719"/>
  <c r="J9718"/>
  <c r="J9717"/>
  <c r="J9716"/>
  <c r="J9715"/>
  <c r="J9714"/>
  <c r="J9713"/>
  <c r="J9712"/>
  <c r="J9711"/>
  <c r="J9710"/>
  <c r="J9709"/>
  <c r="J9708"/>
  <c r="J9707"/>
  <c r="J9706"/>
  <c r="J9705"/>
  <c r="J9704"/>
  <c r="J9703"/>
  <c r="J9702"/>
  <c r="J9701"/>
  <c r="J9700"/>
  <c r="J9699"/>
  <c r="J9698"/>
  <c r="J9697"/>
  <c r="J9696"/>
  <c r="J9695"/>
  <c r="J9694"/>
  <c r="J9693"/>
  <c r="I13984" l="1"/>
  <c r="I13819"/>
  <c r="J13806"/>
  <c r="F250" i="7"/>
  <c r="F247" s="1"/>
  <c r="J12265" i="8"/>
  <c r="J12384"/>
  <c r="J12400" s="1"/>
  <c r="J12402"/>
  <c r="J12418" s="1"/>
  <c r="D346" i="7"/>
  <c r="D345"/>
  <c r="C38" i="6"/>
  <c r="J484" i="8"/>
  <c r="J500" s="1"/>
  <c r="J502"/>
  <c r="J518" s="1"/>
  <c r="G347" i="7"/>
  <c r="G282"/>
  <c r="D279"/>
  <c r="E23" i="5"/>
  <c r="E81"/>
  <c r="E7"/>
  <c r="E16"/>
  <c r="E29"/>
  <c r="C7"/>
  <c r="C16"/>
  <c r="C40"/>
  <c r="C81"/>
  <c r="C64"/>
  <c r="C75"/>
  <c r="C29"/>
  <c r="C49"/>
  <c r="C34"/>
  <c r="C23"/>
  <c r="C70"/>
  <c r="E121" i="6"/>
  <c r="F121" s="1"/>
  <c r="H9287" i="8"/>
  <c r="J9271"/>
  <c r="J12887"/>
  <c r="J12987"/>
  <c r="J12311"/>
  <c r="J12330"/>
  <c r="J11992"/>
  <c r="J12010"/>
  <c r="J9887"/>
  <c r="J11754"/>
  <c r="J11772"/>
  <c r="H13920"/>
  <c r="D523" i="7" s="1"/>
  <c r="H13923" i="8"/>
  <c r="J13923" s="1"/>
  <c r="J13939" s="1"/>
  <c r="J9906"/>
  <c r="J9925"/>
  <c r="J10125"/>
  <c r="J10346"/>
  <c r="J10364"/>
  <c r="J10383"/>
  <c r="J10402"/>
  <c r="J10584"/>
  <c r="J10602"/>
  <c r="J10840"/>
  <c r="J11553"/>
  <c r="J11572"/>
  <c r="H11673"/>
  <c r="H11775"/>
  <c r="J12249"/>
  <c r="J12686"/>
  <c r="E120" i="6"/>
  <c r="F8" i="5"/>
  <c r="F8" i="6"/>
  <c r="F21"/>
  <c r="F25"/>
  <c r="F34"/>
  <c r="F38"/>
  <c r="F43"/>
  <c r="F47"/>
  <c r="F51"/>
  <c r="F55"/>
  <c r="F63"/>
  <c r="F67"/>
  <c r="F71"/>
  <c r="F75"/>
  <c r="F98"/>
  <c r="F102"/>
  <c r="F110"/>
  <c r="F115"/>
  <c r="F124"/>
  <c r="F128"/>
  <c r="F132"/>
  <c r="F136"/>
  <c r="F13"/>
  <c r="F22"/>
  <c r="F26"/>
  <c r="F40"/>
  <c r="F48"/>
  <c r="F52"/>
  <c r="F56"/>
  <c r="F60"/>
  <c r="F64"/>
  <c r="F72"/>
  <c r="F76"/>
  <c r="F81"/>
  <c r="F95"/>
  <c r="F99"/>
  <c r="F103"/>
  <c r="F107"/>
  <c r="F116"/>
  <c r="F125"/>
  <c r="F129"/>
  <c r="F133"/>
  <c r="F137"/>
  <c r="F6"/>
  <c r="F10"/>
  <c r="F19"/>
  <c r="F27"/>
  <c r="F31"/>
  <c r="F36"/>
  <c r="F45"/>
  <c r="F49"/>
  <c r="F53"/>
  <c r="F57"/>
  <c r="F61"/>
  <c r="F65"/>
  <c r="F69"/>
  <c r="F73"/>
  <c r="F77"/>
  <c r="F82"/>
  <c r="F87"/>
  <c r="F91"/>
  <c r="F96"/>
  <c r="F100"/>
  <c r="F104"/>
  <c r="F122"/>
  <c r="F126"/>
  <c r="F130"/>
  <c r="F134"/>
  <c r="F138"/>
  <c r="F7"/>
  <c r="F11"/>
  <c r="F20"/>
  <c r="F24"/>
  <c r="F33"/>
  <c r="F37"/>
  <c r="F42"/>
  <c r="F46"/>
  <c r="F50"/>
  <c r="F54"/>
  <c r="F58"/>
  <c r="F62"/>
  <c r="F66"/>
  <c r="F70"/>
  <c r="F74"/>
  <c r="F78"/>
  <c r="F97"/>
  <c r="F101"/>
  <c r="F105"/>
  <c r="F109"/>
  <c r="F119"/>
  <c r="F123"/>
  <c r="F127"/>
  <c r="F131"/>
  <c r="F135"/>
  <c r="F139"/>
  <c r="J4506" i="8"/>
  <c r="J12969"/>
  <c r="J12869"/>
  <c r="J4633"/>
  <c r="J4649" s="1"/>
  <c r="J4651"/>
  <c r="J4667" s="1"/>
  <c r="J13561"/>
  <c r="J12134"/>
  <c r="J12150" s="1"/>
  <c r="J12231"/>
  <c r="J12116"/>
  <c r="J12132" s="1"/>
  <c r="J4472"/>
  <c r="J4488" s="1"/>
  <c r="J4454"/>
  <c r="J4470" s="1"/>
  <c r="J13192"/>
  <c r="J13208" s="1"/>
  <c r="J13727"/>
  <c r="J13743" s="1"/>
  <c r="J13799"/>
  <c r="J13886"/>
  <c r="J13902" s="1"/>
  <c r="J13904"/>
  <c r="J13920" s="1"/>
  <c r="J13745"/>
  <c r="J13761" s="1"/>
  <c r="J13628"/>
  <c r="J13644" s="1"/>
  <c r="J13646"/>
  <c r="J13662" s="1"/>
  <c r="J13390"/>
  <c r="J13406" s="1"/>
  <c r="J13408"/>
  <c r="J13424" s="1"/>
  <c r="J11657"/>
  <c r="J11673" s="1"/>
  <c r="J13210"/>
  <c r="J13226" s="1"/>
  <c r="J12029"/>
  <c r="J12048"/>
  <c r="J13093"/>
  <c r="J13109" s="1"/>
  <c r="J13111"/>
  <c r="J13127" s="1"/>
  <c r="J13291"/>
  <c r="J13307" s="1"/>
  <c r="J13309"/>
  <c r="J13325" s="1"/>
  <c r="J13489"/>
  <c r="J13505" s="1"/>
  <c r="J13507"/>
  <c r="J13523" s="1"/>
  <c r="J11877"/>
  <c r="J11893" s="1"/>
  <c r="J11895"/>
  <c r="J11911" s="1"/>
  <c r="J11639"/>
  <c r="J11655" s="1"/>
  <c r="J10707"/>
  <c r="J10723" s="1"/>
  <c r="J10822"/>
  <c r="J10487"/>
  <c r="J10503" s="1"/>
  <c r="J10725"/>
  <c r="J10741" s="1"/>
  <c r="J10469"/>
  <c r="J10485" s="1"/>
  <c r="J10621"/>
  <c r="J10640"/>
  <c r="J10231"/>
  <c r="J10247" s="1"/>
  <c r="J10249"/>
  <c r="J10265" s="1"/>
  <c r="J9788"/>
  <c r="J10144"/>
  <c r="J10163"/>
  <c r="J10107"/>
  <c r="J9992"/>
  <c r="J10008" s="1"/>
  <c r="J10010"/>
  <c r="J10026" s="1"/>
  <c r="J9770"/>
  <c r="J9869"/>
  <c r="J9685"/>
  <c r="J9684"/>
  <c r="J9683"/>
  <c r="J9682"/>
  <c r="J9681"/>
  <c r="J9680"/>
  <c r="J9679"/>
  <c r="J9678"/>
  <c r="J9677"/>
  <c r="J9676"/>
  <c r="J9675"/>
  <c r="J9674"/>
  <c r="J9673"/>
  <c r="J9672"/>
  <c r="J9671"/>
  <c r="J9670"/>
  <c r="J9667"/>
  <c r="J9666"/>
  <c r="J9665"/>
  <c r="J9664"/>
  <c r="J9663"/>
  <c r="J9662"/>
  <c r="J9661"/>
  <c r="J9660"/>
  <c r="J9659"/>
  <c r="J9658"/>
  <c r="J9657"/>
  <c r="J9656"/>
  <c r="J9655"/>
  <c r="J9654"/>
  <c r="J9653"/>
  <c r="J9652"/>
  <c r="J9650"/>
  <c r="J9649"/>
  <c r="J9648"/>
  <c r="J9647"/>
  <c r="J9646"/>
  <c r="J9645"/>
  <c r="J9644"/>
  <c r="J9643"/>
  <c r="J9642"/>
  <c r="J9641"/>
  <c r="J9640"/>
  <c r="J9639"/>
  <c r="J9638"/>
  <c r="J9637"/>
  <c r="J9636"/>
  <c r="J9635"/>
  <c r="J9634"/>
  <c r="J9633"/>
  <c r="J9632"/>
  <c r="J9631"/>
  <c r="J9630"/>
  <c r="J9629"/>
  <c r="J9628"/>
  <c r="J9627"/>
  <c r="J9626"/>
  <c r="J9625"/>
  <c r="J9624"/>
  <c r="J9623"/>
  <c r="J9622"/>
  <c r="J9621"/>
  <c r="J9620"/>
  <c r="J9619"/>
  <c r="J9618"/>
  <c r="J9617"/>
  <c r="J9616"/>
  <c r="J9615"/>
  <c r="J9614"/>
  <c r="J9613"/>
  <c r="J9612"/>
  <c r="J9611"/>
  <c r="J9610"/>
  <c r="J9609"/>
  <c r="J9608"/>
  <c r="J9607"/>
  <c r="J9606"/>
  <c r="J9605"/>
  <c r="J9604"/>
  <c r="J9603"/>
  <c r="J9602"/>
  <c r="J9601"/>
  <c r="J9600"/>
  <c r="J9599"/>
  <c r="J9598"/>
  <c r="J9597"/>
  <c r="J9596"/>
  <c r="J9595"/>
  <c r="J9594"/>
  <c r="J9593"/>
  <c r="J9592"/>
  <c r="J9591"/>
  <c r="J9586"/>
  <c r="J9585"/>
  <c r="J9584"/>
  <c r="J9583"/>
  <c r="J9582"/>
  <c r="J9581"/>
  <c r="J9580"/>
  <c r="J9579"/>
  <c r="J9578"/>
  <c r="J9577"/>
  <c r="J9576"/>
  <c r="J9575"/>
  <c r="J9574"/>
  <c r="J9573"/>
  <c r="J9572"/>
  <c r="J9571"/>
  <c r="J9568"/>
  <c r="J9567"/>
  <c r="J9566"/>
  <c r="J9565"/>
  <c r="J9564"/>
  <c r="J9563"/>
  <c r="J9562"/>
  <c r="J9561"/>
  <c r="J9560"/>
  <c r="J9559"/>
  <c r="J9558"/>
  <c r="J9557"/>
  <c r="J9556"/>
  <c r="J9555"/>
  <c r="J9554"/>
  <c r="J9553"/>
  <c r="J9551"/>
  <c r="J9550"/>
  <c r="J9549"/>
  <c r="J9548"/>
  <c r="J9547"/>
  <c r="J9546"/>
  <c r="J9545"/>
  <c r="J9544"/>
  <c r="J9543"/>
  <c r="J9542"/>
  <c r="J9541"/>
  <c r="J9540"/>
  <c r="J9539"/>
  <c r="J9538"/>
  <c r="J9537"/>
  <c r="J9536"/>
  <c r="J9535"/>
  <c r="J9534"/>
  <c r="J9533"/>
  <c r="J9532"/>
  <c r="J9531"/>
  <c r="J9530"/>
  <c r="J9529"/>
  <c r="J9528"/>
  <c r="J9527"/>
  <c r="J9526"/>
  <c r="J9525"/>
  <c r="J9524"/>
  <c r="J9523"/>
  <c r="J9522"/>
  <c r="J9521"/>
  <c r="J9520"/>
  <c r="J9519"/>
  <c r="J9518"/>
  <c r="J9517"/>
  <c r="J9516"/>
  <c r="J9515"/>
  <c r="J9514"/>
  <c r="J9513"/>
  <c r="J9512"/>
  <c r="J9511"/>
  <c r="J9510"/>
  <c r="J9509"/>
  <c r="J9508"/>
  <c r="J9507"/>
  <c r="J9506"/>
  <c r="J9505"/>
  <c r="J9504"/>
  <c r="J9503"/>
  <c r="J9502"/>
  <c r="J9501"/>
  <c r="J9500"/>
  <c r="J9499"/>
  <c r="J9498"/>
  <c r="J9497"/>
  <c r="J9496"/>
  <c r="J9495"/>
  <c r="J9494"/>
  <c r="J9493"/>
  <c r="J9492"/>
  <c r="J9487"/>
  <c r="J9486"/>
  <c r="J9485"/>
  <c r="J9484"/>
  <c r="J9483"/>
  <c r="J9482"/>
  <c r="J9481"/>
  <c r="J9480"/>
  <c r="J9479"/>
  <c r="J9478"/>
  <c r="J9477"/>
  <c r="J9476"/>
  <c r="J9475"/>
  <c r="J9474"/>
  <c r="J9473"/>
  <c r="J9472"/>
  <c r="J9469"/>
  <c r="J9468"/>
  <c r="J9467"/>
  <c r="J9466"/>
  <c r="J9465"/>
  <c r="J9464"/>
  <c r="J9463"/>
  <c r="J9462"/>
  <c r="J9461"/>
  <c r="J9460"/>
  <c r="J9459"/>
  <c r="J9458"/>
  <c r="J9457"/>
  <c r="J9456"/>
  <c r="J9455"/>
  <c r="J9454"/>
  <c r="J9452"/>
  <c r="J9451"/>
  <c r="J9450"/>
  <c r="J9449"/>
  <c r="J9448"/>
  <c r="J9447"/>
  <c r="J9446"/>
  <c r="J9445"/>
  <c r="J9444"/>
  <c r="J9443"/>
  <c r="J9442"/>
  <c r="J9441"/>
  <c r="J9440"/>
  <c r="J9439"/>
  <c r="J9438"/>
  <c r="J9437"/>
  <c r="J9436"/>
  <c r="J9435"/>
  <c r="J9434"/>
  <c r="J9433"/>
  <c r="J9432"/>
  <c r="J9431"/>
  <c r="J9430"/>
  <c r="J9429"/>
  <c r="J9428"/>
  <c r="J9427"/>
  <c r="J9426"/>
  <c r="J9425"/>
  <c r="J9424"/>
  <c r="J9423"/>
  <c r="J9422"/>
  <c r="J9421"/>
  <c r="J9420"/>
  <c r="J9419"/>
  <c r="J9418"/>
  <c r="J9417"/>
  <c r="J9416"/>
  <c r="J9415"/>
  <c r="J9414"/>
  <c r="J9413"/>
  <c r="J9412"/>
  <c r="J9411"/>
  <c r="J9410"/>
  <c r="J9409"/>
  <c r="J9408"/>
  <c r="J9407"/>
  <c r="J9406"/>
  <c r="J9405"/>
  <c r="J9404"/>
  <c r="J9403"/>
  <c r="J9402"/>
  <c r="J9401"/>
  <c r="J9400"/>
  <c r="J9399"/>
  <c r="J9398"/>
  <c r="J9397"/>
  <c r="J9396"/>
  <c r="J9395"/>
  <c r="J9394"/>
  <c r="J9393"/>
  <c r="I9389"/>
  <c r="F412" i="7" s="1"/>
  <c r="F411" s="1"/>
  <c r="J9388" i="8"/>
  <c r="J9387"/>
  <c r="J9386"/>
  <c r="J9385"/>
  <c r="J9384"/>
  <c r="J9383"/>
  <c r="J9382"/>
  <c r="J9381"/>
  <c r="J9380"/>
  <c r="J9379"/>
  <c r="J9378"/>
  <c r="J9377"/>
  <c r="J9376"/>
  <c r="J9375"/>
  <c r="J9374"/>
  <c r="I9371"/>
  <c r="J9370"/>
  <c r="J9369"/>
  <c r="J9368"/>
  <c r="J9367"/>
  <c r="J9366"/>
  <c r="J9365"/>
  <c r="J9364"/>
  <c r="J9363"/>
  <c r="J9362"/>
  <c r="J9361"/>
  <c r="J9360"/>
  <c r="J9359"/>
  <c r="J9358"/>
  <c r="J9357"/>
  <c r="J9356"/>
  <c r="C113" i="6"/>
  <c r="J9353" i="8"/>
  <c r="J9352"/>
  <c r="J9351"/>
  <c r="J9350"/>
  <c r="J9349"/>
  <c r="J9348"/>
  <c r="J9347"/>
  <c r="J9346"/>
  <c r="J9345"/>
  <c r="J9344"/>
  <c r="J9343"/>
  <c r="J9342"/>
  <c r="J9341"/>
  <c r="J9340"/>
  <c r="J9339"/>
  <c r="J9338"/>
  <c r="J9337"/>
  <c r="J9336"/>
  <c r="J9335"/>
  <c r="J9334"/>
  <c r="J9333"/>
  <c r="J9332"/>
  <c r="J9331"/>
  <c r="J9330"/>
  <c r="J9329"/>
  <c r="J9328"/>
  <c r="J9327"/>
  <c r="J9326"/>
  <c r="J9325"/>
  <c r="J9324"/>
  <c r="J9323"/>
  <c r="J9322"/>
  <c r="J9321"/>
  <c r="J9320"/>
  <c r="J9319"/>
  <c r="J9318"/>
  <c r="J9317"/>
  <c r="J9316"/>
  <c r="J9315"/>
  <c r="J9314"/>
  <c r="J9313"/>
  <c r="J9312"/>
  <c r="J9311"/>
  <c r="J9310"/>
  <c r="J9309"/>
  <c r="J9308"/>
  <c r="J9307"/>
  <c r="J9306"/>
  <c r="J9305"/>
  <c r="J9304"/>
  <c r="J9303"/>
  <c r="J9302"/>
  <c r="J9301"/>
  <c r="J9300"/>
  <c r="J9299"/>
  <c r="J9298"/>
  <c r="J9297"/>
  <c r="J9296"/>
  <c r="J9295"/>
  <c r="J9294"/>
  <c r="I3627"/>
  <c r="J3626"/>
  <c r="J3625"/>
  <c r="J3624"/>
  <c r="J3623"/>
  <c r="J3622"/>
  <c r="J3621"/>
  <c r="J3620"/>
  <c r="J3619"/>
  <c r="J3618"/>
  <c r="J3617"/>
  <c r="J3616"/>
  <c r="J3615"/>
  <c r="J3614"/>
  <c r="J3613"/>
  <c r="J3612"/>
  <c r="I3608"/>
  <c r="F467" i="7" s="1"/>
  <c r="J3607" i="8"/>
  <c r="J3606"/>
  <c r="J3605"/>
  <c r="J3604"/>
  <c r="J3603"/>
  <c r="J3602"/>
  <c r="J3601"/>
  <c r="J3600"/>
  <c r="J3599"/>
  <c r="J3598"/>
  <c r="J3597"/>
  <c r="J3596"/>
  <c r="J3595"/>
  <c r="J3594"/>
  <c r="J3593"/>
  <c r="I3590"/>
  <c r="J3589"/>
  <c r="J3588"/>
  <c r="J3587"/>
  <c r="J3586"/>
  <c r="J3585"/>
  <c r="J3584"/>
  <c r="J3583"/>
  <c r="J3582"/>
  <c r="J3581"/>
  <c r="J3580"/>
  <c r="J3579"/>
  <c r="J3578"/>
  <c r="J3577"/>
  <c r="J3576"/>
  <c r="J3575"/>
  <c r="J3572"/>
  <c r="J3571"/>
  <c r="J3570"/>
  <c r="J3569"/>
  <c r="J3568"/>
  <c r="J3567"/>
  <c r="J3566"/>
  <c r="J3565"/>
  <c r="J3564"/>
  <c r="J3563"/>
  <c r="J3562"/>
  <c r="J3561"/>
  <c r="J3560"/>
  <c r="J3559"/>
  <c r="J3558"/>
  <c r="J3557"/>
  <c r="J3556"/>
  <c r="J3555"/>
  <c r="J3554"/>
  <c r="J3553"/>
  <c r="J3552"/>
  <c r="J3551"/>
  <c r="J3550"/>
  <c r="J3549"/>
  <c r="J3548"/>
  <c r="J3547"/>
  <c r="J3546"/>
  <c r="J3545"/>
  <c r="J3544"/>
  <c r="J3543"/>
  <c r="J3542"/>
  <c r="J3541"/>
  <c r="J3540"/>
  <c r="J3539"/>
  <c r="J3538"/>
  <c r="J3537"/>
  <c r="J3536"/>
  <c r="J3535"/>
  <c r="J3534"/>
  <c r="J3533"/>
  <c r="J3532"/>
  <c r="J3531"/>
  <c r="J3530"/>
  <c r="J3529"/>
  <c r="J3528"/>
  <c r="J3527"/>
  <c r="J3526"/>
  <c r="J3525"/>
  <c r="J3524"/>
  <c r="J3523"/>
  <c r="J3522"/>
  <c r="J3521"/>
  <c r="J3520"/>
  <c r="J3519"/>
  <c r="J3518"/>
  <c r="J3517"/>
  <c r="J3516"/>
  <c r="J3515"/>
  <c r="J3514"/>
  <c r="J3513"/>
  <c r="I3509"/>
  <c r="F466" i="7" s="1"/>
  <c r="J3508" i="8"/>
  <c r="J3507"/>
  <c r="J3506"/>
  <c r="J3505"/>
  <c r="J3504"/>
  <c r="J3503"/>
  <c r="J3502"/>
  <c r="J3501"/>
  <c r="J3500"/>
  <c r="J3499"/>
  <c r="J3498"/>
  <c r="J3497"/>
  <c r="J3496"/>
  <c r="J3495"/>
  <c r="J3494"/>
  <c r="I3491"/>
  <c r="J3490"/>
  <c r="J3489"/>
  <c r="J3488"/>
  <c r="J3487"/>
  <c r="J3486"/>
  <c r="J3485"/>
  <c r="J3484"/>
  <c r="J3483"/>
  <c r="J3482"/>
  <c r="J3481"/>
  <c r="J3480"/>
  <c r="J3479"/>
  <c r="J3478"/>
  <c r="J3477"/>
  <c r="J3476"/>
  <c r="J3473"/>
  <c r="J3472"/>
  <c r="J3471"/>
  <c r="J3470"/>
  <c r="J3469"/>
  <c r="J3468"/>
  <c r="J3467"/>
  <c r="J3466"/>
  <c r="J3465"/>
  <c r="J3464"/>
  <c r="J3463"/>
  <c r="J3462"/>
  <c r="J3461"/>
  <c r="J3460"/>
  <c r="J3459"/>
  <c r="J3458"/>
  <c r="J3457"/>
  <c r="J3456"/>
  <c r="J3455"/>
  <c r="J3454"/>
  <c r="J3453"/>
  <c r="J3452"/>
  <c r="J3451"/>
  <c r="J3450"/>
  <c r="J3449"/>
  <c r="J3448"/>
  <c r="J3447"/>
  <c r="J3446"/>
  <c r="J3445"/>
  <c r="J3444"/>
  <c r="J3443"/>
  <c r="J3442"/>
  <c r="J3441"/>
  <c r="J3440"/>
  <c r="J3439"/>
  <c r="J3438"/>
  <c r="J3437"/>
  <c r="J3436"/>
  <c r="J3435"/>
  <c r="J3434"/>
  <c r="J3433"/>
  <c r="J3432"/>
  <c r="J3431"/>
  <c r="J3430"/>
  <c r="J3429"/>
  <c r="J3428"/>
  <c r="J3427"/>
  <c r="J3426"/>
  <c r="J3425"/>
  <c r="J3424"/>
  <c r="J3423"/>
  <c r="J3422"/>
  <c r="J3421"/>
  <c r="J3420"/>
  <c r="J3419"/>
  <c r="J3418"/>
  <c r="J3417"/>
  <c r="J3416"/>
  <c r="J3415"/>
  <c r="J3414"/>
  <c r="I3410"/>
  <c r="F465" i="7" s="1"/>
  <c r="J3409" i="8"/>
  <c r="J3408"/>
  <c r="J3407"/>
  <c r="J3406"/>
  <c r="J3405"/>
  <c r="J3404"/>
  <c r="J3403"/>
  <c r="J3402"/>
  <c r="J3401"/>
  <c r="J3400"/>
  <c r="J3399"/>
  <c r="J3398"/>
  <c r="J3397"/>
  <c r="J3396"/>
  <c r="J3395"/>
  <c r="E112" i="6"/>
  <c r="J3391" i="8"/>
  <c r="J3390"/>
  <c r="J3389"/>
  <c r="J3388"/>
  <c r="J3387"/>
  <c r="J3386"/>
  <c r="J3385"/>
  <c r="J3384"/>
  <c r="J3383"/>
  <c r="J3382"/>
  <c r="J3381"/>
  <c r="J3380"/>
  <c r="J3379"/>
  <c r="J3378"/>
  <c r="J3377"/>
  <c r="C112" i="6"/>
  <c r="J3374" i="8"/>
  <c r="J3373"/>
  <c r="J3372"/>
  <c r="J3371"/>
  <c r="J3370"/>
  <c r="J3369"/>
  <c r="J3368"/>
  <c r="J3367"/>
  <c r="J3366"/>
  <c r="J3365"/>
  <c r="J3364"/>
  <c r="J3363"/>
  <c r="J3362"/>
  <c r="J3361"/>
  <c r="J3360"/>
  <c r="J3359"/>
  <c r="J3358"/>
  <c r="J3357"/>
  <c r="J3356"/>
  <c r="J3355"/>
  <c r="J3354"/>
  <c r="J3353"/>
  <c r="J3352"/>
  <c r="J3351"/>
  <c r="J3350"/>
  <c r="J3349"/>
  <c r="J3348"/>
  <c r="J3347"/>
  <c r="J3346"/>
  <c r="J3345"/>
  <c r="J3344"/>
  <c r="J3343"/>
  <c r="J3342"/>
  <c r="J3341"/>
  <c r="J3340"/>
  <c r="J3339"/>
  <c r="J3338"/>
  <c r="J3337"/>
  <c r="J3336"/>
  <c r="J3335"/>
  <c r="J3334"/>
  <c r="J3333"/>
  <c r="J3332"/>
  <c r="J3331"/>
  <c r="J3330"/>
  <c r="J3329"/>
  <c r="J3328"/>
  <c r="J3327"/>
  <c r="J3326"/>
  <c r="J3325"/>
  <c r="J3324"/>
  <c r="J3323"/>
  <c r="J3322"/>
  <c r="J3321"/>
  <c r="J3320"/>
  <c r="J3319"/>
  <c r="J3318"/>
  <c r="J3317"/>
  <c r="J3316"/>
  <c r="J3315"/>
  <c r="I9287"/>
  <c r="J9286"/>
  <c r="J9285"/>
  <c r="J9284"/>
  <c r="J9283"/>
  <c r="J9282"/>
  <c r="J9281"/>
  <c r="J9280"/>
  <c r="J9279"/>
  <c r="J9278"/>
  <c r="J9277"/>
  <c r="J9276"/>
  <c r="J9275"/>
  <c r="J9274"/>
  <c r="J9273"/>
  <c r="J9272"/>
  <c r="J9267"/>
  <c r="J9266"/>
  <c r="J9265"/>
  <c r="J9264"/>
  <c r="J9263"/>
  <c r="J9262"/>
  <c r="J9261"/>
  <c r="J9260"/>
  <c r="J9259"/>
  <c r="J9258"/>
  <c r="J9257"/>
  <c r="J9256"/>
  <c r="J9255"/>
  <c r="J9254"/>
  <c r="J9253"/>
  <c r="J9252"/>
  <c r="J9248"/>
  <c r="J9247"/>
  <c r="J9246"/>
  <c r="J9245"/>
  <c r="J9244"/>
  <c r="J9243"/>
  <c r="J9242"/>
  <c r="J9241"/>
  <c r="J9240"/>
  <c r="J9239"/>
  <c r="J9238"/>
  <c r="J9237"/>
  <c r="J9236"/>
  <c r="J9235"/>
  <c r="J9234"/>
  <c r="J9233"/>
  <c r="J9230"/>
  <c r="J9229"/>
  <c r="J9228"/>
  <c r="J9227"/>
  <c r="J9226"/>
  <c r="J9225"/>
  <c r="J9224"/>
  <c r="J9223"/>
  <c r="J9222"/>
  <c r="J9221"/>
  <c r="J9220"/>
  <c r="J9219"/>
  <c r="J9218"/>
  <c r="J9217"/>
  <c r="J9216"/>
  <c r="J9213"/>
  <c r="J9212"/>
  <c r="J9211"/>
  <c r="J9210"/>
  <c r="J9209"/>
  <c r="J9208"/>
  <c r="J9207"/>
  <c r="J9206"/>
  <c r="J9205"/>
  <c r="J9204"/>
  <c r="J9203"/>
  <c r="J9202"/>
  <c r="J9201"/>
  <c r="J9200"/>
  <c r="J9199"/>
  <c r="J9198"/>
  <c r="J9197"/>
  <c r="J9196"/>
  <c r="J9195"/>
  <c r="J9194"/>
  <c r="J9193"/>
  <c r="J9192"/>
  <c r="J9191"/>
  <c r="J9190"/>
  <c r="J9189"/>
  <c r="J9188"/>
  <c r="J9187"/>
  <c r="J9186"/>
  <c r="J9185"/>
  <c r="J9184"/>
  <c r="J9183"/>
  <c r="J9182"/>
  <c r="J9181"/>
  <c r="J9180"/>
  <c r="J9179"/>
  <c r="J9178"/>
  <c r="J9177"/>
  <c r="J9176"/>
  <c r="J9175"/>
  <c r="J9174"/>
  <c r="J9173"/>
  <c r="J9172"/>
  <c r="J9171"/>
  <c r="J9170"/>
  <c r="J9169"/>
  <c r="J9168"/>
  <c r="J9167"/>
  <c r="J9166"/>
  <c r="J9165"/>
  <c r="J9164"/>
  <c r="J9163"/>
  <c r="J9162"/>
  <c r="J9161"/>
  <c r="J9160"/>
  <c r="J9159"/>
  <c r="J9158"/>
  <c r="J9157"/>
  <c r="J9156"/>
  <c r="J9155"/>
  <c r="J9154"/>
  <c r="J9149"/>
  <c r="J9148"/>
  <c r="J9147"/>
  <c r="J9146"/>
  <c r="J9145"/>
  <c r="J9144"/>
  <c r="J9143"/>
  <c r="J9142"/>
  <c r="J9141"/>
  <c r="J9140"/>
  <c r="J9139"/>
  <c r="J9138"/>
  <c r="J9137"/>
  <c r="J9136"/>
  <c r="J9135"/>
  <c r="J9134"/>
  <c r="J9131"/>
  <c r="J9130"/>
  <c r="J9129"/>
  <c r="J9128"/>
  <c r="J9127"/>
  <c r="J9126"/>
  <c r="J9125"/>
  <c r="J9124"/>
  <c r="J9123"/>
  <c r="J9122"/>
  <c r="J9121"/>
  <c r="J9120"/>
  <c r="J9119"/>
  <c r="J9118"/>
  <c r="J9117"/>
  <c r="J9114"/>
  <c r="J9113"/>
  <c r="J9112"/>
  <c r="J9111"/>
  <c r="J9110"/>
  <c r="J9109"/>
  <c r="J9108"/>
  <c r="J9107"/>
  <c r="J9106"/>
  <c r="J9105"/>
  <c r="J9104"/>
  <c r="J9103"/>
  <c r="J9102"/>
  <c r="J9101"/>
  <c r="J9100"/>
  <c r="J9099"/>
  <c r="J9098"/>
  <c r="J9097"/>
  <c r="J9096"/>
  <c r="J9095"/>
  <c r="J9094"/>
  <c r="J9093"/>
  <c r="J9092"/>
  <c r="J9091"/>
  <c r="J9090"/>
  <c r="J9089"/>
  <c r="J9088"/>
  <c r="J9087"/>
  <c r="J9086"/>
  <c r="J9085"/>
  <c r="J9084"/>
  <c r="J9083"/>
  <c r="J9082"/>
  <c r="J9081"/>
  <c r="J9080"/>
  <c r="J9079"/>
  <c r="J9078"/>
  <c r="J9077"/>
  <c r="J9076"/>
  <c r="J9075"/>
  <c r="J9074"/>
  <c r="J9073"/>
  <c r="J9072"/>
  <c r="J9071"/>
  <c r="J9070"/>
  <c r="J9069"/>
  <c r="J9068"/>
  <c r="J9067"/>
  <c r="J9066"/>
  <c r="J9065"/>
  <c r="J9064"/>
  <c r="J9063"/>
  <c r="J9062"/>
  <c r="J9061"/>
  <c r="J9060"/>
  <c r="J9059"/>
  <c r="J9058"/>
  <c r="J9057"/>
  <c r="J9056"/>
  <c r="J9055"/>
  <c r="J9050"/>
  <c r="J9049"/>
  <c r="J9048"/>
  <c r="J9047"/>
  <c r="J9046"/>
  <c r="J9045"/>
  <c r="J9044"/>
  <c r="J9043"/>
  <c r="J9042"/>
  <c r="J9041"/>
  <c r="J9040"/>
  <c r="J9039"/>
  <c r="J9038"/>
  <c r="J9037"/>
  <c r="J9036"/>
  <c r="J9035"/>
  <c r="J9032"/>
  <c r="J9031"/>
  <c r="J9030"/>
  <c r="J9029"/>
  <c r="J9028"/>
  <c r="J9027"/>
  <c r="J9026"/>
  <c r="J9025"/>
  <c r="J9024"/>
  <c r="J9023"/>
  <c r="J9022"/>
  <c r="J9021"/>
  <c r="J9020"/>
  <c r="J9019"/>
  <c r="J9018"/>
  <c r="J9015"/>
  <c r="J9014"/>
  <c r="J9013"/>
  <c r="J9012"/>
  <c r="J9011"/>
  <c r="J9010"/>
  <c r="J9009"/>
  <c r="J9008"/>
  <c r="J9007"/>
  <c r="J9006"/>
  <c r="J9005"/>
  <c r="J9004"/>
  <c r="J9003"/>
  <c r="J9002"/>
  <c r="J9001"/>
  <c r="J9000"/>
  <c r="J8999"/>
  <c r="J8998"/>
  <c r="J8997"/>
  <c r="J8996"/>
  <c r="J8995"/>
  <c r="J8994"/>
  <c r="J8993"/>
  <c r="J8992"/>
  <c r="J8991"/>
  <c r="J8990"/>
  <c r="J8989"/>
  <c r="J8988"/>
  <c r="J8987"/>
  <c r="J8986"/>
  <c r="J8985"/>
  <c r="J8984"/>
  <c r="J8983"/>
  <c r="J8982"/>
  <c r="J8981"/>
  <c r="J8980"/>
  <c r="J8979"/>
  <c r="J8978"/>
  <c r="J8977"/>
  <c r="J8976"/>
  <c r="J8975"/>
  <c r="J8974"/>
  <c r="J8973"/>
  <c r="J8972"/>
  <c r="J8971"/>
  <c r="J8970"/>
  <c r="J8969"/>
  <c r="J8968"/>
  <c r="J8967"/>
  <c r="J8966"/>
  <c r="J8965"/>
  <c r="J8964"/>
  <c r="J8963"/>
  <c r="J8962"/>
  <c r="J8961"/>
  <c r="J8960"/>
  <c r="J8959"/>
  <c r="J8958"/>
  <c r="J8957"/>
  <c r="J8956"/>
  <c r="H8952"/>
  <c r="D196" i="7" s="1"/>
  <c r="J8951" i="8"/>
  <c r="J8950"/>
  <c r="J8949"/>
  <c r="J8948"/>
  <c r="J8947"/>
  <c r="J8946"/>
  <c r="J8945"/>
  <c r="J8944"/>
  <c r="J8943"/>
  <c r="J8942"/>
  <c r="J8941"/>
  <c r="J8940"/>
  <c r="J8939"/>
  <c r="J8938"/>
  <c r="J8937"/>
  <c r="J8936"/>
  <c r="J8933"/>
  <c r="J8932"/>
  <c r="J8931"/>
  <c r="J8930"/>
  <c r="J8929"/>
  <c r="J8928"/>
  <c r="J8927"/>
  <c r="J8926"/>
  <c r="J8925"/>
  <c r="J8924"/>
  <c r="J8923"/>
  <c r="J8922"/>
  <c r="J8921"/>
  <c r="J8920"/>
  <c r="J8919"/>
  <c r="J8918"/>
  <c r="J8916"/>
  <c r="J8915"/>
  <c r="J8914"/>
  <c r="J8913"/>
  <c r="J8912"/>
  <c r="J8911"/>
  <c r="J8910"/>
  <c r="J8909"/>
  <c r="J8908"/>
  <c r="J8907"/>
  <c r="J8906"/>
  <c r="J8905"/>
  <c r="J8904"/>
  <c r="J8903"/>
  <c r="J8902"/>
  <c r="J8901"/>
  <c r="J8900"/>
  <c r="J8899"/>
  <c r="J8898"/>
  <c r="J8897"/>
  <c r="J8896"/>
  <c r="J8895"/>
  <c r="J8894"/>
  <c r="J8893"/>
  <c r="J8892"/>
  <c r="J8891"/>
  <c r="J8890"/>
  <c r="J8889"/>
  <c r="J8888"/>
  <c r="J8887"/>
  <c r="J8886"/>
  <c r="J8885"/>
  <c r="J8884"/>
  <c r="J8883"/>
  <c r="J8882"/>
  <c r="J8881"/>
  <c r="J8880"/>
  <c r="J8879"/>
  <c r="J8878"/>
  <c r="J8877"/>
  <c r="J8876"/>
  <c r="J8875"/>
  <c r="J8874"/>
  <c r="J8873"/>
  <c r="J8872"/>
  <c r="J8871"/>
  <c r="J8870"/>
  <c r="J8869"/>
  <c r="J8868"/>
  <c r="J8867"/>
  <c r="J8866"/>
  <c r="J8865"/>
  <c r="J8864"/>
  <c r="J8863"/>
  <c r="J8862"/>
  <c r="J8861"/>
  <c r="J8860"/>
  <c r="J8859"/>
  <c r="J8858"/>
  <c r="J8857"/>
  <c r="I8853"/>
  <c r="J8852"/>
  <c r="J8851"/>
  <c r="J8850"/>
  <c r="J8849"/>
  <c r="J8848"/>
  <c r="J8847"/>
  <c r="J8846"/>
  <c r="J8845"/>
  <c r="J8844"/>
  <c r="J8843"/>
  <c r="J8842"/>
  <c r="J8841"/>
  <c r="J8840"/>
  <c r="J8839"/>
  <c r="J8838"/>
  <c r="J8837"/>
  <c r="J8834"/>
  <c r="J8833"/>
  <c r="J8832"/>
  <c r="J8831"/>
  <c r="J8830"/>
  <c r="J8829"/>
  <c r="J8828"/>
  <c r="J8827"/>
  <c r="J8826"/>
  <c r="J8825"/>
  <c r="J8824"/>
  <c r="J8823"/>
  <c r="J8822"/>
  <c r="J8821"/>
  <c r="J8820"/>
  <c r="J8819"/>
  <c r="J8817"/>
  <c r="J8816"/>
  <c r="J8815"/>
  <c r="J8814"/>
  <c r="J8813"/>
  <c r="J8812"/>
  <c r="J8811"/>
  <c r="J8810"/>
  <c r="J8809"/>
  <c r="J8808"/>
  <c r="J8807"/>
  <c r="J8806"/>
  <c r="J8805"/>
  <c r="J8804"/>
  <c r="J8803"/>
  <c r="J8802"/>
  <c r="J8801"/>
  <c r="J8800"/>
  <c r="J8799"/>
  <c r="J8798"/>
  <c r="J8797"/>
  <c r="J8796"/>
  <c r="J8795"/>
  <c r="J8794"/>
  <c r="J8793"/>
  <c r="J8792"/>
  <c r="J8791"/>
  <c r="J8790"/>
  <c r="J8789"/>
  <c r="J8788"/>
  <c r="J8787"/>
  <c r="J8786"/>
  <c r="J8785"/>
  <c r="J8784"/>
  <c r="J8783"/>
  <c r="J8782"/>
  <c r="J8781"/>
  <c r="J8780"/>
  <c r="J8779"/>
  <c r="J8778"/>
  <c r="J8777"/>
  <c r="J8776"/>
  <c r="J8775"/>
  <c r="J8774"/>
  <c r="J8773"/>
  <c r="J8772"/>
  <c r="J8771"/>
  <c r="J8770"/>
  <c r="J8769"/>
  <c r="J8768"/>
  <c r="J8767"/>
  <c r="J8766"/>
  <c r="J8765"/>
  <c r="J8764"/>
  <c r="J8763"/>
  <c r="J8762"/>
  <c r="J8761"/>
  <c r="J8760"/>
  <c r="J8759"/>
  <c r="J8758"/>
  <c r="I8752"/>
  <c r="H8752"/>
  <c r="J8751"/>
  <c r="J8750"/>
  <c r="J8749"/>
  <c r="J8748"/>
  <c r="J8747"/>
  <c r="J8746"/>
  <c r="J8745"/>
  <c r="J8744"/>
  <c r="J8743"/>
  <c r="J8742"/>
  <c r="J8741"/>
  <c r="J8740"/>
  <c r="J8739"/>
  <c r="J8738"/>
  <c r="J8737"/>
  <c r="J8736"/>
  <c r="I8732"/>
  <c r="F47" i="7" s="1"/>
  <c r="J8731" i="8"/>
  <c r="J8730"/>
  <c r="J8729"/>
  <c r="J8728"/>
  <c r="J8727"/>
  <c r="J8726"/>
  <c r="J8725"/>
  <c r="J8724"/>
  <c r="J8723"/>
  <c r="J8722"/>
  <c r="J8721"/>
  <c r="J8720"/>
  <c r="J8719"/>
  <c r="J8718"/>
  <c r="J8717"/>
  <c r="I8714"/>
  <c r="J8713"/>
  <c r="J8712"/>
  <c r="J8711"/>
  <c r="J8710"/>
  <c r="J8709"/>
  <c r="J8708"/>
  <c r="J8707"/>
  <c r="J8706"/>
  <c r="J8705"/>
  <c r="J8704"/>
  <c r="J8703"/>
  <c r="J8702"/>
  <c r="J8701"/>
  <c r="J8700"/>
  <c r="J8699"/>
  <c r="H8714"/>
  <c r="C92" i="6" s="1"/>
  <c r="J8696" i="8"/>
  <c r="J8695"/>
  <c r="J8694"/>
  <c r="J8693"/>
  <c r="J8692"/>
  <c r="J8691"/>
  <c r="J8690"/>
  <c r="J8689"/>
  <c r="J8688"/>
  <c r="J8687"/>
  <c r="J8686"/>
  <c r="J8685"/>
  <c r="J8684"/>
  <c r="J8683"/>
  <c r="J8682"/>
  <c r="J8681"/>
  <c r="J8680"/>
  <c r="J8679"/>
  <c r="J8678"/>
  <c r="J8677"/>
  <c r="J8676"/>
  <c r="J8675"/>
  <c r="J8674"/>
  <c r="J8673"/>
  <c r="J8672"/>
  <c r="J8671"/>
  <c r="J8670"/>
  <c r="J8669"/>
  <c r="J8668"/>
  <c r="J8667"/>
  <c r="J8666"/>
  <c r="J8665"/>
  <c r="J8664"/>
  <c r="J8663"/>
  <c r="J8662"/>
  <c r="J8661"/>
  <c r="J8660"/>
  <c r="J8659"/>
  <c r="J8658"/>
  <c r="J8657"/>
  <c r="J8656"/>
  <c r="J8655"/>
  <c r="J8654"/>
  <c r="J8653"/>
  <c r="J8652"/>
  <c r="J8651"/>
  <c r="J8650"/>
  <c r="J8649"/>
  <c r="J8648"/>
  <c r="J8647"/>
  <c r="J8646"/>
  <c r="J8645"/>
  <c r="J8644"/>
  <c r="J8643"/>
  <c r="J8642"/>
  <c r="J8641"/>
  <c r="J8640"/>
  <c r="J8639"/>
  <c r="J8638"/>
  <c r="J8637"/>
  <c r="I8633"/>
  <c r="F44" i="7" s="1"/>
  <c r="J8632" i="8"/>
  <c r="J8631"/>
  <c r="J8630"/>
  <c r="J8629"/>
  <c r="J8628"/>
  <c r="J8627"/>
  <c r="J8626"/>
  <c r="J8625"/>
  <c r="J8624"/>
  <c r="J8623"/>
  <c r="J8622"/>
  <c r="J8621"/>
  <c r="J8620"/>
  <c r="J8619"/>
  <c r="J8618"/>
  <c r="I8615"/>
  <c r="J8614"/>
  <c r="J8613"/>
  <c r="J8612"/>
  <c r="J8611"/>
  <c r="J8610"/>
  <c r="J8609"/>
  <c r="J8608"/>
  <c r="J8607"/>
  <c r="J8606"/>
  <c r="J8605"/>
  <c r="J8604"/>
  <c r="J8603"/>
  <c r="J8602"/>
  <c r="J8601"/>
  <c r="J8600"/>
  <c r="J8597"/>
  <c r="J8596"/>
  <c r="J8595"/>
  <c r="J8594"/>
  <c r="J8593"/>
  <c r="J8592"/>
  <c r="J8591"/>
  <c r="J8590"/>
  <c r="J8589"/>
  <c r="J8588"/>
  <c r="J8587"/>
  <c r="J8586"/>
  <c r="J8585"/>
  <c r="J8584"/>
  <c r="J8583"/>
  <c r="J8582"/>
  <c r="J8581"/>
  <c r="J8580"/>
  <c r="J8579"/>
  <c r="J8578"/>
  <c r="J8577"/>
  <c r="J8576"/>
  <c r="J8575"/>
  <c r="J8574"/>
  <c r="J8573"/>
  <c r="J8572"/>
  <c r="J8571"/>
  <c r="J8570"/>
  <c r="J8569"/>
  <c r="J8568"/>
  <c r="J8567"/>
  <c r="J8566"/>
  <c r="J8565"/>
  <c r="J8564"/>
  <c r="J8563"/>
  <c r="J8562"/>
  <c r="J8561"/>
  <c r="J8560"/>
  <c r="J8559"/>
  <c r="J8558"/>
  <c r="J8557"/>
  <c r="J8556"/>
  <c r="J8555"/>
  <c r="J8554"/>
  <c r="J8553"/>
  <c r="J8552"/>
  <c r="J8551"/>
  <c r="J8550"/>
  <c r="J8549"/>
  <c r="J8548"/>
  <c r="J8547"/>
  <c r="J8546"/>
  <c r="J8545"/>
  <c r="J8544"/>
  <c r="J8543"/>
  <c r="J8542"/>
  <c r="J8541"/>
  <c r="J8540"/>
  <c r="J8539"/>
  <c r="J8538"/>
  <c r="I4326"/>
  <c r="F43" i="7" s="1"/>
  <c r="J4325" i="8"/>
  <c r="J4324"/>
  <c r="J4323"/>
  <c r="J4322"/>
  <c r="J4321"/>
  <c r="J4320"/>
  <c r="J4319"/>
  <c r="J4318"/>
  <c r="J4317"/>
  <c r="J4316"/>
  <c r="J4315"/>
  <c r="J4314"/>
  <c r="J4313"/>
  <c r="J4312"/>
  <c r="J4311"/>
  <c r="I4308"/>
  <c r="E90" i="6" s="1"/>
  <c r="J4307" i="8"/>
  <c r="J4306"/>
  <c r="J4305"/>
  <c r="J4304"/>
  <c r="J4303"/>
  <c r="J4302"/>
  <c r="J4301"/>
  <c r="J4300"/>
  <c r="J4299"/>
  <c r="J4298"/>
  <c r="J4297"/>
  <c r="J4296"/>
  <c r="J4295"/>
  <c r="J4294"/>
  <c r="J4293"/>
  <c r="H4308"/>
  <c r="C90" i="6" s="1"/>
  <c r="J4290" i="8"/>
  <c r="J4289"/>
  <c r="J4288"/>
  <c r="J4287"/>
  <c r="J4286"/>
  <c r="J4285"/>
  <c r="J4284"/>
  <c r="J4283"/>
  <c r="J4282"/>
  <c r="J4281"/>
  <c r="J4280"/>
  <c r="J4279"/>
  <c r="J4278"/>
  <c r="J4277"/>
  <c r="J4276"/>
  <c r="J4275"/>
  <c r="J4274"/>
  <c r="J4273"/>
  <c r="J4272"/>
  <c r="J4271"/>
  <c r="J4270"/>
  <c r="J4269"/>
  <c r="J4268"/>
  <c r="J4267"/>
  <c r="J4266"/>
  <c r="J4265"/>
  <c r="J4264"/>
  <c r="J4263"/>
  <c r="J4262"/>
  <c r="J4261"/>
  <c r="J4260"/>
  <c r="J4259"/>
  <c r="J4258"/>
  <c r="J4257"/>
  <c r="J4256"/>
  <c r="J4255"/>
  <c r="J4254"/>
  <c r="J4253"/>
  <c r="J4252"/>
  <c r="J4251"/>
  <c r="J4250"/>
  <c r="J4249"/>
  <c r="J4248"/>
  <c r="J4247"/>
  <c r="J4246"/>
  <c r="J4245"/>
  <c r="J4244"/>
  <c r="J4243"/>
  <c r="J4242"/>
  <c r="J4241"/>
  <c r="J4240"/>
  <c r="J4239"/>
  <c r="J4238"/>
  <c r="J4237"/>
  <c r="J4236"/>
  <c r="J4235"/>
  <c r="J4234"/>
  <c r="J4233"/>
  <c r="J4232"/>
  <c r="J4231"/>
  <c r="I4227"/>
  <c r="F42" i="7" s="1"/>
  <c r="J4226" i="8"/>
  <c r="J4225"/>
  <c r="J4224"/>
  <c r="J4223"/>
  <c r="J4222"/>
  <c r="J4221"/>
  <c r="J4220"/>
  <c r="J4219"/>
  <c r="J4218"/>
  <c r="J4217"/>
  <c r="J4216"/>
  <c r="J4215"/>
  <c r="J4214"/>
  <c r="J4213"/>
  <c r="J4212"/>
  <c r="I4209"/>
  <c r="J4208"/>
  <c r="J4207"/>
  <c r="J4206"/>
  <c r="J4205"/>
  <c r="J4204"/>
  <c r="J4203"/>
  <c r="J4202"/>
  <c r="J4201"/>
  <c r="J4200"/>
  <c r="J4199"/>
  <c r="J4198"/>
  <c r="J4197"/>
  <c r="J4196"/>
  <c r="J4195"/>
  <c r="J4194"/>
  <c r="J4191"/>
  <c r="J4190"/>
  <c r="J4189"/>
  <c r="J4188"/>
  <c r="J4187"/>
  <c r="J4186"/>
  <c r="J4185"/>
  <c r="J4184"/>
  <c r="J4183"/>
  <c r="J4182"/>
  <c r="J4181"/>
  <c r="J4180"/>
  <c r="J4179"/>
  <c r="J4178"/>
  <c r="J4177"/>
  <c r="J4176"/>
  <c r="J4175"/>
  <c r="J4174"/>
  <c r="J4173"/>
  <c r="J4172"/>
  <c r="J4171"/>
  <c r="J4170"/>
  <c r="J4169"/>
  <c r="J4168"/>
  <c r="J4167"/>
  <c r="J4166"/>
  <c r="J4165"/>
  <c r="J4164"/>
  <c r="J4163"/>
  <c r="J4162"/>
  <c r="J4161"/>
  <c r="J4160"/>
  <c r="J4159"/>
  <c r="J4158"/>
  <c r="J4157"/>
  <c r="J4156"/>
  <c r="J4155"/>
  <c r="J4154"/>
  <c r="J4153"/>
  <c r="J4152"/>
  <c r="J4151"/>
  <c r="J4150"/>
  <c r="J4149"/>
  <c r="J4148"/>
  <c r="J4147"/>
  <c r="J4146"/>
  <c r="J4145"/>
  <c r="J4144"/>
  <c r="J4143"/>
  <c r="J4142"/>
  <c r="J4141"/>
  <c r="J4140"/>
  <c r="J4139"/>
  <c r="J4138"/>
  <c r="J4137"/>
  <c r="J4136"/>
  <c r="J4135"/>
  <c r="J4134"/>
  <c r="J4133"/>
  <c r="J4132"/>
  <c r="I8336"/>
  <c r="F41" i="7" s="1"/>
  <c r="J8335" i="8"/>
  <c r="J8334"/>
  <c r="J8333"/>
  <c r="J8332"/>
  <c r="J8331"/>
  <c r="J8330"/>
  <c r="J8329"/>
  <c r="J8328"/>
  <c r="J8327"/>
  <c r="J8326"/>
  <c r="J8325"/>
  <c r="J8324"/>
  <c r="J8323"/>
  <c r="J8322"/>
  <c r="J8321"/>
  <c r="I8318"/>
  <c r="J8317"/>
  <c r="J8316"/>
  <c r="J8315"/>
  <c r="J8314"/>
  <c r="J8313"/>
  <c r="J8312"/>
  <c r="J8311"/>
  <c r="J8310"/>
  <c r="J8309"/>
  <c r="J8308"/>
  <c r="J8307"/>
  <c r="J8306"/>
  <c r="J8305"/>
  <c r="J8304"/>
  <c r="J8303"/>
  <c r="J8300"/>
  <c r="J8299"/>
  <c r="J8298"/>
  <c r="J8297"/>
  <c r="J8296"/>
  <c r="J8295"/>
  <c r="J8294"/>
  <c r="J8293"/>
  <c r="J8292"/>
  <c r="J8291"/>
  <c r="J8290"/>
  <c r="J8289"/>
  <c r="J8288"/>
  <c r="J8287"/>
  <c r="J8286"/>
  <c r="J8285"/>
  <c r="J8284"/>
  <c r="J8283"/>
  <c r="J8282"/>
  <c r="J8281"/>
  <c r="J8280"/>
  <c r="J8279"/>
  <c r="J8278"/>
  <c r="J8277"/>
  <c r="J8276"/>
  <c r="J8275"/>
  <c r="J8274"/>
  <c r="J8273"/>
  <c r="J8272"/>
  <c r="J8271"/>
  <c r="J8270"/>
  <c r="J8269"/>
  <c r="J8268"/>
  <c r="J8267"/>
  <c r="J8266"/>
  <c r="J8265"/>
  <c r="J8264"/>
  <c r="J8263"/>
  <c r="J8262"/>
  <c r="J8261"/>
  <c r="J8260"/>
  <c r="J8259"/>
  <c r="J8258"/>
  <c r="J8257"/>
  <c r="J8256"/>
  <c r="J8255"/>
  <c r="J8254"/>
  <c r="J8253"/>
  <c r="J8252"/>
  <c r="J8251"/>
  <c r="J8250"/>
  <c r="J8249"/>
  <c r="J8248"/>
  <c r="J8247"/>
  <c r="J8246"/>
  <c r="J8245"/>
  <c r="J8244"/>
  <c r="J8243"/>
  <c r="J8242"/>
  <c r="J8241"/>
  <c r="I8237"/>
  <c r="F39" i="7" s="1"/>
  <c r="J8236" i="8"/>
  <c r="J8235"/>
  <c r="J8234"/>
  <c r="J8233"/>
  <c r="J8232"/>
  <c r="J8231"/>
  <c r="J8230"/>
  <c r="J8229"/>
  <c r="J8228"/>
  <c r="J8227"/>
  <c r="J8226"/>
  <c r="J8225"/>
  <c r="J8224"/>
  <c r="J8223"/>
  <c r="J8222"/>
  <c r="I8219"/>
  <c r="J8218"/>
  <c r="J8217"/>
  <c r="J8216"/>
  <c r="J8215"/>
  <c r="J8214"/>
  <c r="J8213"/>
  <c r="J8212"/>
  <c r="J8211"/>
  <c r="J8210"/>
  <c r="J8209"/>
  <c r="J8208"/>
  <c r="J8207"/>
  <c r="J8206"/>
  <c r="J8205"/>
  <c r="J8204"/>
  <c r="J8201"/>
  <c r="J8200"/>
  <c r="J8199"/>
  <c r="J8198"/>
  <c r="J8197"/>
  <c r="J8196"/>
  <c r="J8195"/>
  <c r="J8194"/>
  <c r="J8193"/>
  <c r="J8192"/>
  <c r="J8191"/>
  <c r="J8190"/>
  <c r="J8189"/>
  <c r="J8188"/>
  <c r="J8187"/>
  <c r="J8186"/>
  <c r="J8185"/>
  <c r="J8184"/>
  <c r="J8183"/>
  <c r="J8182"/>
  <c r="J8181"/>
  <c r="J8180"/>
  <c r="J8179"/>
  <c r="J8178"/>
  <c r="J8177"/>
  <c r="J8176"/>
  <c r="J8175"/>
  <c r="J8174"/>
  <c r="J8173"/>
  <c r="J8172"/>
  <c r="J8171"/>
  <c r="J8170"/>
  <c r="J8169"/>
  <c r="J8168"/>
  <c r="J8167"/>
  <c r="J8166"/>
  <c r="J8165"/>
  <c r="J8164"/>
  <c r="J8163"/>
  <c r="J8162"/>
  <c r="J8161"/>
  <c r="J8160"/>
  <c r="J8159"/>
  <c r="J8158"/>
  <c r="J8157"/>
  <c r="J8156"/>
  <c r="J8155"/>
  <c r="J8154"/>
  <c r="J8153"/>
  <c r="J8152"/>
  <c r="J8151"/>
  <c r="J8150"/>
  <c r="J8149"/>
  <c r="J8148"/>
  <c r="J8147"/>
  <c r="J8146"/>
  <c r="J8145"/>
  <c r="J8144"/>
  <c r="J8143"/>
  <c r="J8142"/>
  <c r="I4128"/>
  <c r="F35" i="7" s="1"/>
  <c r="J4127" i="8"/>
  <c r="J4126"/>
  <c r="J4125"/>
  <c r="J4124"/>
  <c r="J4123"/>
  <c r="J4122"/>
  <c r="J4121"/>
  <c r="J4120"/>
  <c r="J4119"/>
  <c r="J4118"/>
  <c r="J4117"/>
  <c r="J4116"/>
  <c r="J4115"/>
  <c r="J4114"/>
  <c r="J4113"/>
  <c r="E80" i="6"/>
  <c r="J4109" i="8"/>
  <c r="J4108"/>
  <c r="J4107"/>
  <c r="J4106"/>
  <c r="J4105"/>
  <c r="J4104"/>
  <c r="J4103"/>
  <c r="J4102"/>
  <c r="J4101"/>
  <c r="J4100"/>
  <c r="J4099"/>
  <c r="J4098"/>
  <c r="J4097"/>
  <c r="J4096"/>
  <c r="J4095"/>
  <c r="C80" i="6"/>
  <c r="J4092" i="8"/>
  <c r="J4091"/>
  <c r="J4090"/>
  <c r="J4089"/>
  <c r="J4088"/>
  <c r="J4087"/>
  <c r="J4086"/>
  <c r="J4085"/>
  <c r="J4084"/>
  <c r="J4083"/>
  <c r="J4082"/>
  <c r="J4081"/>
  <c r="J4080"/>
  <c r="J4079"/>
  <c r="J4078"/>
  <c r="J4077"/>
  <c r="J4076"/>
  <c r="J4075"/>
  <c r="J4074"/>
  <c r="J4073"/>
  <c r="J4072"/>
  <c r="J4071"/>
  <c r="J4070"/>
  <c r="J4069"/>
  <c r="J4068"/>
  <c r="J4067"/>
  <c r="J4066"/>
  <c r="J4065"/>
  <c r="J4064"/>
  <c r="J4063"/>
  <c r="J4062"/>
  <c r="J4061"/>
  <c r="J4060"/>
  <c r="J4059"/>
  <c r="J4058"/>
  <c r="J4057"/>
  <c r="J4056"/>
  <c r="J4055"/>
  <c r="J4054"/>
  <c r="J4053"/>
  <c r="J4052"/>
  <c r="J4051"/>
  <c r="J4050"/>
  <c r="J4049"/>
  <c r="J4048"/>
  <c r="J4047"/>
  <c r="J4046"/>
  <c r="J4045"/>
  <c r="J4044"/>
  <c r="J4043"/>
  <c r="J4042"/>
  <c r="J4041"/>
  <c r="J4040"/>
  <c r="J4039"/>
  <c r="J4038"/>
  <c r="J4037"/>
  <c r="J4036"/>
  <c r="J4035"/>
  <c r="J4034"/>
  <c r="J4033"/>
  <c r="J4028"/>
  <c r="J4027"/>
  <c r="J4026"/>
  <c r="J4025"/>
  <c r="J4024"/>
  <c r="J4023"/>
  <c r="J4022"/>
  <c r="J4021"/>
  <c r="J4020"/>
  <c r="J4019"/>
  <c r="J4018"/>
  <c r="J4017"/>
  <c r="J4016"/>
  <c r="J4015"/>
  <c r="J4014"/>
  <c r="I4011"/>
  <c r="E89" i="6" s="1"/>
  <c r="J4010" i="8"/>
  <c r="J4009"/>
  <c r="J4008"/>
  <c r="J4007"/>
  <c r="J4006"/>
  <c r="J4005"/>
  <c r="J4004"/>
  <c r="J4003"/>
  <c r="J4002"/>
  <c r="J4001"/>
  <c r="J4000"/>
  <c r="J3999"/>
  <c r="J3998"/>
  <c r="J3997"/>
  <c r="J3996"/>
  <c r="C89" i="6"/>
  <c r="J3993" i="8"/>
  <c r="J3992"/>
  <c r="J3991"/>
  <c r="J3990"/>
  <c r="J3989"/>
  <c r="J3988"/>
  <c r="J3987"/>
  <c r="J3986"/>
  <c r="J3985"/>
  <c r="J3984"/>
  <c r="J3983"/>
  <c r="J3982"/>
  <c r="J3981"/>
  <c r="J3980"/>
  <c r="J3979"/>
  <c r="J3978"/>
  <c r="J3977"/>
  <c r="J3976"/>
  <c r="J3975"/>
  <c r="J3974"/>
  <c r="J3973"/>
  <c r="J3972"/>
  <c r="J3971"/>
  <c r="J3970"/>
  <c r="J3969"/>
  <c r="J3968"/>
  <c r="J3967"/>
  <c r="J3966"/>
  <c r="J3965"/>
  <c r="J3964"/>
  <c r="J3963"/>
  <c r="J3962"/>
  <c r="J3961"/>
  <c r="J3960"/>
  <c r="J3959"/>
  <c r="J3958"/>
  <c r="J3957"/>
  <c r="J3956"/>
  <c r="J3955"/>
  <c r="J3954"/>
  <c r="J3953"/>
  <c r="J3952"/>
  <c r="J3951"/>
  <c r="J3950"/>
  <c r="J3949"/>
  <c r="J3948"/>
  <c r="J3947"/>
  <c r="J3946"/>
  <c r="J3945"/>
  <c r="J3944"/>
  <c r="J3943"/>
  <c r="J3942"/>
  <c r="J3941"/>
  <c r="J3940"/>
  <c r="J3939"/>
  <c r="J3938"/>
  <c r="J3937"/>
  <c r="J3936"/>
  <c r="J3935"/>
  <c r="J3934"/>
  <c r="I7919"/>
  <c r="J7918"/>
  <c r="J7917"/>
  <c r="J7916"/>
  <c r="J7915"/>
  <c r="J7914"/>
  <c r="J7913"/>
  <c r="J7912"/>
  <c r="J7911"/>
  <c r="J7910"/>
  <c r="J7909"/>
  <c r="J7908"/>
  <c r="J7907"/>
  <c r="J7906"/>
  <c r="J7905"/>
  <c r="J7904"/>
  <c r="I7901"/>
  <c r="J7900"/>
  <c r="J7899"/>
  <c r="J7898"/>
  <c r="J7897"/>
  <c r="J7896"/>
  <c r="J7895"/>
  <c r="J7894"/>
  <c r="J7893"/>
  <c r="J7892"/>
  <c r="J7891"/>
  <c r="J7890"/>
  <c r="J7889"/>
  <c r="J7888"/>
  <c r="J7887"/>
  <c r="J7886"/>
  <c r="J7883"/>
  <c r="J7882"/>
  <c r="J7881"/>
  <c r="J7880"/>
  <c r="J7879"/>
  <c r="J7878"/>
  <c r="J7877"/>
  <c r="J7876"/>
  <c r="J7875"/>
  <c r="J7874"/>
  <c r="J7873"/>
  <c r="J7872"/>
  <c r="J7871"/>
  <c r="J7870"/>
  <c r="J7869"/>
  <c r="J7868"/>
  <c r="J7867"/>
  <c r="J7866"/>
  <c r="J7865"/>
  <c r="J7864"/>
  <c r="J7863"/>
  <c r="J7862"/>
  <c r="J7861"/>
  <c r="J7860"/>
  <c r="J7859"/>
  <c r="J7858"/>
  <c r="J7857"/>
  <c r="J7856"/>
  <c r="J7855"/>
  <c r="J7854"/>
  <c r="J7853"/>
  <c r="J7852"/>
  <c r="J7851"/>
  <c r="J7850"/>
  <c r="J7849"/>
  <c r="J7848"/>
  <c r="J7847"/>
  <c r="J7846"/>
  <c r="J7845"/>
  <c r="J7844"/>
  <c r="J7843"/>
  <c r="J7842"/>
  <c r="J7841"/>
  <c r="J7840"/>
  <c r="J7839"/>
  <c r="J7838"/>
  <c r="J7837"/>
  <c r="J7836"/>
  <c r="J7835"/>
  <c r="J7834"/>
  <c r="J7833"/>
  <c r="J7832"/>
  <c r="J7831"/>
  <c r="J7830"/>
  <c r="J7829"/>
  <c r="J7828"/>
  <c r="J7827"/>
  <c r="J7826"/>
  <c r="J7825"/>
  <c r="J7824"/>
  <c r="I7820"/>
  <c r="J7819"/>
  <c r="J7818"/>
  <c r="J7817"/>
  <c r="J7816"/>
  <c r="J7815"/>
  <c r="J7814"/>
  <c r="J7813"/>
  <c r="J7812"/>
  <c r="J7811"/>
  <c r="J7810"/>
  <c r="J7809"/>
  <c r="J7808"/>
  <c r="J7807"/>
  <c r="J7806"/>
  <c r="J7805"/>
  <c r="I7802"/>
  <c r="J7801"/>
  <c r="J7800"/>
  <c r="J7799"/>
  <c r="J7798"/>
  <c r="J7797"/>
  <c r="J7796"/>
  <c r="J7795"/>
  <c r="J7794"/>
  <c r="J7793"/>
  <c r="J7792"/>
  <c r="J7791"/>
  <c r="J7790"/>
  <c r="J7789"/>
  <c r="J7788"/>
  <c r="J7787"/>
  <c r="H7802"/>
  <c r="J7784"/>
  <c r="J7783"/>
  <c r="J7782"/>
  <c r="J7781"/>
  <c r="J7780"/>
  <c r="J7779"/>
  <c r="J7778"/>
  <c r="J7777"/>
  <c r="J7776"/>
  <c r="J7775"/>
  <c r="J7774"/>
  <c r="J7773"/>
  <c r="J7772"/>
  <c r="J7771"/>
  <c r="J7770"/>
  <c r="J7769"/>
  <c r="J7768"/>
  <c r="J7767"/>
  <c r="J7766"/>
  <c r="J7765"/>
  <c r="J7764"/>
  <c r="J7763"/>
  <c r="J7762"/>
  <c r="J7761"/>
  <c r="J7760"/>
  <c r="J7759"/>
  <c r="J7758"/>
  <c r="J7757"/>
  <c r="J7756"/>
  <c r="J7755"/>
  <c r="J7754"/>
  <c r="J7753"/>
  <c r="J7752"/>
  <c r="J7751"/>
  <c r="J7750"/>
  <c r="J7749"/>
  <c r="J7748"/>
  <c r="J7747"/>
  <c r="J7746"/>
  <c r="J7745"/>
  <c r="J7744"/>
  <c r="J7743"/>
  <c r="J7742"/>
  <c r="J7741"/>
  <c r="J7740"/>
  <c r="J7739"/>
  <c r="J7738"/>
  <c r="J7737"/>
  <c r="J7736"/>
  <c r="J7735"/>
  <c r="J7734"/>
  <c r="J7733"/>
  <c r="J7732"/>
  <c r="J7731"/>
  <c r="J7730"/>
  <c r="J7729"/>
  <c r="J7728"/>
  <c r="J7727"/>
  <c r="J7726"/>
  <c r="J7725"/>
  <c r="I7699"/>
  <c r="H7699"/>
  <c r="J7698"/>
  <c r="J7697"/>
  <c r="J7696"/>
  <c r="J7695"/>
  <c r="J7694"/>
  <c r="J7693"/>
  <c r="J7692"/>
  <c r="J7691"/>
  <c r="J7690"/>
  <c r="J7689"/>
  <c r="J7688"/>
  <c r="J7687"/>
  <c r="J7686"/>
  <c r="J7685"/>
  <c r="J7684"/>
  <c r="J7683"/>
  <c r="H7361"/>
  <c r="J7360"/>
  <c r="J7359"/>
  <c r="J7358"/>
  <c r="J7357"/>
  <c r="J7356"/>
  <c r="J7355"/>
  <c r="J7354"/>
  <c r="J7353"/>
  <c r="J7352"/>
  <c r="J7351"/>
  <c r="J7350"/>
  <c r="J7349"/>
  <c r="J7348"/>
  <c r="J7347"/>
  <c r="J7346"/>
  <c r="J7345"/>
  <c r="I7581"/>
  <c r="J7580"/>
  <c r="J7579"/>
  <c r="J7578"/>
  <c r="J7577"/>
  <c r="J7576"/>
  <c r="J7575"/>
  <c r="J7574"/>
  <c r="J7573"/>
  <c r="J7572"/>
  <c r="J7571"/>
  <c r="J7570"/>
  <c r="J7569"/>
  <c r="J7568"/>
  <c r="J7567"/>
  <c r="J7566"/>
  <c r="I7563"/>
  <c r="J7562"/>
  <c r="J7561"/>
  <c r="J7560"/>
  <c r="J7559"/>
  <c r="J7558"/>
  <c r="J7557"/>
  <c r="J7556"/>
  <c r="J7555"/>
  <c r="J7554"/>
  <c r="J7553"/>
  <c r="J7552"/>
  <c r="J7551"/>
  <c r="J7550"/>
  <c r="J7549"/>
  <c r="J7548"/>
  <c r="H7563"/>
  <c r="J7545"/>
  <c r="J7544"/>
  <c r="J7543"/>
  <c r="J7542"/>
  <c r="J7541"/>
  <c r="J7540"/>
  <c r="J7539"/>
  <c r="J7538"/>
  <c r="J7537"/>
  <c r="J7536"/>
  <c r="J7535"/>
  <c r="J7534"/>
  <c r="J7533"/>
  <c r="J7532"/>
  <c r="J7531"/>
  <c r="J7530"/>
  <c r="J7529"/>
  <c r="J7528"/>
  <c r="J7527"/>
  <c r="J7526"/>
  <c r="J7525"/>
  <c r="J7524"/>
  <c r="J7523"/>
  <c r="J7522"/>
  <c r="J7521"/>
  <c r="J7520"/>
  <c r="J7519"/>
  <c r="J7518"/>
  <c r="J7517"/>
  <c r="J7516"/>
  <c r="J7515"/>
  <c r="J7514"/>
  <c r="J7513"/>
  <c r="J7512"/>
  <c r="J7511"/>
  <c r="J7510"/>
  <c r="J7509"/>
  <c r="J7508"/>
  <c r="J7507"/>
  <c r="J7506"/>
  <c r="J7505"/>
  <c r="J7504"/>
  <c r="J7503"/>
  <c r="J7502"/>
  <c r="J7501"/>
  <c r="J7500"/>
  <c r="J7499"/>
  <c r="J7498"/>
  <c r="J7497"/>
  <c r="J7496"/>
  <c r="J7495"/>
  <c r="J7494"/>
  <c r="J7493"/>
  <c r="J7492"/>
  <c r="J7491"/>
  <c r="J7490"/>
  <c r="J7489"/>
  <c r="J7488"/>
  <c r="J7487"/>
  <c r="J7486"/>
  <c r="I6847"/>
  <c r="J6846"/>
  <c r="J6845"/>
  <c r="J6844"/>
  <c r="J6843"/>
  <c r="J6842"/>
  <c r="J6841"/>
  <c r="J6840"/>
  <c r="J6839"/>
  <c r="J6838"/>
  <c r="J6837"/>
  <c r="J6836"/>
  <c r="J6835"/>
  <c r="J6834"/>
  <c r="J6833"/>
  <c r="J6832"/>
  <c r="H6847"/>
  <c r="D130" i="7" s="1"/>
  <c r="I6829" i="8"/>
  <c r="J6828"/>
  <c r="J6827"/>
  <c r="J6826"/>
  <c r="J6825"/>
  <c r="J6824"/>
  <c r="J6823"/>
  <c r="J6822"/>
  <c r="J6821"/>
  <c r="J6820"/>
  <c r="J6819"/>
  <c r="J6818"/>
  <c r="J6817"/>
  <c r="J6816"/>
  <c r="J6815"/>
  <c r="J6814"/>
  <c r="H6829"/>
  <c r="J6811"/>
  <c r="J6810"/>
  <c r="J6809"/>
  <c r="J6808"/>
  <c r="J6807"/>
  <c r="J6806"/>
  <c r="J6805"/>
  <c r="J6804"/>
  <c r="J6803"/>
  <c r="J6802"/>
  <c r="J6801"/>
  <c r="J6800"/>
  <c r="J6799"/>
  <c r="J6798"/>
  <c r="J6797"/>
  <c r="J6796"/>
  <c r="J6795"/>
  <c r="J6794"/>
  <c r="J6793"/>
  <c r="J6792"/>
  <c r="J6791"/>
  <c r="J6790"/>
  <c r="J6789"/>
  <c r="J6788"/>
  <c r="J6787"/>
  <c r="J6786"/>
  <c r="J6785"/>
  <c r="J6784"/>
  <c r="J6783"/>
  <c r="J6782"/>
  <c r="J6781"/>
  <c r="J6780"/>
  <c r="J6779"/>
  <c r="J6778"/>
  <c r="J6777"/>
  <c r="J6776"/>
  <c r="J6775"/>
  <c r="J6774"/>
  <c r="J6773"/>
  <c r="J6772"/>
  <c r="J6771"/>
  <c r="J6770"/>
  <c r="J6769"/>
  <c r="J6768"/>
  <c r="J6767"/>
  <c r="J6766"/>
  <c r="J6765"/>
  <c r="J6764"/>
  <c r="J6763"/>
  <c r="J6762"/>
  <c r="J6761"/>
  <c r="J6760"/>
  <c r="J6759"/>
  <c r="J6758"/>
  <c r="J6757"/>
  <c r="J6756"/>
  <c r="J6755"/>
  <c r="J6754"/>
  <c r="J6753"/>
  <c r="J6752"/>
  <c r="I7718"/>
  <c r="H7718"/>
  <c r="J7717"/>
  <c r="J7716"/>
  <c r="J7715"/>
  <c r="J7714"/>
  <c r="J7713"/>
  <c r="J7712"/>
  <c r="J7711"/>
  <c r="J7710"/>
  <c r="J7709"/>
  <c r="J7708"/>
  <c r="J7707"/>
  <c r="J7706"/>
  <c r="J7705"/>
  <c r="J7704"/>
  <c r="J7703"/>
  <c r="J7702"/>
  <c r="I7680"/>
  <c r="F134" i="7" s="1"/>
  <c r="G134" s="1"/>
  <c r="J7679" i="8"/>
  <c r="J7678"/>
  <c r="J7677"/>
  <c r="J7676"/>
  <c r="J7675"/>
  <c r="J7674"/>
  <c r="J7673"/>
  <c r="J7672"/>
  <c r="J7671"/>
  <c r="J7670"/>
  <c r="J7669"/>
  <c r="J7668"/>
  <c r="J7667"/>
  <c r="J7666"/>
  <c r="J7665"/>
  <c r="I7662"/>
  <c r="J7661"/>
  <c r="J7660"/>
  <c r="J7659"/>
  <c r="J7658"/>
  <c r="J7657"/>
  <c r="J7656"/>
  <c r="J7655"/>
  <c r="J7654"/>
  <c r="J7653"/>
  <c r="J7652"/>
  <c r="J7651"/>
  <c r="J7650"/>
  <c r="J7649"/>
  <c r="J7648"/>
  <c r="J7647"/>
  <c r="J7644"/>
  <c r="J7643"/>
  <c r="J7642"/>
  <c r="J7641"/>
  <c r="J7640"/>
  <c r="J7639"/>
  <c r="J7638"/>
  <c r="J7637"/>
  <c r="J7636"/>
  <c r="J7635"/>
  <c r="J7634"/>
  <c r="J7633"/>
  <c r="J7632"/>
  <c r="J7631"/>
  <c r="J7630"/>
  <c r="J7629"/>
  <c r="J7628"/>
  <c r="J7627"/>
  <c r="J7626"/>
  <c r="J7625"/>
  <c r="J7624"/>
  <c r="J7623"/>
  <c r="J7622"/>
  <c r="J7621"/>
  <c r="J7620"/>
  <c r="J7619"/>
  <c r="J7618"/>
  <c r="J7617"/>
  <c r="J7616"/>
  <c r="J7615"/>
  <c r="J7614"/>
  <c r="J7613"/>
  <c r="J7612"/>
  <c r="J7611"/>
  <c r="J7610"/>
  <c r="J7609"/>
  <c r="J7608"/>
  <c r="J7607"/>
  <c r="J7606"/>
  <c r="J7605"/>
  <c r="J7604"/>
  <c r="J7603"/>
  <c r="J7602"/>
  <c r="J7601"/>
  <c r="J7600"/>
  <c r="J7599"/>
  <c r="J7598"/>
  <c r="J7597"/>
  <c r="J7596"/>
  <c r="J7595"/>
  <c r="J7594"/>
  <c r="J7593"/>
  <c r="J7592"/>
  <c r="J7591"/>
  <c r="J7590"/>
  <c r="J7589"/>
  <c r="J7588"/>
  <c r="J7587"/>
  <c r="J7586"/>
  <c r="J7585"/>
  <c r="I7482"/>
  <c r="F129" i="7" s="1"/>
  <c r="J7481" i="8"/>
  <c r="J7480"/>
  <c r="J7479"/>
  <c r="J7478"/>
  <c r="J7477"/>
  <c r="J7476"/>
  <c r="J7475"/>
  <c r="J7474"/>
  <c r="J7473"/>
  <c r="J7472"/>
  <c r="J7471"/>
  <c r="J7470"/>
  <c r="J7469"/>
  <c r="J7468"/>
  <c r="J7467"/>
  <c r="I7464"/>
  <c r="J7463"/>
  <c r="J7462"/>
  <c r="J7461"/>
  <c r="J7460"/>
  <c r="J7459"/>
  <c r="J7458"/>
  <c r="J7457"/>
  <c r="J7456"/>
  <c r="J7455"/>
  <c r="J7454"/>
  <c r="J7453"/>
  <c r="J7452"/>
  <c r="J7451"/>
  <c r="J7450"/>
  <c r="J7449"/>
  <c r="H7464"/>
  <c r="J7446"/>
  <c r="J7445"/>
  <c r="J7444"/>
  <c r="J7443"/>
  <c r="J7442"/>
  <c r="J7441"/>
  <c r="J7440"/>
  <c r="J7439"/>
  <c r="J7438"/>
  <c r="J7437"/>
  <c r="J7436"/>
  <c r="J7435"/>
  <c r="J7434"/>
  <c r="J7433"/>
  <c r="J7432"/>
  <c r="J7431"/>
  <c r="J7430"/>
  <c r="J7429"/>
  <c r="J7428"/>
  <c r="J7427"/>
  <c r="J7426"/>
  <c r="J7425"/>
  <c r="J7424"/>
  <c r="J7423"/>
  <c r="J7422"/>
  <c r="J7421"/>
  <c r="J7420"/>
  <c r="J7419"/>
  <c r="J7418"/>
  <c r="J7417"/>
  <c r="J7416"/>
  <c r="J7415"/>
  <c r="J7414"/>
  <c r="J7413"/>
  <c r="J7412"/>
  <c r="J7411"/>
  <c r="J7410"/>
  <c r="J7409"/>
  <c r="J7408"/>
  <c r="J7407"/>
  <c r="J7406"/>
  <c r="J7405"/>
  <c r="J7404"/>
  <c r="J7403"/>
  <c r="J7402"/>
  <c r="J7401"/>
  <c r="J7400"/>
  <c r="J7399"/>
  <c r="J7398"/>
  <c r="J7397"/>
  <c r="J7396"/>
  <c r="J7395"/>
  <c r="J7394"/>
  <c r="J7393"/>
  <c r="J7392"/>
  <c r="J7391"/>
  <c r="J7390"/>
  <c r="J7389"/>
  <c r="J7388"/>
  <c r="J7387"/>
  <c r="I7144"/>
  <c r="F133" i="7" s="1"/>
  <c r="G133" s="1"/>
  <c r="J7143" i="8"/>
  <c r="J7142"/>
  <c r="J7141"/>
  <c r="J7140"/>
  <c r="J7139"/>
  <c r="J7138"/>
  <c r="J7137"/>
  <c r="J7136"/>
  <c r="J7135"/>
  <c r="J7134"/>
  <c r="J7133"/>
  <c r="J7132"/>
  <c r="J7131"/>
  <c r="J7130"/>
  <c r="J7129"/>
  <c r="I7126"/>
  <c r="J7125"/>
  <c r="J7124"/>
  <c r="J7123"/>
  <c r="J7122"/>
  <c r="J7121"/>
  <c r="J7120"/>
  <c r="J7119"/>
  <c r="J7118"/>
  <c r="J7117"/>
  <c r="J7116"/>
  <c r="J7115"/>
  <c r="J7114"/>
  <c r="J7113"/>
  <c r="J7112"/>
  <c r="J7111"/>
  <c r="H7126"/>
  <c r="J7108"/>
  <c r="J7107"/>
  <c r="J7106"/>
  <c r="J7105"/>
  <c r="J7104"/>
  <c r="J7103"/>
  <c r="J7102"/>
  <c r="J7101"/>
  <c r="J7100"/>
  <c r="J7099"/>
  <c r="J7098"/>
  <c r="J7097"/>
  <c r="J7096"/>
  <c r="J7095"/>
  <c r="J7094"/>
  <c r="J7093"/>
  <c r="J7092"/>
  <c r="J7091"/>
  <c r="J7090"/>
  <c r="J7089"/>
  <c r="J7088"/>
  <c r="J7087"/>
  <c r="J7086"/>
  <c r="J7085"/>
  <c r="J7084"/>
  <c r="J7083"/>
  <c r="J7082"/>
  <c r="J7081"/>
  <c r="J7080"/>
  <c r="J7079"/>
  <c r="J7078"/>
  <c r="J7077"/>
  <c r="J7076"/>
  <c r="J7075"/>
  <c r="J7074"/>
  <c r="J7073"/>
  <c r="J7072"/>
  <c r="J7071"/>
  <c r="J7070"/>
  <c r="J7069"/>
  <c r="J7068"/>
  <c r="J7067"/>
  <c r="J7066"/>
  <c r="J7065"/>
  <c r="J7064"/>
  <c r="J7063"/>
  <c r="J7062"/>
  <c r="J7061"/>
  <c r="J7060"/>
  <c r="J7059"/>
  <c r="J7058"/>
  <c r="J7057"/>
  <c r="J7056"/>
  <c r="J7055"/>
  <c r="J7054"/>
  <c r="J7053"/>
  <c r="J7052"/>
  <c r="J7051"/>
  <c r="J7050"/>
  <c r="J7049"/>
  <c r="I7045"/>
  <c r="F132" i="7" s="1"/>
  <c r="G132" s="1"/>
  <c r="J7044" i="8"/>
  <c r="J7043"/>
  <c r="J7042"/>
  <c r="J7041"/>
  <c r="J7040"/>
  <c r="J7039"/>
  <c r="J7038"/>
  <c r="J7037"/>
  <c r="J7036"/>
  <c r="J7035"/>
  <c r="J7034"/>
  <c r="J7033"/>
  <c r="J7032"/>
  <c r="J7031"/>
  <c r="J7030"/>
  <c r="I7027"/>
  <c r="J7026"/>
  <c r="J7025"/>
  <c r="J7024"/>
  <c r="J7023"/>
  <c r="J7022"/>
  <c r="J7021"/>
  <c r="J7020"/>
  <c r="J7019"/>
  <c r="J7018"/>
  <c r="J7017"/>
  <c r="J7016"/>
  <c r="J7015"/>
  <c r="J7014"/>
  <c r="J7013"/>
  <c r="J7012"/>
  <c r="H7027"/>
  <c r="J7009"/>
  <c r="J7008"/>
  <c r="J7007"/>
  <c r="J7006"/>
  <c r="J7005"/>
  <c r="J7004"/>
  <c r="J7003"/>
  <c r="J7002"/>
  <c r="J7001"/>
  <c r="J7000"/>
  <c r="J6999"/>
  <c r="J6998"/>
  <c r="J6997"/>
  <c r="J6996"/>
  <c r="J6995"/>
  <c r="J6994"/>
  <c r="J6993"/>
  <c r="J6992"/>
  <c r="J6991"/>
  <c r="J6990"/>
  <c r="J6989"/>
  <c r="J6988"/>
  <c r="J6987"/>
  <c r="J6986"/>
  <c r="J6985"/>
  <c r="J6984"/>
  <c r="J6983"/>
  <c r="J6982"/>
  <c r="J6981"/>
  <c r="J6980"/>
  <c r="J6979"/>
  <c r="J6978"/>
  <c r="J6977"/>
  <c r="J6976"/>
  <c r="J6975"/>
  <c r="J6974"/>
  <c r="J6973"/>
  <c r="J6972"/>
  <c r="J6971"/>
  <c r="J6970"/>
  <c r="J6969"/>
  <c r="J6968"/>
  <c r="J6967"/>
  <c r="J6966"/>
  <c r="J6965"/>
  <c r="J6964"/>
  <c r="J6963"/>
  <c r="J6962"/>
  <c r="J6961"/>
  <c r="J6960"/>
  <c r="J6959"/>
  <c r="J6958"/>
  <c r="J6957"/>
  <c r="J6956"/>
  <c r="J6955"/>
  <c r="J6954"/>
  <c r="J6953"/>
  <c r="J6952"/>
  <c r="J6951"/>
  <c r="J6950"/>
  <c r="I6928"/>
  <c r="J6927"/>
  <c r="J6926"/>
  <c r="J6925"/>
  <c r="J6924"/>
  <c r="J6923"/>
  <c r="J6922"/>
  <c r="J6921"/>
  <c r="J6920"/>
  <c r="J6919"/>
  <c r="J6918"/>
  <c r="J6917"/>
  <c r="J6916"/>
  <c r="J6915"/>
  <c r="J6914"/>
  <c r="J6913"/>
  <c r="H6928"/>
  <c r="J6729"/>
  <c r="J6728"/>
  <c r="J6727"/>
  <c r="J6726"/>
  <c r="J6725"/>
  <c r="J6724"/>
  <c r="J6723"/>
  <c r="J6722"/>
  <c r="J6721"/>
  <c r="J6720"/>
  <c r="J6719"/>
  <c r="J6718"/>
  <c r="J6717"/>
  <c r="J6716"/>
  <c r="J6715"/>
  <c r="H6730"/>
  <c r="I5595"/>
  <c r="H5595"/>
  <c r="J5594"/>
  <c r="J5593"/>
  <c r="J5592"/>
  <c r="J5591"/>
  <c r="J5590"/>
  <c r="J5589"/>
  <c r="J5588"/>
  <c r="J5587"/>
  <c r="J5586"/>
  <c r="J5585"/>
  <c r="J5584"/>
  <c r="J5583"/>
  <c r="J5582"/>
  <c r="J5581"/>
  <c r="J5580"/>
  <c r="J5579"/>
  <c r="I5558"/>
  <c r="J5557"/>
  <c r="J5556"/>
  <c r="J5555"/>
  <c r="J5554"/>
  <c r="J5553"/>
  <c r="J5552"/>
  <c r="J5551"/>
  <c r="J5550"/>
  <c r="J5549"/>
  <c r="J5548"/>
  <c r="J5547"/>
  <c r="J5546"/>
  <c r="J5545"/>
  <c r="J5544"/>
  <c r="J5543"/>
  <c r="H5558"/>
  <c r="I5458"/>
  <c r="J5457"/>
  <c r="J5456"/>
  <c r="J5455"/>
  <c r="J5454"/>
  <c r="J5453"/>
  <c r="J5452"/>
  <c r="J5451"/>
  <c r="J5450"/>
  <c r="J5449"/>
  <c r="J5448"/>
  <c r="J5447"/>
  <c r="J5446"/>
  <c r="J5445"/>
  <c r="J5444"/>
  <c r="J5443"/>
  <c r="H5458"/>
  <c r="I5318"/>
  <c r="J5317"/>
  <c r="J5316"/>
  <c r="J5315"/>
  <c r="J5314"/>
  <c r="J5313"/>
  <c r="J5312"/>
  <c r="J5311"/>
  <c r="J5310"/>
  <c r="J5309"/>
  <c r="J5308"/>
  <c r="J5307"/>
  <c r="J5306"/>
  <c r="J5305"/>
  <c r="J5304"/>
  <c r="J5303"/>
  <c r="H5318"/>
  <c r="I5355"/>
  <c r="H5355"/>
  <c r="J5354"/>
  <c r="J5353"/>
  <c r="J5352"/>
  <c r="J5351"/>
  <c r="J5350"/>
  <c r="J5349"/>
  <c r="J5348"/>
  <c r="J5347"/>
  <c r="J5346"/>
  <c r="J5345"/>
  <c r="J5344"/>
  <c r="J5343"/>
  <c r="J5342"/>
  <c r="J5341"/>
  <c r="J5340"/>
  <c r="J5339"/>
  <c r="I5215"/>
  <c r="J5214"/>
  <c r="J5213"/>
  <c r="J5212"/>
  <c r="J5211"/>
  <c r="J5210"/>
  <c r="J5209"/>
  <c r="J5208"/>
  <c r="J5207"/>
  <c r="J5206"/>
  <c r="J5205"/>
  <c r="J5204"/>
  <c r="J5203"/>
  <c r="J5202"/>
  <c r="J5201"/>
  <c r="J5200"/>
  <c r="I5178"/>
  <c r="J5177"/>
  <c r="J5176"/>
  <c r="J5175"/>
  <c r="J5174"/>
  <c r="J5173"/>
  <c r="J5172"/>
  <c r="J5171"/>
  <c r="J5170"/>
  <c r="J5169"/>
  <c r="J5168"/>
  <c r="J5167"/>
  <c r="J5166"/>
  <c r="J5165"/>
  <c r="J5164"/>
  <c r="J5163"/>
  <c r="I5096"/>
  <c r="E18" i="6" s="1"/>
  <c r="J5095" i="8"/>
  <c r="J5094"/>
  <c r="J5093"/>
  <c r="J5092"/>
  <c r="J5091"/>
  <c r="J5090"/>
  <c r="J5089"/>
  <c r="J5088"/>
  <c r="J5087"/>
  <c r="J5086"/>
  <c r="J5085"/>
  <c r="J5084"/>
  <c r="J5083"/>
  <c r="J5082"/>
  <c r="J5081"/>
  <c r="J5054"/>
  <c r="J5053"/>
  <c r="J5052"/>
  <c r="J5051"/>
  <c r="J5050"/>
  <c r="J5049"/>
  <c r="J5048"/>
  <c r="J5047"/>
  <c r="J5046"/>
  <c r="J5045"/>
  <c r="J5044"/>
  <c r="J5043"/>
  <c r="J5042"/>
  <c r="J5041"/>
  <c r="J5040"/>
  <c r="J5009"/>
  <c r="J5008"/>
  <c r="J5007"/>
  <c r="J5006"/>
  <c r="J5005"/>
  <c r="J5004"/>
  <c r="J5003"/>
  <c r="J5002"/>
  <c r="J5001"/>
  <c r="J5000"/>
  <c r="J4999"/>
  <c r="J4998"/>
  <c r="J4997"/>
  <c r="J4996"/>
  <c r="J4995"/>
  <c r="E114" i="6"/>
  <c r="J4964" i="8"/>
  <c r="J4963"/>
  <c r="J4962"/>
  <c r="J4961"/>
  <c r="J4960"/>
  <c r="J4959"/>
  <c r="J4958"/>
  <c r="J4957"/>
  <c r="J4956"/>
  <c r="J4955"/>
  <c r="J4954"/>
  <c r="J4953"/>
  <c r="J4952"/>
  <c r="J4951"/>
  <c r="J4950"/>
  <c r="E30" i="6"/>
  <c r="C30"/>
  <c r="C23"/>
  <c r="I3272" i="8"/>
  <c r="E106" i="6" s="1"/>
  <c r="J3271" i="8"/>
  <c r="J3270"/>
  <c r="J3269"/>
  <c r="J3268"/>
  <c r="J3267"/>
  <c r="J3266"/>
  <c r="J3265"/>
  <c r="J3264"/>
  <c r="J3263"/>
  <c r="J3262"/>
  <c r="J3261"/>
  <c r="J3260"/>
  <c r="J3259"/>
  <c r="J3258"/>
  <c r="J3257"/>
  <c r="J3256"/>
  <c r="I3173"/>
  <c r="E108" i="6" s="1"/>
  <c r="J3172" i="8"/>
  <c r="J3171"/>
  <c r="J3170"/>
  <c r="J3169"/>
  <c r="J3168"/>
  <c r="J3167"/>
  <c r="J3166"/>
  <c r="J3165"/>
  <c r="J3164"/>
  <c r="J3163"/>
  <c r="J3162"/>
  <c r="J3161"/>
  <c r="J3160"/>
  <c r="J3159"/>
  <c r="J3158"/>
  <c r="C108" i="6"/>
  <c r="I2852" i="8"/>
  <c r="J2851"/>
  <c r="J2850"/>
  <c r="J2849"/>
  <c r="J2848"/>
  <c r="J2847"/>
  <c r="J2846"/>
  <c r="J2845"/>
  <c r="J2844"/>
  <c r="J2843"/>
  <c r="J2842"/>
  <c r="J2841"/>
  <c r="J2840"/>
  <c r="J2839"/>
  <c r="J2838"/>
  <c r="J2837"/>
  <c r="H2852"/>
  <c r="I2743"/>
  <c r="J2742"/>
  <c r="J2741"/>
  <c r="J2740"/>
  <c r="J2739"/>
  <c r="J2738"/>
  <c r="J2737"/>
  <c r="J2736"/>
  <c r="J2735"/>
  <c r="J2734"/>
  <c r="J2733"/>
  <c r="J2732"/>
  <c r="J2731"/>
  <c r="J2730"/>
  <c r="J2729"/>
  <c r="J2728"/>
  <c r="H2743"/>
  <c r="C9" i="6" s="1"/>
  <c r="I2533" i="8"/>
  <c r="E12" i="6" s="1"/>
  <c r="J2532" i="8"/>
  <c r="J2531"/>
  <c r="J2530"/>
  <c r="J2529"/>
  <c r="J2528"/>
  <c r="J2527"/>
  <c r="J2526"/>
  <c r="J2525"/>
  <c r="J2524"/>
  <c r="J2523"/>
  <c r="J2522"/>
  <c r="J2521"/>
  <c r="J2520"/>
  <c r="J2519"/>
  <c r="C12" i="6"/>
  <c r="I6153" i="8"/>
  <c r="J6152"/>
  <c r="J6151"/>
  <c r="J6150"/>
  <c r="J6149"/>
  <c r="J6148"/>
  <c r="J6147"/>
  <c r="J6146"/>
  <c r="J6145"/>
  <c r="J6144"/>
  <c r="J6143"/>
  <c r="J6142"/>
  <c r="J6141"/>
  <c r="J6140"/>
  <c r="J6139"/>
  <c r="J6138"/>
  <c r="H6153"/>
  <c r="C59" i="6" s="1"/>
  <c r="I6590" i="8"/>
  <c r="J6589"/>
  <c r="J6588"/>
  <c r="J6587"/>
  <c r="J6586"/>
  <c r="J6585"/>
  <c r="J6584"/>
  <c r="J6583"/>
  <c r="J6582"/>
  <c r="J6581"/>
  <c r="J6580"/>
  <c r="J6579"/>
  <c r="J6578"/>
  <c r="J6577"/>
  <c r="J6576"/>
  <c r="J6575"/>
  <c r="H6590"/>
  <c r="I6491"/>
  <c r="E83" i="6" s="1"/>
  <c r="J6490" i="8"/>
  <c r="J6489"/>
  <c r="J6488"/>
  <c r="J6487"/>
  <c r="J6486"/>
  <c r="J6485"/>
  <c r="J6484"/>
  <c r="J6483"/>
  <c r="J6482"/>
  <c r="J6481"/>
  <c r="J6480"/>
  <c r="J6479"/>
  <c r="J6478"/>
  <c r="J6477"/>
  <c r="J6476"/>
  <c r="C83" i="6"/>
  <c r="I6392" i="8"/>
  <c r="J6391"/>
  <c r="J6390"/>
  <c r="J6389"/>
  <c r="J6388"/>
  <c r="J6387"/>
  <c r="J6386"/>
  <c r="J6385"/>
  <c r="J6384"/>
  <c r="J6383"/>
  <c r="J6382"/>
  <c r="J6381"/>
  <c r="J6380"/>
  <c r="J6379"/>
  <c r="J6378"/>
  <c r="J6377"/>
  <c r="H6392"/>
  <c r="I6293"/>
  <c r="J6292"/>
  <c r="J6291"/>
  <c r="J6290"/>
  <c r="J6289"/>
  <c r="J6288"/>
  <c r="J6287"/>
  <c r="J6286"/>
  <c r="J6285"/>
  <c r="J6284"/>
  <c r="J6283"/>
  <c r="J6282"/>
  <c r="J6281"/>
  <c r="J6280"/>
  <c r="J6279"/>
  <c r="J6278"/>
  <c r="H6293"/>
  <c r="I5895"/>
  <c r="J5894"/>
  <c r="J5893"/>
  <c r="J5892"/>
  <c r="J5891"/>
  <c r="J5890"/>
  <c r="J5889"/>
  <c r="J5888"/>
  <c r="J5887"/>
  <c r="J5886"/>
  <c r="J5885"/>
  <c r="J5884"/>
  <c r="J5883"/>
  <c r="J5882"/>
  <c r="J5881"/>
  <c r="J5880"/>
  <c r="I5796"/>
  <c r="J5795"/>
  <c r="J5794"/>
  <c r="J5793"/>
  <c r="J5792"/>
  <c r="J5791"/>
  <c r="J5790"/>
  <c r="J5789"/>
  <c r="J5788"/>
  <c r="J5787"/>
  <c r="J5786"/>
  <c r="J5785"/>
  <c r="J5784"/>
  <c r="J5783"/>
  <c r="J5782"/>
  <c r="J5781"/>
  <c r="I5697"/>
  <c r="J5696"/>
  <c r="J5695"/>
  <c r="J5694"/>
  <c r="J5693"/>
  <c r="J5692"/>
  <c r="J5691"/>
  <c r="J5690"/>
  <c r="J5689"/>
  <c r="J5688"/>
  <c r="J5687"/>
  <c r="J5686"/>
  <c r="J5685"/>
  <c r="J5684"/>
  <c r="J5683"/>
  <c r="J5682"/>
  <c r="J1494"/>
  <c r="J1493"/>
  <c r="J1492"/>
  <c r="J1491"/>
  <c r="J1490"/>
  <c r="J1489"/>
  <c r="J1488"/>
  <c r="J1487"/>
  <c r="J1486"/>
  <c r="J1485"/>
  <c r="J1484"/>
  <c r="J1483"/>
  <c r="J1482"/>
  <c r="J1481"/>
  <c r="J1480"/>
  <c r="J1395"/>
  <c r="J1394"/>
  <c r="J1393"/>
  <c r="J1392"/>
  <c r="J1391"/>
  <c r="J1390"/>
  <c r="J1389"/>
  <c r="J1388"/>
  <c r="J1387"/>
  <c r="J1386"/>
  <c r="J1385"/>
  <c r="J1384"/>
  <c r="J1383"/>
  <c r="J1382"/>
  <c r="J1381"/>
  <c r="J1296"/>
  <c r="J1295"/>
  <c r="J1294"/>
  <c r="J1293"/>
  <c r="J1292"/>
  <c r="J1291"/>
  <c r="J1290"/>
  <c r="J1289"/>
  <c r="J1288"/>
  <c r="J1287"/>
  <c r="J1286"/>
  <c r="J1285"/>
  <c r="J1284"/>
  <c r="J1283"/>
  <c r="J1282"/>
  <c r="J1198"/>
  <c r="J1197"/>
  <c r="J1196"/>
  <c r="J1195"/>
  <c r="J1194"/>
  <c r="J1193"/>
  <c r="J1192"/>
  <c r="J1191"/>
  <c r="J1190"/>
  <c r="J1189"/>
  <c r="J1188"/>
  <c r="J1187"/>
  <c r="J1186"/>
  <c r="J1185"/>
  <c r="J1184"/>
  <c r="I1118"/>
  <c r="F99" i="7" s="1"/>
  <c r="F98" s="1"/>
  <c r="J1117" i="8"/>
  <c r="J1116"/>
  <c r="J1115"/>
  <c r="J1114"/>
  <c r="J1113"/>
  <c r="J1112"/>
  <c r="J1111"/>
  <c r="J1110"/>
  <c r="J1109"/>
  <c r="J1108"/>
  <c r="J1107"/>
  <c r="J1106"/>
  <c r="J1105"/>
  <c r="J1104"/>
  <c r="J1103"/>
  <c r="E41" i="6"/>
  <c r="J1099" i="8"/>
  <c r="J1098"/>
  <c r="J1097"/>
  <c r="J1096"/>
  <c r="J1095"/>
  <c r="J1094"/>
  <c r="J1093"/>
  <c r="J1092"/>
  <c r="J1091"/>
  <c r="J1090"/>
  <c r="J1089"/>
  <c r="J1088"/>
  <c r="J1087"/>
  <c r="J1086"/>
  <c r="J1085"/>
  <c r="C41" i="6"/>
  <c r="J846" i="8"/>
  <c r="J845"/>
  <c r="J844"/>
  <c r="J843"/>
  <c r="J842"/>
  <c r="J841"/>
  <c r="J840"/>
  <c r="J839"/>
  <c r="J838"/>
  <c r="J837"/>
  <c r="J836"/>
  <c r="J835"/>
  <c r="J834"/>
  <c r="J833"/>
  <c r="J832"/>
  <c r="J828"/>
  <c r="J827"/>
  <c r="J826"/>
  <c r="J825"/>
  <c r="J824"/>
  <c r="J823"/>
  <c r="J822"/>
  <c r="J821"/>
  <c r="J820"/>
  <c r="J819"/>
  <c r="J818"/>
  <c r="J817"/>
  <c r="J816"/>
  <c r="J815"/>
  <c r="J814"/>
  <c r="I804"/>
  <c r="F7" i="7" s="1"/>
  <c r="J803" i="8"/>
  <c r="J802"/>
  <c r="J801"/>
  <c r="J800"/>
  <c r="J799"/>
  <c r="J798"/>
  <c r="J797"/>
  <c r="J796"/>
  <c r="J795"/>
  <c r="J794"/>
  <c r="J793"/>
  <c r="J792"/>
  <c r="J791"/>
  <c r="J790"/>
  <c r="J789"/>
  <c r="I786"/>
  <c r="J785"/>
  <c r="J784"/>
  <c r="J783"/>
  <c r="J782"/>
  <c r="J781"/>
  <c r="J780"/>
  <c r="J779"/>
  <c r="J778"/>
  <c r="J777"/>
  <c r="J776"/>
  <c r="J775"/>
  <c r="J774"/>
  <c r="J773"/>
  <c r="J772"/>
  <c r="J771"/>
  <c r="I686"/>
  <c r="F522" i="7" s="1"/>
  <c r="J685" i="8"/>
  <c r="J684"/>
  <c r="J683"/>
  <c r="J682"/>
  <c r="J681"/>
  <c r="J680"/>
  <c r="J679"/>
  <c r="J678"/>
  <c r="J677"/>
  <c r="J676"/>
  <c r="J675"/>
  <c r="J674"/>
  <c r="J673"/>
  <c r="J672"/>
  <c r="J671"/>
  <c r="H686"/>
  <c r="D522" i="7" s="1"/>
  <c r="I668" i="8"/>
  <c r="J667"/>
  <c r="J666"/>
  <c r="J665"/>
  <c r="J664"/>
  <c r="J663"/>
  <c r="J662"/>
  <c r="J661"/>
  <c r="J660"/>
  <c r="J659"/>
  <c r="J658"/>
  <c r="J657"/>
  <c r="J656"/>
  <c r="J655"/>
  <c r="J654"/>
  <c r="J653"/>
  <c r="H668"/>
  <c r="I463"/>
  <c r="J462"/>
  <c r="J461"/>
  <c r="J460"/>
  <c r="J459"/>
  <c r="J458"/>
  <c r="J457"/>
  <c r="J456"/>
  <c r="J455"/>
  <c r="J454"/>
  <c r="J453"/>
  <c r="J452"/>
  <c r="J451"/>
  <c r="J450"/>
  <c r="J449"/>
  <c r="J448"/>
  <c r="E17" i="6"/>
  <c r="J444" i="8"/>
  <c r="J443"/>
  <c r="J442"/>
  <c r="J441"/>
  <c r="J440"/>
  <c r="J439"/>
  <c r="J438"/>
  <c r="J437"/>
  <c r="J436"/>
  <c r="J435"/>
  <c r="J434"/>
  <c r="J433"/>
  <c r="J432"/>
  <c r="J431"/>
  <c r="J430"/>
  <c r="C17" i="6"/>
  <c r="J307" i="8"/>
  <c r="I361"/>
  <c r="I342"/>
  <c r="I323"/>
  <c r="H323"/>
  <c r="J303"/>
  <c r="J302"/>
  <c r="J301"/>
  <c r="J300"/>
  <c r="J299"/>
  <c r="J298"/>
  <c r="J297"/>
  <c r="J296"/>
  <c r="J295"/>
  <c r="J294"/>
  <c r="J293"/>
  <c r="J292"/>
  <c r="J291"/>
  <c r="J290"/>
  <c r="J289"/>
  <c r="J288"/>
  <c r="I286"/>
  <c r="I304" s="1"/>
  <c r="F530" i="7" s="1"/>
  <c r="H286" i="8"/>
  <c r="H304" s="1"/>
  <c r="D530" i="7" s="1"/>
  <c r="J189" i="8"/>
  <c r="I205"/>
  <c r="F529" i="7" s="1"/>
  <c r="H187" i="8"/>
  <c r="I106"/>
  <c r="J87"/>
  <c r="J86"/>
  <c r="J85"/>
  <c r="J84"/>
  <c r="J83"/>
  <c r="J82"/>
  <c r="J81"/>
  <c r="J80"/>
  <c r="J79"/>
  <c r="J78"/>
  <c r="J77"/>
  <c r="J76"/>
  <c r="J75"/>
  <c r="J74"/>
  <c r="J73"/>
  <c r="J204"/>
  <c r="J203"/>
  <c r="J202"/>
  <c r="J201"/>
  <c r="J200"/>
  <c r="J199"/>
  <c r="J198"/>
  <c r="J197"/>
  <c r="J196"/>
  <c r="J195"/>
  <c r="J194"/>
  <c r="J193"/>
  <c r="J192"/>
  <c r="J191"/>
  <c r="J190"/>
  <c r="J209"/>
  <c r="J210"/>
  <c r="J211"/>
  <c r="J212"/>
  <c r="J213"/>
  <c r="J214"/>
  <c r="J591"/>
  <c r="J590"/>
  <c r="I13997" l="1"/>
  <c r="J13984"/>
  <c r="E85" i="6"/>
  <c r="J12420" i="8"/>
  <c r="J12423"/>
  <c r="C85" i="6"/>
  <c r="E23"/>
  <c r="F196" i="7"/>
  <c r="F8"/>
  <c r="F6" s="1"/>
  <c r="G6" s="1"/>
  <c r="F130"/>
  <c r="E16" i="6"/>
  <c r="F33" i="7"/>
  <c r="G33" s="1"/>
  <c r="E93" i="6"/>
  <c r="E118"/>
  <c r="F464" i="7"/>
  <c r="C63" i="5"/>
  <c r="E92" i="6"/>
  <c r="F92" s="1"/>
  <c r="C28"/>
  <c r="E28"/>
  <c r="J9051" i="8"/>
  <c r="H11794"/>
  <c r="H11791"/>
  <c r="J11775"/>
  <c r="J11791" s="1"/>
  <c r="H13942"/>
  <c r="H13939"/>
  <c r="J9488"/>
  <c r="J9569"/>
  <c r="J9587"/>
  <c r="J9668"/>
  <c r="J9686"/>
  <c r="H3611"/>
  <c r="H3608"/>
  <c r="C84" i="6"/>
  <c r="C79" s="1"/>
  <c r="E84"/>
  <c r="E79" s="1"/>
  <c r="E59"/>
  <c r="F59" s="1"/>
  <c r="J9249" i="8"/>
  <c r="J9268"/>
  <c r="E29" i="6"/>
  <c r="J9150" i="8"/>
  <c r="E113" i="6"/>
  <c r="F113" s="1"/>
  <c r="F17"/>
  <c r="F89"/>
  <c r="F41"/>
  <c r="F12"/>
  <c r="F83"/>
  <c r="F23"/>
  <c r="F85"/>
  <c r="F30"/>
  <c r="F90"/>
  <c r="F108"/>
  <c r="C68"/>
  <c r="E68"/>
  <c r="F112"/>
  <c r="E35"/>
  <c r="E32" s="1"/>
  <c r="C44"/>
  <c r="C39" s="1"/>
  <c r="E44"/>
  <c r="C16"/>
  <c r="F16" s="1"/>
  <c r="E88"/>
  <c r="E86" s="1"/>
  <c r="E14"/>
  <c r="F80"/>
  <c r="J13764" i="8"/>
  <c r="J13780" s="1"/>
  <c r="J13526"/>
  <c r="J13542" s="1"/>
  <c r="J9470"/>
  <c r="J9355"/>
  <c r="J9371" s="1"/>
  <c r="J9373"/>
  <c r="J9389" s="1"/>
  <c r="J3475"/>
  <c r="J3491" s="1"/>
  <c r="J3376"/>
  <c r="J3392" s="1"/>
  <c r="J3493"/>
  <c r="J3509" s="1"/>
  <c r="J3394"/>
  <c r="J3410" s="1"/>
  <c r="J9287"/>
  <c r="J3574"/>
  <c r="J3590" s="1"/>
  <c r="J3592"/>
  <c r="J3608" s="1"/>
  <c r="J7903"/>
  <c r="J7919" s="1"/>
  <c r="J4013"/>
  <c r="J4029" s="1"/>
  <c r="J4211"/>
  <c r="J4227" s="1"/>
  <c r="J8599"/>
  <c r="J8615" s="1"/>
  <c r="J8698"/>
  <c r="J8714" s="1"/>
  <c r="J9017"/>
  <c r="J9033" s="1"/>
  <c r="J9116"/>
  <c r="J9132" s="1"/>
  <c r="J9215"/>
  <c r="J9231" s="1"/>
  <c r="J8835"/>
  <c r="J8934"/>
  <c r="J8752"/>
  <c r="J8853"/>
  <c r="J8952"/>
  <c r="J8716"/>
  <c r="J8732" s="1"/>
  <c r="J3995"/>
  <c r="J4011" s="1"/>
  <c r="J8617"/>
  <c r="J8633" s="1"/>
  <c r="J4292"/>
  <c r="J4308" s="1"/>
  <c r="J4310"/>
  <c r="J4326" s="1"/>
  <c r="J4193"/>
  <c r="J4209" s="1"/>
  <c r="J8302"/>
  <c r="J8318" s="1"/>
  <c r="J8320"/>
  <c r="J8336" s="1"/>
  <c r="J8203"/>
  <c r="J8219" s="1"/>
  <c r="J8221"/>
  <c r="J8237" s="1"/>
  <c r="J4094"/>
  <c r="J4110" s="1"/>
  <c r="J4112"/>
  <c r="J4128" s="1"/>
  <c r="J7786"/>
  <c r="J7802" s="1"/>
  <c r="J7885"/>
  <c r="J7901" s="1"/>
  <c r="J7804"/>
  <c r="J7820" s="1"/>
  <c r="J7361"/>
  <c r="J7699"/>
  <c r="J7547"/>
  <c r="J7563" s="1"/>
  <c r="J7565"/>
  <c r="J7581" s="1"/>
  <c r="J6813"/>
  <c r="J6829" s="1"/>
  <c r="J7718"/>
  <c r="J6831"/>
  <c r="J6847" s="1"/>
  <c r="J7448"/>
  <c r="J7464" s="1"/>
  <c r="J7466"/>
  <c r="J7482" s="1"/>
  <c r="J7646"/>
  <c r="J7662" s="1"/>
  <c r="J7664"/>
  <c r="J7680" s="1"/>
  <c r="J7110"/>
  <c r="J7126" s="1"/>
  <c r="J7128"/>
  <c r="J7144" s="1"/>
  <c r="J7011"/>
  <c r="J7027" s="1"/>
  <c r="J7029"/>
  <c r="J7045" s="1"/>
  <c r="J6912"/>
  <c r="J6928" s="1"/>
  <c r="J5595"/>
  <c r="J6714"/>
  <c r="J6730" s="1"/>
  <c r="J5355"/>
  <c r="J5442"/>
  <c r="J5458" s="1"/>
  <c r="J5542"/>
  <c r="J5558" s="1"/>
  <c r="J5302"/>
  <c r="J5318" s="1"/>
  <c r="J3272"/>
  <c r="H3272"/>
  <c r="C106" i="6" s="1"/>
  <c r="F106" s="1"/>
  <c r="J3157" i="8"/>
  <c r="J3173" s="1"/>
  <c r="J2727"/>
  <c r="J2743" s="1"/>
  <c r="J2836"/>
  <c r="J2852" s="1"/>
  <c r="J2533"/>
  <c r="J6137"/>
  <c r="J6153" s="1"/>
  <c r="J6574"/>
  <c r="J6590" s="1"/>
  <c r="J6376"/>
  <c r="J6392" s="1"/>
  <c r="J6475"/>
  <c r="J6491" s="1"/>
  <c r="J6277"/>
  <c r="J6293" s="1"/>
  <c r="J5780"/>
  <c r="J5796" s="1"/>
  <c r="J5879"/>
  <c r="J5895" s="1"/>
  <c r="J5681"/>
  <c r="J5697" s="1"/>
  <c r="J1380"/>
  <c r="J1396" s="1"/>
  <c r="J1479"/>
  <c r="J1495" s="1"/>
  <c r="J1281"/>
  <c r="J1297" s="1"/>
  <c r="J1183"/>
  <c r="J1199" s="1"/>
  <c r="J1084"/>
  <c r="J1100" s="1"/>
  <c r="J1102"/>
  <c r="J1118" s="1"/>
  <c r="J670"/>
  <c r="J686" s="1"/>
  <c r="J652"/>
  <c r="J668" s="1"/>
  <c r="J429"/>
  <c r="J445" s="1"/>
  <c r="J447"/>
  <c r="J463" s="1"/>
  <c r="J72"/>
  <c r="J88" s="1"/>
  <c r="J6860"/>
  <c r="J7379"/>
  <c r="J7378"/>
  <c r="J7377"/>
  <c r="J7376"/>
  <c r="J7375"/>
  <c r="J7374"/>
  <c r="J7373"/>
  <c r="J7372"/>
  <c r="J7371"/>
  <c r="J7370"/>
  <c r="J7369"/>
  <c r="J7368"/>
  <c r="J7367"/>
  <c r="J7366"/>
  <c r="J7365"/>
  <c r="H7380"/>
  <c r="I6946"/>
  <c r="F158" i="7" s="1"/>
  <c r="J6945" i="8"/>
  <c r="J6944"/>
  <c r="J6943"/>
  <c r="J6942"/>
  <c r="J6941"/>
  <c r="J6940"/>
  <c r="J6939"/>
  <c r="J6938"/>
  <c r="J6937"/>
  <c r="J6936"/>
  <c r="J6935"/>
  <c r="J6934"/>
  <c r="J6933"/>
  <c r="J6932"/>
  <c r="J6931"/>
  <c r="J6910"/>
  <c r="J6909"/>
  <c r="J6908"/>
  <c r="J6907"/>
  <c r="J6906"/>
  <c r="J6905"/>
  <c r="J6904"/>
  <c r="J6903"/>
  <c r="J6902"/>
  <c r="J6901"/>
  <c r="J6900"/>
  <c r="J6899"/>
  <c r="J6898"/>
  <c r="J6897"/>
  <c r="J6896"/>
  <c r="J6895"/>
  <c r="J6894"/>
  <c r="J6893"/>
  <c r="J6892"/>
  <c r="J6891"/>
  <c r="J6890"/>
  <c r="J6889"/>
  <c r="J6888"/>
  <c r="J6887"/>
  <c r="J6886"/>
  <c r="J6885"/>
  <c r="J6884"/>
  <c r="J6883"/>
  <c r="J6882"/>
  <c r="J6881"/>
  <c r="J6880"/>
  <c r="J6879"/>
  <c r="J6878"/>
  <c r="J6877"/>
  <c r="J6876"/>
  <c r="J6875"/>
  <c r="J6874"/>
  <c r="J6873"/>
  <c r="J6872"/>
  <c r="J6871"/>
  <c r="J6870"/>
  <c r="J6869"/>
  <c r="J6868"/>
  <c r="J6867"/>
  <c r="J6866"/>
  <c r="J6865"/>
  <c r="J6864"/>
  <c r="J6863"/>
  <c r="J6862"/>
  <c r="J6861"/>
  <c r="J6859"/>
  <c r="J6858"/>
  <c r="J6857"/>
  <c r="J6856"/>
  <c r="J6855"/>
  <c r="J6854"/>
  <c r="J6853"/>
  <c r="J6852"/>
  <c r="J6851"/>
  <c r="J6746"/>
  <c r="J6745"/>
  <c r="J6744"/>
  <c r="J6743"/>
  <c r="J6742"/>
  <c r="J6741"/>
  <c r="J6740"/>
  <c r="J6739"/>
  <c r="J6738"/>
  <c r="J6737"/>
  <c r="J6736"/>
  <c r="J6735"/>
  <c r="J6734"/>
  <c r="J6733"/>
  <c r="H6748"/>
  <c r="D129" i="7" s="1"/>
  <c r="D128" s="1"/>
  <c r="J6712" i="8"/>
  <c r="J6711"/>
  <c r="J6710"/>
  <c r="J6709"/>
  <c r="J6708"/>
  <c r="J6707"/>
  <c r="J6706"/>
  <c r="J6705"/>
  <c r="J6704"/>
  <c r="J6703"/>
  <c r="J6702"/>
  <c r="J6701"/>
  <c r="J6700"/>
  <c r="J6699"/>
  <c r="J6698"/>
  <c r="J6697"/>
  <c r="J6696"/>
  <c r="J6695"/>
  <c r="J6694"/>
  <c r="J6693"/>
  <c r="J6692"/>
  <c r="J6691"/>
  <c r="J6690"/>
  <c r="J6689"/>
  <c r="J6688"/>
  <c r="J6687"/>
  <c r="J6686"/>
  <c r="J6685"/>
  <c r="J6684"/>
  <c r="J6683"/>
  <c r="J6682"/>
  <c r="J6681"/>
  <c r="J6680"/>
  <c r="J6679"/>
  <c r="J6678"/>
  <c r="J6677"/>
  <c r="J6676"/>
  <c r="J6675"/>
  <c r="J6674"/>
  <c r="J6673"/>
  <c r="J6672"/>
  <c r="J6671"/>
  <c r="J6670"/>
  <c r="J6669"/>
  <c r="J6668"/>
  <c r="J6667"/>
  <c r="J6666"/>
  <c r="J6665"/>
  <c r="J6664"/>
  <c r="J6663"/>
  <c r="J6662"/>
  <c r="J6661"/>
  <c r="J6660"/>
  <c r="J6659"/>
  <c r="J6658"/>
  <c r="J6657"/>
  <c r="J6656"/>
  <c r="J6655"/>
  <c r="J6654"/>
  <c r="J6653"/>
  <c r="I5336"/>
  <c r="F520" i="7" s="1"/>
  <c r="J5335" i="8"/>
  <c r="J5334"/>
  <c r="J5333"/>
  <c r="J5332"/>
  <c r="J5331"/>
  <c r="J5330"/>
  <c r="J5329"/>
  <c r="J5328"/>
  <c r="J5327"/>
  <c r="J5326"/>
  <c r="J5325"/>
  <c r="J5324"/>
  <c r="J5323"/>
  <c r="J5322"/>
  <c r="J5321"/>
  <c r="J5300"/>
  <c r="J5299"/>
  <c r="J5298"/>
  <c r="J5297"/>
  <c r="J5296"/>
  <c r="J5295"/>
  <c r="J5294"/>
  <c r="J5293"/>
  <c r="J5292"/>
  <c r="J5291"/>
  <c r="J5290"/>
  <c r="J5289"/>
  <c r="J5288"/>
  <c r="J5287"/>
  <c r="J5286"/>
  <c r="J5285"/>
  <c r="J5284"/>
  <c r="J5283"/>
  <c r="J5282"/>
  <c r="J5281"/>
  <c r="J5280"/>
  <c r="J5279"/>
  <c r="J5278"/>
  <c r="J5277"/>
  <c r="J5276"/>
  <c r="J5275"/>
  <c r="J5274"/>
  <c r="J5273"/>
  <c r="J5272"/>
  <c r="J5271"/>
  <c r="J5270"/>
  <c r="J5269"/>
  <c r="J5268"/>
  <c r="J5267"/>
  <c r="J5266"/>
  <c r="J5265"/>
  <c r="J5264"/>
  <c r="J5263"/>
  <c r="J5262"/>
  <c r="J5261"/>
  <c r="J5260"/>
  <c r="J5259"/>
  <c r="J5258"/>
  <c r="J5257"/>
  <c r="J5256"/>
  <c r="J5255"/>
  <c r="J5254"/>
  <c r="J5253"/>
  <c r="J5252"/>
  <c r="J5251"/>
  <c r="J5250"/>
  <c r="J5249"/>
  <c r="J5248"/>
  <c r="J5247"/>
  <c r="J5246"/>
  <c r="J5245"/>
  <c r="J5244"/>
  <c r="J5243"/>
  <c r="J5242"/>
  <c r="J5241"/>
  <c r="I5374"/>
  <c r="J5373"/>
  <c r="J5372"/>
  <c r="J5371"/>
  <c r="J5370"/>
  <c r="J5369"/>
  <c r="J5368"/>
  <c r="J5367"/>
  <c r="J5366"/>
  <c r="J5365"/>
  <c r="J5364"/>
  <c r="J5363"/>
  <c r="J5362"/>
  <c r="J5361"/>
  <c r="J5360"/>
  <c r="J5359"/>
  <c r="J5575"/>
  <c r="J5574"/>
  <c r="J5573"/>
  <c r="J5572"/>
  <c r="J5571"/>
  <c r="J5570"/>
  <c r="J5569"/>
  <c r="J5568"/>
  <c r="J5567"/>
  <c r="J5566"/>
  <c r="J5565"/>
  <c r="J5564"/>
  <c r="J5563"/>
  <c r="J5562"/>
  <c r="J5561"/>
  <c r="J5540"/>
  <c r="J5539"/>
  <c r="J5538"/>
  <c r="J5537"/>
  <c r="J5536"/>
  <c r="J5535"/>
  <c r="J5534"/>
  <c r="J5533"/>
  <c r="J5532"/>
  <c r="J5531"/>
  <c r="J5530"/>
  <c r="J5529"/>
  <c r="J5528"/>
  <c r="J5527"/>
  <c r="J5526"/>
  <c r="J5525"/>
  <c r="J5524"/>
  <c r="J5523"/>
  <c r="J5522"/>
  <c r="J5521"/>
  <c r="J5520"/>
  <c r="J5519"/>
  <c r="J5518"/>
  <c r="J5517"/>
  <c r="J5516"/>
  <c r="J5515"/>
  <c r="J5514"/>
  <c r="J5513"/>
  <c r="J5512"/>
  <c r="J5511"/>
  <c r="J5510"/>
  <c r="J5509"/>
  <c r="J5508"/>
  <c r="J5507"/>
  <c r="J5506"/>
  <c r="J5505"/>
  <c r="J5504"/>
  <c r="J5503"/>
  <c r="J5502"/>
  <c r="J5501"/>
  <c r="J5500"/>
  <c r="J5499"/>
  <c r="J5498"/>
  <c r="J5497"/>
  <c r="J5496"/>
  <c r="J5495"/>
  <c r="J5494"/>
  <c r="J5493"/>
  <c r="J5492"/>
  <c r="J5491"/>
  <c r="J5490"/>
  <c r="J5489"/>
  <c r="J5488"/>
  <c r="J5487"/>
  <c r="J5486"/>
  <c r="J5485"/>
  <c r="J5484"/>
  <c r="J5483"/>
  <c r="J5482"/>
  <c r="J5481"/>
  <c r="I5614"/>
  <c r="J5613"/>
  <c r="J5612"/>
  <c r="J5611"/>
  <c r="J5610"/>
  <c r="J5609"/>
  <c r="J5608"/>
  <c r="J5607"/>
  <c r="J5606"/>
  <c r="J5605"/>
  <c r="J5604"/>
  <c r="J5603"/>
  <c r="J5602"/>
  <c r="J5601"/>
  <c r="J5600"/>
  <c r="J5599"/>
  <c r="H5614"/>
  <c r="I5476"/>
  <c r="J5475"/>
  <c r="J5474"/>
  <c r="J5473"/>
  <c r="J5472"/>
  <c r="J5471"/>
  <c r="J5470"/>
  <c r="J5469"/>
  <c r="J5468"/>
  <c r="J5467"/>
  <c r="J5466"/>
  <c r="J5465"/>
  <c r="J5464"/>
  <c r="J5463"/>
  <c r="J5462"/>
  <c r="J5461"/>
  <c r="H5476"/>
  <c r="D525" i="7" s="1"/>
  <c r="J5440" i="8"/>
  <c r="J5439"/>
  <c r="J5438"/>
  <c r="J5437"/>
  <c r="J5436"/>
  <c r="J5435"/>
  <c r="J5434"/>
  <c r="J5433"/>
  <c r="J5432"/>
  <c r="J5431"/>
  <c r="J5430"/>
  <c r="J5429"/>
  <c r="J5428"/>
  <c r="J5427"/>
  <c r="J5426"/>
  <c r="J5425"/>
  <c r="J5424"/>
  <c r="J5423"/>
  <c r="J5422"/>
  <c r="J5421"/>
  <c r="J5420"/>
  <c r="J5419"/>
  <c r="J5418"/>
  <c r="J5417"/>
  <c r="J5416"/>
  <c r="J5415"/>
  <c r="J5414"/>
  <c r="J5413"/>
  <c r="J5412"/>
  <c r="J5411"/>
  <c r="J5410"/>
  <c r="J5409"/>
  <c r="J5408"/>
  <c r="J5407"/>
  <c r="J5406"/>
  <c r="J5405"/>
  <c r="J5404"/>
  <c r="J5403"/>
  <c r="J5402"/>
  <c r="J5401"/>
  <c r="J5400"/>
  <c r="J5399"/>
  <c r="J5398"/>
  <c r="J5397"/>
  <c r="J5396"/>
  <c r="J5395"/>
  <c r="J5394"/>
  <c r="J5393"/>
  <c r="J5392"/>
  <c r="J5391"/>
  <c r="J5390"/>
  <c r="J5389"/>
  <c r="J5388"/>
  <c r="J5387"/>
  <c r="J5386"/>
  <c r="J5385"/>
  <c r="J5384"/>
  <c r="J5383"/>
  <c r="J5382"/>
  <c r="J5381"/>
  <c r="F131" i="7"/>
  <c r="E15" i="6"/>
  <c r="E111"/>
  <c r="H11810" i="8"/>
  <c r="J11794"/>
  <c r="J11810" s="1"/>
  <c r="H13961"/>
  <c r="H13977" s="1"/>
  <c r="H13958"/>
  <c r="J13942"/>
  <c r="J13958" s="1"/>
  <c r="H3627"/>
  <c r="J3611"/>
  <c r="J3627" s="1"/>
  <c r="F68" i="6"/>
  <c r="J5320" i="8"/>
  <c r="H5336"/>
  <c r="D520" i="7" s="1"/>
  <c r="J6732" i="8"/>
  <c r="J6930"/>
  <c r="J7364"/>
  <c r="J5598"/>
  <c r="J5358"/>
  <c r="J5560"/>
  <c r="J5460"/>
  <c r="I5234"/>
  <c r="J5233"/>
  <c r="J5232"/>
  <c r="J5231"/>
  <c r="J5230"/>
  <c r="J5229"/>
  <c r="J5228"/>
  <c r="J5227"/>
  <c r="J5226"/>
  <c r="J5225"/>
  <c r="J5224"/>
  <c r="J5223"/>
  <c r="J5222"/>
  <c r="J5221"/>
  <c r="J5220"/>
  <c r="J5219"/>
  <c r="I5196"/>
  <c r="J5195"/>
  <c r="J5194"/>
  <c r="J5193"/>
  <c r="J5192"/>
  <c r="J5191"/>
  <c r="J5190"/>
  <c r="J5189"/>
  <c r="J5188"/>
  <c r="J5187"/>
  <c r="J5186"/>
  <c r="J5185"/>
  <c r="J5184"/>
  <c r="J5183"/>
  <c r="J5182"/>
  <c r="J5181"/>
  <c r="H5196"/>
  <c r="D519" i="7" s="1"/>
  <c r="H5199" i="8"/>
  <c r="H5218" s="1"/>
  <c r="J5180"/>
  <c r="I5152"/>
  <c r="J5151"/>
  <c r="J5150"/>
  <c r="J5149"/>
  <c r="J5148"/>
  <c r="J5147"/>
  <c r="J5146"/>
  <c r="J5145"/>
  <c r="J5144"/>
  <c r="J5143"/>
  <c r="J5142"/>
  <c r="J5141"/>
  <c r="J5140"/>
  <c r="J5139"/>
  <c r="J5138"/>
  <c r="J5137"/>
  <c r="J3308"/>
  <c r="J3307"/>
  <c r="J3306"/>
  <c r="J3305"/>
  <c r="J3304"/>
  <c r="J3303"/>
  <c r="J3302"/>
  <c r="J3301"/>
  <c r="J3300"/>
  <c r="J3299"/>
  <c r="J3298"/>
  <c r="J3297"/>
  <c r="J3296"/>
  <c r="J3295"/>
  <c r="J3294"/>
  <c r="J1512"/>
  <c r="J1511"/>
  <c r="J1510"/>
  <c r="J1509"/>
  <c r="J1508"/>
  <c r="J1507"/>
  <c r="J1506"/>
  <c r="J1505"/>
  <c r="J1504"/>
  <c r="J1503"/>
  <c r="J1502"/>
  <c r="J1501"/>
  <c r="J1500"/>
  <c r="J1499"/>
  <c r="J1498"/>
  <c r="J1477"/>
  <c r="J1476"/>
  <c r="J1475"/>
  <c r="J1474"/>
  <c r="J1473"/>
  <c r="J1472"/>
  <c r="J1471"/>
  <c r="J1470"/>
  <c r="J1469"/>
  <c r="J1468"/>
  <c r="J1467"/>
  <c r="J1466"/>
  <c r="J1465"/>
  <c r="J1464"/>
  <c r="J1463"/>
  <c r="J1462"/>
  <c r="J1461"/>
  <c r="J1460"/>
  <c r="J1459"/>
  <c r="J1458"/>
  <c r="J1457"/>
  <c r="J1456"/>
  <c r="J1455"/>
  <c r="J1454"/>
  <c r="J1453"/>
  <c r="J1452"/>
  <c r="J1451"/>
  <c r="J1450"/>
  <c r="J1449"/>
  <c r="J1448"/>
  <c r="J1447"/>
  <c r="J1446"/>
  <c r="J1445"/>
  <c r="J1444"/>
  <c r="J1443"/>
  <c r="J1442"/>
  <c r="J1441"/>
  <c r="J1440"/>
  <c r="J1439"/>
  <c r="J1438"/>
  <c r="J1437"/>
  <c r="J1436"/>
  <c r="J1435"/>
  <c r="J1434"/>
  <c r="J1433"/>
  <c r="J1432"/>
  <c r="J1431"/>
  <c r="J1430"/>
  <c r="J1429"/>
  <c r="J1428"/>
  <c r="J1427"/>
  <c r="J1426"/>
  <c r="J1425"/>
  <c r="J1424"/>
  <c r="J1423"/>
  <c r="J1422"/>
  <c r="J1421"/>
  <c r="J1420"/>
  <c r="J1419"/>
  <c r="J1418"/>
  <c r="J1413"/>
  <c r="J1412"/>
  <c r="J1411"/>
  <c r="J1410"/>
  <c r="J1409"/>
  <c r="J1408"/>
  <c r="J1407"/>
  <c r="J1406"/>
  <c r="J1405"/>
  <c r="J1404"/>
  <c r="J1403"/>
  <c r="J1402"/>
  <c r="J1401"/>
  <c r="J1400"/>
  <c r="J1399"/>
  <c r="J1378"/>
  <c r="J1377"/>
  <c r="J1376"/>
  <c r="J1375"/>
  <c r="J1374"/>
  <c r="J1373"/>
  <c r="J1372"/>
  <c r="J1371"/>
  <c r="J1370"/>
  <c r="J1369"/>
  <c r="J1368"/>
  <c r="J1367"/>
  <c r="J1366"/>
  <c r="J1365"/>
  <c r="J1364"/>
  <c r="J1363"/>
  <c r="J1362"/>
  <c r="J1361"/>
  <c r="J1360"/>
  <c r="J1359"/>
  <c r="J1358"/>
  <c r="J1357"/>
  <c r="J1356"/>
  <c r="J1355"/>
  <c r="J1354"/>
  <c r="J1353"/>
  <c r="J1352"/>
  <c r="J1351"/>
  <c r="J1350"/>
  <c r="J1349"/>
  <c r="J1348"/>
  <c r="J1347"/>
  <c r="J1346"/>
  <c r="J1345"/>
  <c r="J1344"/>
  <c r="J1343"/>
  <c r="J1342"/>
  <c r="J1341"/>
  <c r="J1340"/>
  <c r="J1339"/>
  <c r="J1338"/>
  <c r="J1337"/>
  <c r="J1336"/>
  <c r="J1335"/>
  <c r="J1334"/>
  <c r="J1333"/>
  <c r="J1332"/>
  <c r="J1331"/>
  <c r="J1330"/>
  <c r="J1329"/>
  <c r="J1328"/>
  <c r="J1327"/>
  <c r="J1326"/>
  <c r="J1325"/>
  <c r="J1324"/>
  <c r="J1323"/>
  <c r="J1322"/>
  <c r="J1321"/>
  <c r="J1320"/>
  <c r="J1319"/>
  <c r="J1314"/>
  <c r="J1313"/>
  <c r="J1312"/>
  <c r="J1311"/>
  <c r="J1310"/>
  <c r="J1309"/>
  <c r="J1308"/>
  <c r="J1307"/>
  <c r="J1306"/>
  <c r="J1305"/>
  <c r="J1304"/>
  <c r="J1303"/>
  <c r="J1302"/>
  <c r="J1301"/>
  <c r="J1300"/>
  <c r="J1279"/>
  <c r="J1278"/>
  <c r="J1277"/>
  <c r="J1276"/>
  <c r="J1275"/>
  <c r="J1274"/>
  <c r="J1273"/>
  <c r="J1272"/>
  <c r="J1271"/>
  <c r="J1270"/>
  <c r="J1269"/>
  <c r="J1268"/>
  <c r="J1267"/>
  <c r="J1266"/>
  <c r="J1265"/>
  <c r="J1264"/>
  <c r="J1263"/>
  <c r="J1262"/>
  <c r="J1261"/>
  <c r="J1260"/>
  <c r="J1259"/>
  <c r="J1258"/>
  <c r="J1257"/>
  <c r="J1256"/>
  <c r="J1255"/>
  <c r="J1254"/>
  <c r="J1253"/>
  <c r="J1252"/>
  <c r="J1251"/>
  <c r="J1250"/>
  <c r="J1249"/>
  <c r="J1248"/>
  <c r="J1247"/>
  <c r="J1246"/>
  <c r="J1245"/>
  <c r="J1244"/>
  <c r="J1243"/>
  <c r="J1242"/>
  <c r="J1241"/>
  <c r="J1240"/>
  <c r="J1239"/>
  <c r="J1238"/>
  <c r="J1237"/>
  <c r="J1236"/>
  <c r="J1235"/>
  <c r="J1234"/>
  <c r="J1233"/>
  <c r="J1232"/>
  <c r="J1231"/>
  <c r="J1230"/>
  <c r="J1229"/>
  <c r="J1228"/>
  <c r="J1227"/>
  <c r="J1226"/>
  <c r="J1225"/>
  <c r="J1224"/>
  <c r="J1223"/>
  <c r="J1222"/>
  <c r="J1221"/>
  <c r="J1220"/>
  <c r="J1216"/>
  <c r="J1215"/>
  <c r="J1214"/>
  <c r="J1213"/>
  <c r="J1212"/>
  <c r="J1211"/>
  <c r="J1210"/>
  <c r="J1209"/>
  <c r="J1208"/>
  <c r="J1207"/>
  <c r="J1206"/>
  <c r="J1205"/>
  <c r="J1204"/>
  <c r="J1203"/>
  <c r="J1202"/>
  <c r="J1181"/>
  <c r="J1180"/>
  <c r="J1179"/>
  <c r="J1178"/>
  <c r="J1177"/>
  <c r="J1176"/>
  <c r="J1175"/>
  <c r="J1174"/>
  <c r="J1173"/>
  <c r="J1172"/>
  <c r="J1171"/>
  <c r="J1170"/>
  <c r="J1169"/>
  <c r="J1168"/>
  <c r="J1167"/>
  <c r="J1166"/>
  <c r="J1165"/>
  <c r="J1164"/>
  <c r="J1163"/>
  <c r="J1162"/>
  <c r="J1161"/>
  <c r="J1160"/>
  <c r="J1159"/>
  <c r="J1158"/>
  <c r="J1157"/>
  <c r="J1156"/>
  <c r="J1155"/>
  <c r="J1154"/>
  <c r="J1153"/>
  <c r="J1152"/>
  <c r="J1151"/>
  <c r="J1150"/>
  <c r="J1149"/>
  <c r="J1148"/>
  <c r="J1147"/>
  <c r="J1146"/>
  <c r="J1145"/>
  <c r="J1144"/>
  <c r="J1143"/>
  <c r="J1142"/>
  <c r="J1141"/>
  <c r="J1140"/>
  <c r="J1139"/>
  <c r="J1138"/>
  <c r="J1137"/>
  <c r="J1136"/>
  <c r="J1135"/>
  <c r="J1134"/>
  <c r="J1133"/>
  <c r="J1132"/>
  <c r="J1131"/>
  <c r="J1130"/>
  <c r="J1129"/>
  <c r="J1128"/>
  <c r="J1127"/>
  <c r="J1126"/>
  <c r="J1125"/>
  <c r="J1124"/>
  <c r="J1123"/>
  <c r="J1122"/>
  <c r="J1082"/>
  <c r="J1081"/>
  <c r="J1080"/>
  <c r="J1079"/>
  <c r="J1078"/>
  <c r="J1077"/>
  <c r="J1076"/>
  <c r="J1075"/>
  <c r="J1074"/>
  <c r="J1073"/>
  <c r="J1072"/>
  <c r="J1071"/>
  <c r="J1070"/>
  <c r="J1069"/>
  <c r="J1068"/>
  <c r="J1067"/>
  <c r="J1066"/>
  <c r="J1065"/>
  <c r="J1064"/>
  <c r="J1063"/>
  <c r="J1062"/>
  <c r="J1061"/>
  <c r="J1060"/>
  <c r="J1059"/>
  <c r="J1058"/>
  <c r="J1057"/>
  <c r="J1056"/>
  <c r="J1055"/>
  <c r="J1054"/>
  <c r="J1053"/>
  <c r="J1052"/>
  <c r="J1051"/>
  <c r="J1050"/>
  <c r="J1049"/>
  <c r="J1048"/>
  <c r="J1047"/>
  <c r="J1046"/>
  <c r="J1045"/>
  <c r="J1044"/>
  <c r="J1043"/>
  <c r="J1042"/>
  <c r="J1041"/>
  <c r="J1040"/>
  <c r="J1039"/>
  <c r="J1038"/>
  <c r="J1037"/>
  <c r="J1036"/>
  <c r="J1035"/>
  <c r="J1034"/>
  <c r="J1033"/>
  <c r="J1032"/>
  <c r="J1031"/>
  <c r="J1030"/>
  <c r="J1029"/>
  <c r="J1028"/>
  <c r="J1027"/>
  <c r="J1026"/>
  <c r="J1025"/>
  <c r="J1024"/>
  <c r="I3290"/>
  <c r="F381" i="7" s="1"/>
  <c r="G381" s="1"/>
  <c r="J3289" i="8"/>
  <c r="J3288"/>
  <c r="J3287"/>
  <c r="J3286"/>
  <c r="J3285"/>
  <c r="J3284"/>
  <c r="J3283"/>
  <c r="J3282"/>
  <c r="J3281"/>
  <c r="J3280"/>
  <c r="J3279"/>
  <c r="J3278"/>
  <c r="J3277"/>
  <c r="J3276"/>
  <c r="J3275"/>
  <c r="J3254"/>
  <c r="J3253"/>
  <c r="J3252"/>
  <c r="J3251"/>
  <c r="J3250"/>
  <c r="J3249"/>
  <c r="J3248"/>
  <c r="J3247"/>
  <c r="J3246"/>
  <c r="J3245"/>
  <c r="J3244"/>
  <c r="J3243"/>
  <c r="J3242"/>
  <c r="J3241"/>
  <c r="J3240"/>
  <c r="J3239"/>
  <c r="J3238"/>
  <c r="J3237"/>
  <c r="J3236"/>
  <c r="J3235"/>
  <c r="J3234"/>
  <c r="J3233"/>
  <c r="J3232"/>
  <c r="J3231"/>
  <c r="J3230"/>
  <c r="J3229"/>
  <c r="J3228"/>
  <c r="J3227"/>
  <c r="J3226"/>
  <c r="J3225"/>
  <c r="J3224"/>
  <c r="J3223"/>
  <c r="J3222"/>
  <c r="J3221"/>
  <c r="J3220"/>
  <c r="J3219"/>
  <c r="J3218"/>
  <c r="J3217"/>
  <c r="J3216"/>
  <c r="J3215"/>
  <c r="J3214"/>
  <c r="J3213"/>
  <c r="J3212"/>
  <c r="J3211"/>
  <c r="J3210"/>
  <c r="J3209"/>
  <c r="J3208"/>
  <c r="J3207"/>
  <c r="J3206"/>
  <c r="J3205"/>
  <c r="J3204"/>
  <c r="J3203"/>
  <c r="J3202"/>
  <c r="J3201"/>
  <c r="J3200"/>
  <c r="J3199"/>
  <c r="J3198"/>
  <c r="J3197"/>
  <c r="J3196"/>
  <c r="J3195"/>
  <c r="I3191"/>
  <c r="F380" i="7" s="1"/>
  <c r="F379" s="1"/>
  <c r="J3190" i="8"/>
  <c r="J3189"/>
  <c r="J3188"/>
  <c r="J3187"/>
  <c r="J3186"/>
  <c r="J3185"/>
  <c r="J3184"/>
  <c r="J3183"/>
  <c r="J3182"/>
  <c r="J3181"/>
  <c r="J3180"/>
  <c r="J3179"/>
  <c r="J3178"/>
  <c r="J3177"/>
  <c r="J3176"/>
  <c r="J3155"/>
  <c r="J3154"/>
  <c r="J3153"/>
  <c r="J3152"/>
  <c r="J3151"/>
  <c r="J3150"/>
  <c r="J3149"/>
  <c r="J3148"/>
  <c r="J3147"/>
  <c r="J3146"/>
  <c r="J3145"/>
  <c r="J3144"/>
  <c r="J3143"/>
  <c r="J3142"/>
  <c r="J3141"/>
  <c r="J3140"/>
  <c r="J3139"/>
  <c r="J3138"/>
  <c r="J3137"/>
  <c r="J3136"/>
  <c r="J3135"/>
  <c r="J3134"/>
  <c r="J3133"/>
  <c r="J3132"/>
  <c r="J3131"/>
  <c r="J3130"/>
  <c r="J3129"/>
  <c r="J3128"/>
  <c r="J3127"/>
  <c r="J3126"/>
  <c r="J3125"/>
  <c r="J3124"/>
  <c r="J3123"/>
  <c r="J3122"/>
  <c r="J3121"/>
  <c r="J3120"/>
  <c r="J3119"/>
  <c r="J3118"/>
  <c r="J3117"/>
  <c r="J3116"/>
  <c r="J3115"/>
  <c r="J3114"/>
  <c r="J3113"/>
  <c r="J3112"/>
  <c r="J3111"/>
  <c r="J3110"/>
  <c r="J3109"/>
  <c r="J3108"/>
  <c r="J3107"/>
  <c r="J3106"/>
  <c r="J3105"/>
  <c r="J3104"/>
  <c r="J3103"/>
  <c r="J3102"/>
  <c r="J3101"/>
  <c r="J3100"/>
  <c r="J3099"/>
  <c r="J3098"/>
  <c r="J3097"/>
  <c r="J3096"/>
  <c r="H2870"/>
  <c r="I2870"/>
  <c r="F348" i="7" s="1"/>
  <c r="J2869" i="8"/>
  <c r="J2868"/>
  <c r="J2867"/>
  <c r="J2866"/>
  <c r="J2865"/>
  <c r="J2864"/>
  <c r="J2863"/>
  <c r="J2862"/>
  <c r="J2861"/>
  <c r="J2860"/>
  <c r="J2859"/>
  <c r="J2858"/>
  <c r="J2857"/>
  <c r="J2856"/>
  <c r="J2855"/>
  <c r="J2834"/>
  <c r="J2833"/>
  <c r="J2832"/>
  <c r="J2831"/>
  <c r="J2830"/>
  <c r="J2829"/>
  <c r="J2828"/>
  <c r="J2827"/>
  <c r="J2826"/>
  <c r="J2825"/>
  <c r="J2824"/>
  <c r="J2823"/>
  <c r="J2822"/>
  <c r="J2821"/>
  <c r="J2820"/>
  <c r="J2819"/>
  <c r="J2818"/>
  <c r="J2817"/>
  <c r="J2816"/>
  <c r="J2815"/>
  <c r="J2814"/>
  <c r="J2813"/>
  <c r="J2812"/>
  <c r="J2811"/>
  <c r="J2810"/>
  <c r="J2809"/>
  <c r="J2808"/>
  <c r="J2807"/>
  <c r="J2806"/>
  <c r="J2805"/>
  <c r="J2804"/>
  <c r="J2803"/>
  <c r="J2802"/>
  <c r="J2801"/>
  <c r="J2800"/>
  <c r="J2799"/>
  <c r="J2798"/>
  <c r="J2797"/>
  <c r="J2796"/>
  <c r="J2795"/>
  <c r="J2794"/>
  <c r="J2793"/>
  <c r="J2792"/>
  <c r="I2761"/>
  <c r="J2760"/>
  <c r="J2759"/>
  <c r="J2758"/>
  <c r="J2757"/>
  <c r="J2756"/>
  <c r="J2755"/>
  <c r="J2754"/>
  <c r="J2753"/>
  <c r="J2752"/>
  <c r="J2751"/>
  <c r="J2750"/>
  <c r="J2749"/>
  <c r="J2748"/>
  <c r="J2747"/>
  <c r="J2746"/>
  <c r="J2725"/>
  <c r="J2724"/>
  <c r="J2723"/>
  <c r="J2722"/>
  <c r="J2721"/>
  <c r="J2720"/>
  <c r="J2719"/>
  <c r="J2718"/>
  <c r="J2717"/>
  <c r="J2716"/>
  <c r="J2715"/>
  <c r="J2714"/>
  <c r="J2713"/>
  <c r="J2712"/>
  <c r="J2711"/>
  <c r="J2710"/>
  <c r="J2709"/>
  <c r="J2708"/>
  <c r="J2707"/>
  <c r="J2706"/>
  <c r="J2705"/>
  <c r="J2704"/>
  <c r="J2703"/>
  <c r="J2702"/>
  <c r="J2701"/>
  <c r="J2700"/>
  <c r="J2699"/>
  <c r="J2698"/>
  <c r="J2697"/>
  <c r="J2696"/>
  <c r="I2551"/>
  <c r="F344" i="7" s="1"/>
  <c r="J2550" i="8"/>
  <c r="J2549"/>
  <c r="J2548"/>
  <c r="J2547"/>
  <c r="J2546"/>
  <c r="J2545"/>
  <c r="J2544"/>
  <c r="J2543"/>
  <c r="J2542"/>
  <c r="J2541"/>
  <c r="J2540"/>
  <c r="J2539"/>
  <c r="J2538"/>
  <c r="J2537"/>
  <c r="J2536"/>
  <c r="I6190"/>
  <c r="J6189"/>
  <c r="J6188"/>
  <c r="J6187"/>
  <c r="J6186"/>
  <c r="J6185"/>
  <c r="J6184"/>
  <c r="J6183"/>
  <c r="J6182"/>
  <c r="J6181"/>
  <c r="J6180"/>
  <c r="J6179"/>
  <c r="J6178"/>
  <c r="J6177"/>
  <c r="J6176"/>
  <c r="J6175"/>
  <c r="H6171"/>
  <c r="D195" i="7" s="1"/>
  <c r="D194" s="1"/>
  <c r="I6171" i="8"/>
  <c r="J6170"/>
  <c r="J6169"/>
  <c r="J6168"/>
  <c r="J6167"/>
  <c r="J6166"/>
  <c r="J6165"/>
  <c r="J6164"/>
  <c r="J6163"/>
  <c r="J6162"/>
  <c r="J6161"/>
  <c r="J6160"/>
  <c r="J6159"/>
  <c r="J6158"/>
  <c r="J6157"/>
  <c r="J6156"/>
  <c r="J6135"/>
  <c r="J6134"/>
  <c r="J6133"/>
  <c r="J6132"/>
  <c r="J6131"/>
  <c r="J6130"/>
  <c r="J6129"/>
  <c r="J6128"/>
  <c r="J6127"/>
  <c r="J6126"/>
  <c r="J6125"/>
  <c r="J6124"/>
  <c r="J6123"/>
  <c r="J6122"/>
  <c r="J6121"/>
  <c r="J6120"/>
  <c r="J6119"/>
  <c r="J6118"/>
  <c r="J6117"/>
  <c r="J6116"/>
  <c r="J6115"/>
  <c r="J6114"/>
  <c r="J6113"/>
  <c r="J6112"/>
  <c r="J6111"/>
  <c r="J6110"/>
  <c r="J6109"/>
  <c r="J6108"/>
  <c r="J6107"/>
  <c r="J6106"/>
  <c r="J6105"/>
  <c r="J6104"/>
  <c r="J6103"/>
  <c r="J6102"/>
  <c r="J6101"/>
  <c r="J6100"/>
  <c r="J6099"/>
  <c r="J6098"/>
  <c r="J6097"/>
  <c r="J6096"/>
  <c r="J6095"/>
  <c r="J6094"/>
  <c r="J6093"/>
  <c r="J6092"/>
  <c r="J6091"/>
  <c r="J6090"/>
  <c r="J6089"/>
  <c r="J6088"/>
  <c r="J6087"/>
  <c r="J6086"/>
  <c r="J6085"/>
  <c r="J6084"/>
  <c r="J6083"/>
  <c r="J6082"/>
  <c r="J6081"/>
  <c r="J6080"/>
  <c r="J6079"/>
  <c r="J6078"/>
  <c r="J6077"/>
  <c r="J6076"/>
  <c r="I6627"/>
  <c r="J6626"/>
  <c r="J6625"/>
  <c r="J6624"/>
  <c r="J6623"/>
  <c r="J6622"/>
  <c r="J6621"/>
  <c r="J6620"/>
  <c r="J6619"/>
  <c r="J6618"/>
  <c r="J6617"/>
  <c r="J6616"/>
  <c r="J6615"/>
  <c r="J6614"/>
  <c r="J6613"/>
  <c r="J6612"/>
  <c r="J6493"/>
  <c r="I6608"/>
  <c r="F179" i="7" s="1"/>
  <c r="G179" s="1"/>
  <c r="J6607" i="8"/>
  <c r="J6606"/>
  <c r="J6605"/>
  <c r="J6604"/>
  <c r="J6603"/>
  <c r="J6602"/>
  <c r="J6601"/>
  <c r="J6600"/>
  <c r="J6599"/>
  <c r="J6598"/>
  <c r="J6597"/>
  <c r="J6596"/>
  <c r="J6595"/>
  <c r="J6594"/>
  <c r="J6593"/>
  <c r="J6572"/>
  <c r="J6571"/>
  <c r="J6570"/>
  <c r="J6569"/>
  <c r="J6568"/>
  <c r="J6567"/>
  <c r="J6566"/>
  <c r="J6565"/>
  <c r="J6564"/>
  <c r="J6563"/>
  <c r="J6562"/>
  <c r="J6561"/>
  <c r="J6560"/>
  <c r="J6559"/>
  <c r="J6558"/>
  <c r="J6557"/>
  <c r="J6556"/>
  <c r="J6555"/>
  <c r="J6554"/>
  <c r="J6553"/>
  <c r="J6552"/>
  <c r="J6551"/>
  <c r="J6550"/>
  <c r="J6549"/>
  <c r="J6548"/>
  <c r="J6547"/>
  <c r="J6546"/>
  <c r="J6545"/>
  <c r="J6544"/>
  <c r="J6543"/>
  <c r="J6542"/>
  <c r="J6541"/>
  <c r="J6540"/>
  <c r="J6539"/>
  <c r="J6538"/>
  <c r="J6537"/>
  <c r="J6536"/>
  <c r="J6535"/>
  <c r="J6534"/>
  <c r="J6533"/>
  <c r="J6532"/>
  <c r="J6531"/>
  <c r="J6530"/>
  <c r="J6529"/>
  <c r="J6528"/>
  <c r="J6527"/>
  <c r="J6526"/>
  <c r="J6525"/>
  <c r="J6524"/>
  <c r="J6523"/>
  <c r="J6522"/>
  <c r="J6521"/>
  <c r="J6520"/>
  <c r="J6519"/>
  <c r="J6518"/>
  <c r="J6517"/>
  <c r="J6516"/>
  <c r="J6515"/>
  <c r="J6514"/>
  <c r="J6513"/>
  <c r="I6509"/>
  <c r="F178" i="7" s="1"/>
  <c r="G178" s="1"/>
  <c r="J6508" i="8"/>
  <c r="J6507"/>
  <c r="J6506"/>
  <c r="J6505"/>
  <c r="J6504"/>
  <c r="J6503"/>
  <c r="J6502"/>
  <c r="J6501"/>
  <c r="J6500"/>
  <c r="J6499"/>
  <c r="J6498"/>
  <c r="J6497"/>
  <c r="J6496"/>
  <c r="J6495"/>
  <c r="J6494"/>
  <c r="J6473"/>
  <c r="J6472"/>
  <c r="J6471"/>
  <c r="J6470"/>
  <c r="J6469"/>
  <c r="J6468"/>
  <c r="J6467"/>
  <c r="J6466"/>
  <c r="J6465"/>
  <c r="J6464"/>
  <c r="J6463"/>
  <c r="J6462"/>
  <c r="J6461"/>
  <c r="J6460"/>
  <c r="J6459"/>
  <c r="J6458"/>
  <c r="J6457"/>
  <c r="J6456"/>
  <c r="J6455"/>
  <c r="J6454"/>
  <c r="J6453"/>
  <c r="J6452"/>
  <c r="J6451"/>
  <c r="J6450"/>
  <c r="J6449"/>
  <c r="J6448"/>
  <c r="J6447"/>
  <c r="J6446"/>
  <c r="J6445"/>
  <c r="J6444"/>
  <c r="J6443"/>
  <c r="J6442"/>
  <c r="J6441"/>
  <c r="J6440"/>
  <c r="J6439"/>
  <c r="J6438"/>
  <c r="J6437"/>
  <c r="J6436"/>
  <c r="J6435"/>
  <c r="J6434"/>
  <c r="J6433"/>
  <c r="J6432"/>
  <c r="J6431"/>
  <c r="J6430"/>
  <c r="J6429"/>
  <c r="J6428"/>
  <c r="J6427"/>
  <c r="J6426"/>
  <c r="J6425"/>
  <c r="J6424"/>
  <c r="J6423"/>
  <c r="J6422"/>
  <c r="J6421"/>
  <c r="J6420"/>
  <c r="J6419"/>
  <c r="J6418"/>
  <c r="J6417"/>
  <c r="J6416"/>
  <c r="J6415"/>
  <c r="J6414"/>
  <c r="I6410"/>
  <c r="F176" i="7" s="1"/>
  <c r="J6409" i="8"/>
  <c r="J6408"/>
  <c r="J6407"/>
  <c r="J6406"/>
  <c r="J6405"/>
  <c r="J6404"/>
  <c r="J6403"/>
  <c r="J6402"/>
  <c r="J6401"/>
  <c r="J6400"/>
  <c r="J6399"/>
  <c r="J6398"/>
  <c r="J6397"/>
  <c r="J6396"/>
  <c r="J6395"/>
  <c r="H6410"/>
  <c r="D176" i="7" s="1"/>
  <c r="D174" s="1"/>
  <c r="J6374" i="8"/>
  <c r="J6373"/>
  <c r="J6372"/>
  <c r="J6371"/>
  <c r="J6370"/>
  <c r="J6369"/>
  <c r="J6368"/>
  <c r="J6367"/>
  <c r="J6366"/>
  <c r="J6365"/>
  <c r="J6364"/>
  <c r="J6363"/>
  <c r="J6362"/>
  <c r="J6361"/>
  <c r="J6360"/>
  <c r="J6359"/>
  <c r="J6358"/>
  <c r="J6357"/>
  <c r="J6356"/>
  <c r="J6355"/>
  <c r="J6354"/>
  <c r="J6353"/>
  <c r="J6352"/>
  <c r="J6351"/>
  <c r="J6350"/>
  <c r="J6349"/>
  <c r="J6348"/>
  <c r="J6347"/>
  <c r="J6346"/>
  <c r="J6345"/>
  <c r="J6344"/>
  <c r="J6343"/>
  <c r="J6342"/>
  <c r="J6341"/>
  <c r="J6340"/>
  <c r="J6339"/>
  <c r="J6338"/>
  <c r="J6337"/>
  <c r="J6336"/>
  <c r="J6335"/>
  <c r="J6334"/>
  <c r="J6333"/>
  <c r="J6332"/>
  <c r="J6331"/>
  <c r="J6330"/>
  <c r="J6329"/>
  <c r="J6328"/>
  <c r="J6327"/>
  <c r="J6326"/>
  <c r="J6325"/>
  <c r="J6324"/>
  <c r="J6323"/>
  <c r="J6322"/>
  <c r="J6321"/>
  <c r="J6320"/>
  <c r="J6319"/>
  <c r="J6318"/>
  <c r="J6317"/>
  <c r="J6316"/>
  <c r="J6315"/>
  <c r="I6311"/>
  <c r="F175" i="7" s="1"/>
  <c r="G175" s="1"/>
  <c r="J6310" i="8"/>
  <c r="J6309"/>
  <c r="J6308"/>
  <c r="J6307"/>
  <c r="J6306"/>
  <c r="J6305"/>
  <c r="J6304"/>
  <c r="J6303"/>
  <c r="J6302"/>
  <c r="J6301"/>
  <c r="J6300"/>
  <c r="J6299"/>
  <c r="J6298"/>
  <c r="J6297"/>
  <c r="J6296"/>
  <c r="J6275"/>
  <c r="J6274"/>
  <c r="J6273"/>
  <c r="J6272"/>
  <c r="J6271"/>
  <c r="J6270"/>
  <c r="J6269"/>
  <c r="J6268"/>
  <c r="J6267"/>
  <c r="J6266"/>
  <c r="J6265"/>
  <c r="J6264"/>
  <c r="J6263"/>
  <c r="J6262"/>
  <c r="J6261"/>
  <c r="J6260"/>
  <c r="J6259"/>
  <c r="J6258"/>
  <c r="J6257"/>
  <c r="J6256"/>
  <c r="J6255"/>
  <c r="J6254"/>
  <c r="J6253"/>
  <c r="J6252"/>
  <c r="J6251"/>
  <c r="J6250"/>
  <c r="J6249"/>
  <c r="J6248"/>
  <c r="J6247"/>
  <c r="J6246"/>
  <c r="J6245"/>
  <c r="J6244"/>
  <c r="J6243"/>
  <c r="J6242"/>
  <c r="J6241"/>
  <c r="J6240"/>
  <c r="J6239"/>
  <c r="J6238"/>
  <c r="J6237"/>
  <c r="J6236"/>
  <c r="J6235"/>
  <c r="J6234"/>
  <c r="J6233"/>
  <c r="J6232"/>
  <c r="J6231"/>
  <c r="J6230"/>
  <c r="J6229"/>
  <c r="J6228"/>
  <c r="J6227"/>
  <c r="J6226"/>
  <c r="J6225"/>
  <c r="J6224"/>
  <c r="J6223"/>
  <c r="J6222"/>
  <c r="J6221"/>
  <c r="J6220"/>
  <c r="J6219"/>
  <c r="J6218"/>
  <c r="J6217"/>
  <c r="J6216"/>
  <c r="J5931"/>
  <c r="J5930"/>
  <c r="J5929"/>
  <c r="J5928"/>
  <c r="J5927"/>
  <c r="J5926"/>
  <c r="J5925"/>
  <c r="J5924"/>
  <c r="J5923"/>
  <c r="J5922"/>
  <c r="J5921"/>
  <c r="J5920"/>
  <c r="J5919"/>
  <c r="J5918"/>
  <c r="J5917"/>
  <c r="I5913"/>
  <c r="J5912"/>
  <c r="J5911"/>
  <c r="J5910"/>
  <c r="J5909"/>
  <c r="J5908"/>
  <c r="J5907"/>
  <c r="J5906"/>
  <c r="J5905"/>
  <c r="J5904"/>
  <c r="J5903"/>
  <c r="J5902"/>
  <c r="J5901"/>
  <c r="J5900"/>
  <c r="J5899"/>
  <c r="J5898"/>
  <c r="J5877"/>
  <c r="J5876"/>
  <c r="J5875"/>
  <c r="J5874"/>
  <c r="J5873"/>
  <c r="J5872"/>
  <c r="J5871"/>
  <c r="J5870"/>
  <c r="J5869"/>
  <c r="J5868"/>
  <c r="J5867"/>
  <c r="J5866"/>
  <c r="J5865"/>
  <c r="J5864"/>
  <c r="J5863"/>
  <c r="J5862"/>
  <c r="J5861"/>
  <c r="J5860"/>
  <c r="J5859"/>
  <c r="J5858"/>
  <c r="J5857"/>
  <c r="J5856"/>
  <c r="J5855"/>
  <c r="J5854"/>
  <c r="J5853"/>
  <c r="J5852"/>
  <c r="J5851"/>
  <c r="J5850"/>
  <c r="J5849"/>
  <c r="J5848"/>
  <c r="J5847"/>
  <c r="J5846"/>
  <c r="J5845"/>
  <c r="J5844"/>
  <c r="J5843"/>
  <c r="J5842"/>
  <c r="J5841"/>
  <c r="J5840"/>
  <c r="J5839"/>
  <c r="J5838"/>
  <c r="J5837"/>
  <c r="J5836"/>
  <c r="J5835"/>
  <c r="J5834"/>
  <c r="J5833"/>
  <c r="J5832"/>
  <c r="J5831"/>
  <c r="J5830"/>
  <c r="J5829"/>
  <c r="J5828"/>
  <c r="J5827"/>
  <c r="J5826"/>
  <c r="J5825"/>
  <c r="J5824"/>
  <c r="J5823"/>
  <c r="J5822"/>
  <c r="J5821"/>
  <c r="J5820"/>
  <c r="J5819"/>
  <c r="J5818"/>
  <c r="I5814"/>
  <c r="F157" i="7" s="1"/>
  <c r="G157" s="1"/>
  <c r="J5813" i="8"/>
  <c r="J5812"/>
  <c r="J5811"/>
  <c r="J5810"/>
  <c r="J5809"/>
  <c r="J5808"/>
  <c r="J5807"/>
  <c r="J5806"/>
  <c r="J5805"/>
  <c r="J5804"/>
  <c r="J5803"/>
  <c r="J5802"/>
  <c r="J5801"/>
  <c r="J5800"/>
  <c r="J5799"/>
  <c r="J5778"/>
  <c r="J5777"/>
  <c r="J5776"/>
  <c r="J5775"/>
  <c r="J5774"/>
  <c r="J5773"/>
  <c r="J5772"/>
  <c r="J5771"/>
  <c r="J5770"/>
  <c r="J5769"/>
  <c r="J5768"/>
  <c r="J5767"/>
  <c r="J5766"/>
  <c r="J5765"/>
  <c r="J5764"/>
  <c r="J5763"/>
  <c r="J5762"/>
  <c r="J5761"/>
  <c r="J5760"/>
  <c r="J5759"/>
  <c r="J5758"/>
  <c r="J5757"/>
  <c r="J5756"/>
  <c r="J5755"/>
  <c r="J5754"/>
  <c r="J5753"/>
  <c r="J5752"/>
  <c r="J5751"/>
  <c r="J5750"/>
  <c r="J5749"/>
  <c r="J5748"/>
  <c r="J5747"/>
  <c r="J5746"/>
  <c r="J5745"/>
  <c r="J5744"/>
  <c r="J5743"/>
  <c r="J5742"/>
  <c r="J5741"/>
  <c r="J5740"/>
  <c r="J5739"/>
  <c r="J5738"/>
  <c r="J5737"/>
  <c r="J5736"/>
  <c r="J5735"/>
  <c r="J5734"/>
  <c r="J5733"/>
  <c r="J5732"/>
  <c r="J5731"/>
  <c r="J5730"/>
  <c r="J5729"/>
  <c r="J5728"/>
  <c r="J5727"/>
  <c r="J5726"/>
  <c r="J5725"/>
  <c r="J5724"/>
  <c r="J5723"/>
  <c r="J5722"/>
  <c r="J5721"/>
  <c r="J5720"/>
  <c r="J5719"/>
  <c r="I5715"/>
  <c r="F156" i="7" s="1"/>
  <c r="J5714" i="8"/>
  <c r="J5713"/>
  <c r="J5712"/>
  <c r="J5711"/>
  <c r="J5710"/>
  <c r="J5709"/>
  <c r="J5708"/>
  <c r="J5707"/>
  <c r="J5706"/>
  <c r="J5705"/>
  <c r="J5704"/>
  <c r="J5703"/>
  <c r="J5702"/>
  <c r="J5701"/>
  <c r="J5700"/>
  <c r="J5679"/>
  <c r="J5678"/>
  <c r="J5677"/>
  <c r="J5676"/>
  <c r="J5675"/>
  <c r="J5674"/>
  <c r="J5673"/>
  <c r="J5672"/>
  <c r="J5671"/>
  <c r="J5670"/>
  <c r="J5669"/>
  <c r="J5668"/>
  <c r="J5667"/>
  <c r="J5666"/>
  <c r="J5665"/>
  <c r="J5664"/>
  <c r="J5663"/>
  <c r="J5662"/>
  <c r="J5661"/>
  <c r="J5660"/>
  <c r="J5659"/>
  <c r="J5658"/>
  <c r="J5657"/>
  <c r="J5656"/>
  <c r="J5655"/>
  <c r="J5654"/>
  <c r="J5653"/>
  <c r="J5652"/>
  <c r="J5651"/>
  <c r="J5650"/>
  <c r="J5649"/>
  <c r="J5648"/>
  <c r="J5647"/>
  <c r="J5646"/>
  <c r="J5645"/>
  <c r="J5644"/>
  <c r="J5643"/>
  <c r="J5642"/>
  <c r="J5641"/>
  <c r="J5640"/>
  <c r="J5639"/>
  <c r="J5638"/>
  <c r="J5637"/>
  <c r="J5636"/>
  <c r="J5635"/>
  <c r="J5634"/>
  <c r="J5633"/>
  <c r="J5632"/>
  <c r="J5631"/>
  <c r="J5630"/>
  <c r="J5629"/>
  <c r="J5628"/>
  <c r="J5627"/>
  <c r="J5626"/>
  <c r="J5625"/>
  <c r="J5624"/>
  <c r="J5623"/>
  <c r="J5622"/>
  <c r="J5621"/>
  <c r="J5620"/>
  <c r="J1002"/>
  <c r="J1003"/>
  <c r="J1004"/>
  <c r="J1005"/>
  <c r="J1006"/>
  <c r="J1007"/>
  <c r="J1008"/>
  <c r="J1009"/>
  <c r="J1010"/>
  <c r="J1011"/>
  <c r="J1012"/>
  <c r="J1013"/>
  <c r="J1016"/>
  <c r="J1015"/>
  <c r="J1014"/>
  <c r="I5133"/>
  <c r="J5132"/>
  <c r="J5131"/>
  <c r="J5130"/>
  <c r="J5129"/>
  <c r="J5128"/>
  <c r="J5127"/>
  <c r="J5126"/>
  <c r="J5125"/>
  <c r="J5124"/>
  <c r="J5123"/>
  <c r="J5122"/>
  <c r="J5121"/>
  <c r="J5120"/>
  <c r="J5119"/>
  <c r="J5118"/>
  <c r="H5133"/>
  <c r="J5078"/>
  <c r="J5077"/>
  <c r="J5035"/>
  <c r="J5036"/>
  <c r="J5037"/>
  <c r="J5034"/>
  <c r="J4988"/>
  <c r="J4989"/>
  <c r="J4990"/>
  <c r="J4991"/>
  <c r="J4992"/>
  <c r="J4987"/>
  <c r="J4941"/>
  <c r="J4942"/>
  <c r="J4943"/>
  <c r="J4944"/>
  <c r="J4945"/>
  <c r="J4946"/>
  <c r="J4947"/>
  <c r="J4940"/>
  <c r="I5114"/>
  <c r="F528" i="7" s="1"/>
  <c r="J5113" i="8"/>
  <c r="J5112"/>
  <c r="J5111"/>
  <c r="J5110"/>
  <c r="J5109"/>
  <c r="J5108"/>
  <c r="J5107"/>
  <c r="J5106"/>
  <c r="J5105"/>
  <c r="J5104"/>
  <c r="J5103"/>
  <c r="J5102"/>
  <c r="J5101"/>
  <c r="J5100"/>
  <c r="J5099"/>
  <c r="J5057"/>
  <c r="I5073"/>
  <c r="F527" i="7" s="1"/>
  <c r="G527" s="1"/>
  <c r="J5072" i="8"/>
  <c r="J5071"/>
  <c r="J5070"/>
  <c r="J5069"/>
  <c r="J5068"/>
  <c r="J5067"/>
  <c r="J5066"/>
  <c r="J5065"/>
  <c r="J5064"/>
  <c r="J5063"/>
  <c r="J5062"/>
  <c r="J5061"/>
  <c r="J5060"/>
  <c r="J5059"/>
  <c r="J5058"/>
  <c r="J4967"/>
  <c r="I5028"/>
  <c r="F526" i="7" s="1"/>
  <c r="G526" s="1"/>
  <c r="J5027" i="8"/>
  <c r="J5026"/>
  <c r="J5025"/>
  <c r="J5024"/>
  <c r="J5023"/>
  <c r="J5022"/>
  <c r="J5021"/>
  <c r="J5020"/>
  <c r="J5019"/>
  <c r="J5018"/>
  <c r="J5017"/>
  <c r="J5016"/>
  <c r="J5015"/>
  <c r="J5014"/>
  <c r="J5013"/>
  <c r="I4983"/>
  <c r="F524" i="7" s="1"/>
  <c r="G524" s="1"/>
  <c r="J4982" i="8"/>
  <c r="J4981"/>
  <c r="J4980"/>
  <c r="J4979"/>
  <c r="J4978"/>
  <c r="J4977"/>
  <c r="J4976"/>
  <c r="J4975"/>
  <c r="J4974"/>
  <c r="J4973"/>
  <c r="J4972"/>
  <c r="J4971"/>
  <c r="J4970"/>
  <c r="J4969"/>
  <c r="J4968"/>
  <c r="I4936"/>
  <c r="F521" i="7" s="1"/>
  <c r="G521" s="1"/>
  <c r="J4935" i="8"/>
  <c r="J4934"/>
  <c r="J4933"/>
  <c r="J4932"/>
  <c r="J4931"/>
  <c r="J4930"/>
  <c r="J4929"/>
  <c r="F519" i="7"/>
  <c r="J600" i="8"/>
  <c r="J599"/>
  <c r="J598"/>
  <c r="J597"/>
  <c r="J596"/>
  <c r="J595"/>
  <c r="J594"/>
  <c r="J593"/>
  <c r="J592"/>
  <c r="I743"/>
  <c r="J742"/>
  <c r="J741"/>
  <c r="J740"/>
  <c r="J739"/>
  <c r="J738"/>
  <c r="J737"/>
  <c r="J736"/>
  <c r="J735"/>
  <c r="J734"/>
  <c r="J733"/>
  <c r="J732"/>
  <c r="J731"/>
  <c r="J730"/>
  <c r="J729"/>
  <c r="J728"/>
  <c r="I724"/>
  <c r="J723"/>
  <c r="J722"/>
  <c r="J721"/>
  <c r="J720"/>
  <c r="J719"/>
  <c r="J718"/>
  <c r="J717"/>
  <c r="J716"/>
  <c r="J715"/>
  <c r="J714"/>
  <c r="J713"/>
  <c r="J712"/>
  <c r="J711"/>
  <c r="J710"/>
  <c r="J709"/>
  <c r="I705"/>
  <c r="J704"/>
  <c r="J703"/>
  <c r="J702"/>
  <c r="J701"/>
  <c r="J700"/>
  <c r="J699"/>
  <c r="J698"/>
  <c r="J697"/>
  <c r="J696"/>
  <c r="J695"/>
  <c r="J694"/>
  <c r="J693"/>
  <c r="J692"/>
  <c r="J691"/>
  <c r="J690"/>
  <c r="J650"/>
  <c r="J649"/>
  <c r="J648"/>
  <c r="J647"/>
  <c r="J646"/>
  <c r="J645"/>
  <c r="J644"/>
  <c r="J643"/>
  <c r="J642"/>
  <c r="J641"/>
  <c r="J640"/>
  <c r="J639"/>
  <c r="J638"/>
  <c r="J637"/>
  <c r="J636"/>
  <c r="J635"/>
  <c r="J634"/>
  <c r="J633"/>
  <c r="J632"/>
  <c r="J631"/>
  <c r="J630"/>
  <c r="J629"/>
  <c r="J628"/>
  <c r="J627"/>
  <c r="J626"/>
  <c r="J625"/>
  <c r="J624"/>
  <c r="J623"/>
  <c r="J622"/>
  <c r="J621"/>
  <c r="J620"/>
  <c r="J619"/>
  <c r="J618"/>
  <c r="J617"/>
  <c r="J616"/>
  <c r="J615"/>
  <c r="J614"/>
  <c r="J613"/>
  <c r="J612"/>
  <c r="J611"/>
  <c r="J610"/>
  <c r="J609"/>
  <c r="J608"/>
  <c r="J607"/>
  <c r="J606"/>
  <c r="J605"/>
  <c r="J604"/>
  <c r="J603"/>
  <c r="J602"/>
  <c r="J368"/>
  <c r="I583"/>
  <c r="J582"/>
  <c r="J581"/>
  <c r="J580"/>
  <c r="J579"/>
  <c r="J578"/>
  <c r="J577"/>
  <c r="J576"/>
  <c r="J575"/>
  <c r="J574"/>
  <c r="J573"/>
  <c r="J572"/>
  <c r="J571"/>
  <c r="J570"/>
  <c r="J569"/>
  <c r="J568"/>
  <c r="I564"/>
  <c r="J563"/>
  <c r="J562"/>
  <c r="J561"/>
  <c r="J560"/>
  <c r="J559"/>
  <c r="J558"/>
  <c r="J557"/>
  <c r="J556"/>
  <c r="J555"/>
  <c r="J554"/>
  <c r="J553"/>
  <c r="J552"/>
  <c r="J551"/>
  <c r="J550"/>
  <c r="J549"/>
  <c r="I545"/>
  <c r="J544"/>
  <c r="J543"/>
  <c r="J542"/>
  <c r="J541"/>
  <c r="J540"/>
  <c r="J539"/>
  <c r="J538"/>
  <c r="J537"/>
  <c r="J536"/>
  <c r="J535"/>
  <c r="J534"/>
  <c r="J533"/>
  <c r="J532"/>
  <c r="J531"/>
  <c r="J530"/>
  <c r="J427"/>
  <c r="J426"/>
  <c r="J425"/>
  <c r="J424"/>
  <c r="J423"/>
  <c r="J422"/>
  <c r="J421"/>
  <c r="J420"/>
  <c r="J419"/>
  <c r="J418"/>
  <c r="J417"/>
  <c r="J416"/>
  <c r="J415"/>
  <c r="J414"/>
  <c r="J413"/>
  <c r="J412"/>
  <c r="J411"/>
  <c r="J410"/>
  <c r="J409"/>
  <c r="J408"/>
  <c r="J407"/>
  <c r="J406"/>
  <c r="J405"/>
  <c r="J404"/>
  <c r="J403"/>
  <c r="J402"/>
  <c r="J401"/>
  <c r="J400"/>
  <c r="J399"/>
  <c r="J398"/>
  <c r="J397"/>
  <c r="J396"/>
  <c r="J395"/>
  <c r="J394"/>
  <c r="J393"/>
  <c r="J392"/>
  <c r="J391"/>
  <c r="J390"/>
  <c r="J389"/>
  <c r="J388"/>
  <c r="J387"/>
  <c r="J386"/>
  <c r="J385"/>
  <c r="J384"/>
  <c r="J383"/>
  <c r="J382"/>
  <c r="J381"/>
  <c r="J380"/>
  <c r="J379"/>
  <c r="J378"/>
  <c r="J377"/>
  <c r="J376"/>
  <c r="J375"/>
  <c r="J374"/>
  <c r="J373"/>
  <c r="J372"/>
  <c r="J371"/>
  <c r="J370"/>
  <c r="J369"/>
  <c r="H205"/>
  <c r="H326" s="1"/>
  <c r="H342" s="1"/>
  <c r="J360"/>
  <c r="J359"/>
  <c r="J358"/>
  <c r="J357"/>
  <c r="J356"/>
  <c r="J355"/>
  <c r="J354"/>
  <c r="J353"/>
  <c r="J352"/>
  <c r="J351"/>
  <c r="J350"/>
  <c r="J349"/>
  <c r="J348"/>
  <c r="J347"/>
  <c r="J346"/>
  <c r="J341"/>
  <c r="J340"/>
  <c r="J339"/>
  <c r="J338"/>
  <c r="J337"/>
  <c r="J336"/>
  <c r="J335"/>
  <c r="J334"/>
  <c r="J333"/>
  <c r="J332"/>
  <c r="J331"/>
  <c r="J330"/>
  <c r="J329"/>
  <c r="J328"/>
  <c r="J327"/>
  <c r="J322"/>
  <c r="J321"/>
  <c r="J320"/>
  <c r="J319"/>
  <c r="J318"/>
  <c r="J317"/>
  <c r="J316"/>
  <c r="J315"/>
  <c r="J314"/>
  <c r="J313"/>
  <c r="J312"/>
  <c r="J311"/>
  <c r="J310"/>
  <c r="J309"/>
  <c r="J308"/>
  <c r="J285"/>
  <c r="J284"/>
  <c r="J283"/>
  <c r="J282"/>
  <c r="J281"/>
  <c r="J280"/>
  <c r="J279"/>
  <c r="J278"/>
  <c r="J277"/>
  <c r="J276"/>
  <c r="J275"/>
  <c r="J274"/>
  <c r="J273"/>
  <c r="J272"/>
  <c r="J271"/>
  <c r="J268"/>
  <c r="J267"/>
  <c r="J266"/>
  <c r="J265"/>
  <c r="J264"/>
  <c r="J263"/>
  <c r="J262"/>
  <c r="J261"/>
  <c r="J260"/>
  <c r="J259"/>
  <c r="J258"/>
  <c r="J257"/>
  <c r="J256"/>
  <c r="J255"/>
  <c r="J254"/>
  <c r="J253"/>
  <c r="J252"/>
  <c r="J251"/>
  <c r="J250"/>
  <c r="J249"/>
  <c r="J248"/>
  <c r="J247"/>
  <c r="J246"/>
  <c r="J245"/>
  <c r="J244"/>
  <c r="J243"/>
  <c r="J242"/>
  <c r="J241"/>
  <c r="J240"/>
  <c r="J239"/>
  <c r="J238"/>
  <c r="J237"/>
  <c r="J236"/>
  <c r="J235"/>
  <c r="J234"/>
  <c r="J233"/>
  <c r="J232"/>
  <c r="J231"/>
  <c r="J230"/>
  <c r="J229"/>
  <c r="J228"/>
  <c r="J227"/>
  <c r="J226"/>
  <c r="J225"/>
  <c r="J224"/>
  <c r="J223"/>
  <c r="J222"/>
  <c r="J221"/>
  <c r="J220"/>
  <c r="J219"/>
  <c r="J218"/>
  <c r="J217"/>
  <c r="J216"/>
  <c r="J215"/>
  <c r="J186"/>
  <c r="J185"/>
  <c r="J184"/>
  <c r="J183"/>
  <c r="J182"/>
  <c r="J181"/>
  <c r="J180"/>
  <c r="J179"/>
  <c r="J178"/>
  <c r="J177"/>
  <c r="J176"/>
  <c r="J175"/>
  <c r="J174"/>
  <c r="J173"/>
  <c r="J172"/>
  <c r="J169"/>
  <c r="J168"/>
  <c r="J167"/>
  <c r="J166"/>
  <c r="J165"/>
  <c r="J164"/>
  <c r="J163"/>
  <c r="J162"/>
  <c r="J161"/>
  <c r="J160"/>
  <c r="J159"/>
  <c r="J158"/>
  <c r="J157"/>
  <c r="J156"/>
  <c r="J155"/>
  <c r="J154"/>
  <c r="J153"/>
  <c r="J152"/>
  <c r="J151"/>
  <c r="J150"/>
  <c r="J149"/>
  <c r="J148"/>
  <c r="J147"/>
  <c r="J146"/>
  <c r="J145"/>
  <c r="J144"/>
  <c r="J143"/>
  <c r="J142"/>
  <c r="J141"/>
  <c r="J140"/>
  <c r="J139"/>
  <c r="J138"/>
  <c r="J137"/>
  <c r="J136"/>
  <c r="J135"/>
  <c r="J134"/>
  <c r="J133"/>
  <c r="J132"/>
  <c r="J131"/>
  <c r="J130"/>
  <c r="J129"/>
  <c r="J128"/>
  <c r="J127"/>
  <c r="J126"/>
  <c r="J125"/>
  <c r="J124"/>
  <c r="J123"/>
  <c r="J122"/>
  <c r="J121"/>
  <c r="J120"/>
  <c r="J119"/>
  <c r="J118"/>
  <c r="J117"/>
  <c r="J116"/>
  <c r="J115"/>
  <c r="J114"/>
  <c r="J113"/>
  <c r="J112"/>
  <c r="J111"/>
  <c r="J110"/>
  <c r="J91"/>
  <c r="J92"/>
  <c r="J93"/>
  <c r="J94"/>
  <c r="J95"/>
  <c r="J96"/>
  <c r="J97"/>
  <c r="J98"/>
  <c r="J99"/>
  <c r="J100"/>
  <c r="J101"/>
  <c r="J102"/>
  <c r="J103"/>
  <c r="J104"/>
  <c r="J105"/>
  <c r="J11"/>
  <c r="J12"/>
  <c r="J13"/>
  <c r="J14"/>
  <c r="J15"/>
  <c r="J16"/>
  <c r="J17"/>
  <c r="J18"/>
  <c r="J19"/>
  <c r="J20"/>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10"/>
  <c r="G95" i="3"/>
  <c r="I16" i="16" s="1"/>
  <c r="G92" i="3"/>
  <c r="I15" i="16" s="1"/>
  <c r="G89" i="3"/>
  <c r="G86"/>
  <c r="G83"/>
  <c r="G81"/>
  <c r="G77"/>
  <c r="G74"/>
  <c r="G71"/>
  <c r="G63"/>
  <c r="G51"/>
  <c r="G46"/>
  <c r="G44"/>
  <c r="G41"/>
  <c r="G32"/>
  <c r="G22"/>
  <c r="F95"/>
  <c r="F91" s="1"/>
  <c r="F92"/>
  <c r="F89"/>
  <c r="F86"/>
  <c r="F83"/>
  <c r="F81"/>
  <c r="F77"/>
  <c r="F74"/>
  <c r="F71"/>
  <c r="F63"/>
  <c r="F51"/>
  <c r="F46"/>
  <c r="F44"/>
  <c r="F41"/>
  <c r="F32"/>
  <c r="F22"/>
  <c r="F9"/>
  <c r="J5199" i="8"/>
  <c r="J5215" s="1"/>
  <c r="F195" i="7"/>
  <c r="F194" s="1"/>
  <c r="H5913" i="8"/>
  <c r="D158" i="7" s="1"/>
  <c r="D155" s="1"/>
  <c r="H3293" i="8"/>
  <c r="H3309" s="1"/>
  <c r="H3191"/>
  <c r="D380" i="7" s="1"/>
  <c r="H5114" i="8"/>
  <c r="D528" i="7" s="1"/>
  <c r="J3274" i="8"/>
  <c r="J1201"/>
  <c r="J1497"/>
  <c r="J1398"/>
  <c r="J1414" s="1"/>
  <c r="J1299"/>
  <c r="J3175"/>
  <c r="J2854"/>
  <c r="J5798"/>
  <c r="J6295"/>
  <c r="J5897"/>
  <c r="H6190"/>
  <c r="J2535"/>
  <c r="J2551" s="1"/>
  <c r="J6155"/>
  <c r="J2745"/>
  <c r="J6592"/>
  <c r="J6394"/>
  <c r="J6410" s="1"/>
  <c r="J5699"/>
  <c r="J5012"/>
  <c r="J5098"/>
  <c r="J5117"/>
  <c r="J90"/>
  <c r="H743"/>
  <c r="J727"/>
  <c r="J270"/>
  <c r="J171"/>
  <c r="H5932"/>
  <c r="J4949"/>
  <c r="J4965" s="1"/>
  <c r="J6174"/>
  <c r="J5916"/>
  <c r="J6611"/>
  <c r="J529"/>
  <c r="J689"/>
  <c r="J548"/>
  <c r="C114" i="6"/>
  <c r="F114" s="1"/>
  <c r="H724" i="8"/>
  <c r="J567"/>
  <c r="G98" i="7"/>
  <c r="G99"/>
  <c r="G100"/>
  <c r="G101"/>
  <c r="G102"/>
  <c r="G103"/>
  <c r="G129"/>
  <c r="G130"/>
  <c r="G177"/>
  <c r="G180"/>
  <c r="G181"/>
  <c r="G196"/>
  <c r="G197"/>
  <c r="G248"/>
  <c r="G249"/>
  <c r="G279"/>
  <c r="G280"/>
  <c r="G311"/>
  <c r="G312"/>
  <c r="G344"/>
  <c r="G413"/>
  <c r="G414"/>
  <c r="G465"/>
  <c r="G466"/>
  <c r="G468"/>
  <c r="G469"/>
  <c r="G522"/>
  <c r="G523"/>
  <c r="G530"/>
  <c r="G35"/>
  <c r="G36"/>
  <c r="G37"/>
  <c r="G38"/>
  <c r="G39"/>
  <c r="G40"/>
  <c r="G41"/>
  <c r="G42"/>
  <c r="G43"/>
  <c r="G44"/>
  <c r="G45"/>
  <c r="G46"/>
  <c r="G47"/>
  <c r="G49"/>
  <c r="G50"/>
  <c r="G51"/>
  <c r="G34"/>
  <c r="G8"/>
  <c r="G9"/>
  <c r="G7"/>
  <c r="J4994" i="8"/>
  <c r="J5010" s="1"/>
  <c r="C14" i="6"/>
  <c r="H5178" i="8"/>
  <c r="C29" i="6" s="1"/>
  <c r="F29" s="1"/>
  <c r="J5162" i="8"/>
  <c r="J5178" s="1"/>
  <c r="J5039"/>
  <c r="J5055" s="1"/>
  <c r="J708"/>
  <c r="F6" i="4"/>
  <c r="E6"/>
  <c r="E85" i="5"/>
  <c r="F79"/>
  <c r="F78"/>
  <c r="F76"/>
  <c r="E75"/>
  <c r="F75" s="1"/>
  <c r="F66"/>
  <c r="E64"/>
  <c r="F55"/>
  <c r="F53"/>
  <c r="F51"/>
  <c r="E49"/>
  <c r="F49" s="1"/>
  <c r="E47"/>
  <c r="F48"/>
  <c r="F45"/>
  <c r="F43"/>
  <c r="E40"/>
  <c r="F41"/>
  <c r="F38"/>
  <c r="F35"/>
  <c r="F32"/>
  <c r="F30"/>
  <c r="F27"/>
  <c r="F25"/>
  <c r="F22"/>
  <c r="F20"/>
  <c r="F18"/>
  <c r="F15"/>
  <c r="F13"/>
  <c r="F11"/>
  <c r="F10"/>
  <c r="F9"/>
  <c r="D95" i="3"/>
  <c r="D92"/>
  <c r="D81"/>
  <c r="D89"/>
  <c r="D86"/>
  <c r="D83"/>
  <c r="D77"/>
  <c r="D74"/>
  <c r="D71"/>
  <c r="D63"/>
  <c r="D51"/>
  <c r="D46"/>
  <c r="D44"/>
  <c r="D41"/>
  <c r="D32"/>
  <c r="D22"/>
  <c r="D9"/>
  <c r="J5080" i="8"/>
  <c r="J5096" s="1"/>
  <c r="C35" i="6"/>
  <c r="J788" i="8"/>
  <c r="J804" s="1"/>
  <c r="J770"/>
  <c r="J786" s="1"/>
  <c r="F82" i="5"/>
  <c r="F80"/>
  <c r="F68"/>
  <c r="F71"/>
  <c r="F73"/>
  <c r="E34"/>
  <c r="F34" s="1"/>
  <c r="E70"/>
  <c r="F70" s="1"/>
  <c r="F77"/>
  <c r="F12"/>
  <c r="F14"/>
  <c r="F17"/>
  <c r="F19"/>
  <c r="F21"/>
  <c r="F24"/>
  <c r="F26"/>
  <c r="F28"/>
  <c r="F31"/>
  <c r="F33"/>
  <c r="F36"/>
  <c r="F39"/>
  <c r="F42"/>
  <c r="F44"/>
  <c r="F46"/>
  <c r="F50"/>
  <c r="F52"/>
  <c r="F54"/>
  <c r="F65"/>
  <c r="F67"/>
  <c r="F69"/>
  <c r="F72"/>
  <c r="C47"/>
  <c r="H5096" i="8"/>
  <c r="C18" i="6" s="1"/>
  <c r="C88"/>
  <c r="C86" s="1"/>
  <c r="J831" i="8"/>
  <c r="J847" s="1"/>
  <c r="J1001"/>
  <c r="F79" i="6"/>
  <c r="F16" i="5"/>
  <c r="F29"/>
  <c r="F7"/>
  <c r="F81"/>
  <c r="I19" i="16" s="1"/>
  <c r="F56" i="5"/>
  <c r="F23"/>
  <c r="J813" i="8"/>
  <c r="J829" s="1"/>
  <c r="F94" i="6"/>
  <c r="J1217" i="8" l="1"/>
  <c r="J1017"/>
  <c r="F85" i="3"/>
  <c r="G8"/>
  <c r="G85"/>
  <c r="F64" i="5"/>
  <c r="E87"/>
  <c r="I2768" i="8"/>
  <c r="E9" i="6" s="1"/>
  <c r="F9" s="1"/>
  <c r="D348" i="7"/>
  <c r="H3074" i="8"/>
  <c r="D250" i="7"/>
  <c r="C120" i="6"/>
  <c r="D467" i="7"/>
  <c r="F346"/>
  <c r="G346" s="1"/>
  <c r="D529"/>
  <c r="G529" s="1"/>
  <c r="F85" i="5"/>
  <c r="I12" i="16" s="1"/>
  <c r="D50" i="3"/>
  <c r="F43"/>
  <c r="F8"/>
  <c r="I20" i="16"/>
  <c r="G520" i="7"/>
  <c r="G50" i="3"/>
  <c r="G43"/>
  <c r="G7" s="1"/>
  <c r="J5133" i="8"/>
  <c r="F50" i="3"/>
  <c r="D8"/>
  <c r="D43"/>
  <c r="D85"/>
  <c r="G91"/>
  <c r="F525" i="7"/>
  <c r="G525" s="1"/>
  <c r="J3293" i="8"/>
  <c r="J3309" s="1"/>
  <c r="F84" i="6"/>
  <c r="H345" i="8"/>
  <c r="H361" s="1"/>
  <c r="G348" i="7"/>
  <c r="F155"/>
  <c r="G155" s="1"/>
  <c r="F28" i="6"/>
  <c r="J187" i="8"/>
  <c r="J205" s="1"/>
  <c r="J106"/>
  <c r="J5073"/>
  <c r="D91" i="3"/>
  <c r="J6627" i="8"/>
  <c r="H5215"/>
  <c r="E39" i="6"/>
  <c r="F39" s="1"/>
  <c r="F44"/>
  <c r="F128" i="7"/>
  <c r="G128" s="1"/>
  <c r="G131"/>
  <c r="J5913" i="8"/>
  <c r="J3191"/>
  <c r="J5614"/>
  <c r="J5715"/>
  <c r="J6171"/>
  <c r="J6311"/>
  <c r="J1315"/>
  <c r="J3290"/>
  <c r="J5476"/>
  <c r="J7380"/>
  <c r="J5336"/>
  <c r="J6509"/>
  <c r="J323"/>
  <c r="J4983"/>
  <c r="J5218"/>
  <c r="J5234" s="1"/>
  <c r="H5234"/>
  <c r="J286"/>
  <c r="J304" s="1"/>
  <c r="J583"/>
  <c r="J705"/>
  <c r="J5932"/>
  <c r="J743"/>
  <c r="J4936"/>
  <c r="J5114"/>
  <c r="J6608"/>
  <c r="J5814"/>
  <c r="J13961"/>
  <c r="J13977" s="1"/>
  <c r="J5576"/>
  <c r="J6946"/>
  <c r="J724"/>
  <c r="C15" i="6"/>
  <c r="F15" s="1"/>
  <c r="J564" i="8"/>
  <c r="J545"/>
  <c r="J6190"/>
  <c r="J5028"/>
  <c r="J2761"/>
  <c r="J2768" s="1"/>
  <c r="J2771" s="1"/>
  <c r="J2870"/>
  <c r="J1513"/>
  <c r="J326"/>
  <c r="J342" s="1"/>
  <c r="J5196"/>
  <c r="J5374"/>
  <c r="J6748"/>
  <c r="H5136"/>
  <c r="G519" i="7"/>
  <c r="G528"/>
  <c r="G176"/>
  <c r="F18" i="6"/>
  <c r="G195" i="7"/>
  <c r="G158"/>
  <c r="F174"/>
  <c r="G174" s="1"/>
  <c r="C5" i="6"/>
  <c r="F14"/>
  <c r="F5" s="1"/>
  <c r="C32"/>
  <c r="F35"/>
  <c r="F86"/>
  <c r="F47" i="5"/>
  <c r="C6"/>
  <c r="C87"/>
  <c r="E6"/>
  <c r="F40"/>
  <c r="E63"/>
  <c r="F63" s="1"/>
  <c r="G156" i="7"/>
  <c r="F88" i="6"/>
  <c r="G380" i="7"/>
  <c r="D379"/>
  <c r="G194"/>
  <c r="D343"/>
  <c r="C93" i="6"/>
  <c r="D518" i="7" l="1"/>
  <c r="F7" i="3"/>
  <c r="F97" s="1"/>
  <c r="E5" i="6"/>
  <c r="J3074" i="8"/>
  <c r="J3090" s="1"/>
  <c r="H3090"/>
  <c r="I2771"/>
  <c r="F345" i="7" s="1"/>
  <c r="G345" s="1"/>
  <c r="C118" i="6"/>
  <c r="F118" s="1"/>
  <c r="F120"/>
  <c r="G250" i="7"/>
  <c r="D247"/>
  <c r="H3685" i="8"/>
  <c r="H3687" s="1"/>
  <c r="J3669"/>
  <c r="J3685" s="1"/>
  <c r="D464" i="7"/>
  <c r="G467"/>
  <c r="D7" i="3"/>
  <c r="F98"/>
  <c r="F518" i="7"/>
  <c r="J345" i="8"/>
  <c r="J361" s="1"/>
  <c r="E140" i="6"/>
  <c r="D98" i="3"/>
  <c r="D97"/>
  <c r="F6" i="5"/>
  <c r="H5152" i="8"/>
  <c r="J5136"/>
  <c r="J5152" s="1"/>
  <c r="G379" i="7"/>
  <c r="F93" i="6"/>
  <c r="F32"/>
  <c r="D61" i="5"/>
  <c r="D57"/>
  <c r="D74"/>
  <c r="D16"/>
  <c r="D32"/>
  <c r="D48"/>
  <c r="D69"/>
  <c r="D86"/>
  <c r="D21"/>
  <c r="D37"/>
  <c r="D53"/>
  <c r="D79"/>
  <c r="D14"/>
  <c r="D30"/>
  <c r="D46"/>
  <c r="D71"/>
  <c r="D7"/>
  <c r="D23"/>
  <c r="D39"/>
  <c r="D55"/>
  <c r="D77"/>
  <c r="F87"/>
  <c r="D60"/>
  <c r="D12"/>
  <c r="D36"/>
  <c r="D56"/>
  <c r="D82"/>
  <c r="D25"/>
  <c r="D45"/>
  <c r="D75"/>
  <c r="D18"/>
  <c r="D38"/>
  <c r="D67"/>
  <c r="D11"/>
  <c r="D31"/>
  <c r="D51"/>
  <c r="D81"/>
  <c r="D59"/>
  <c r="D20"/>
  <c r="D40"/>
  <c r="D65"/>
  <c r="D9"/>
  <c r="D29"/>
  <c r="D49"/>
  <c r="D83"/>
  <c r="D22"/>
  <c r="D42"/>
  <c r="D76"/>
  <c r="D15"/>
  <c r="D35"/>
  <c r="D64"/>
  <c r="D85"/>
  <c r="D58"/>
  <c r="D63"/>
  <c r="D24"/>
  <c r="D44"/>
  <c r="D73"/>
  <c r="D13"/>
  <c r="D33"/>
  <c r="D66"/>
  <c r="D87"/>
  <c r="D26"/>
  <c r="D50"/>
  <c r="D80"/>
  <c r="D19"/>
  <c r="D43"/>
  <c r="D68"/>
  <c r="D62"/>
  <c r="D78"/>
  <c r="D10"/>
  <c r="D27"/>
  <c r="D8"/>
  <c r="D17"/>
  <c r="D47"/>
  <c r="D28"/>
  <c r="D41"/>
  <c r="D54"/>
  <c r="D70"/>
  <c r="D34"/>
  <c r="D72"/>
  <c r="D52"/>
  <c r="D84"/>
  <c r="D6"/>
  <c r="F343" i="7" l="1"/>
  <c r="G343" s="1"/>
  <c r="G247"/>
  <c r="H3688" i="8"/>
  <c r="J3687"/>
  <c r="J3688"/>
  <c r="H3690"/>
  <c r="H4687" s="1"/>
  <c r="G464" i="7"/>
  <c r="D412"/>
  <c r="C117" i="6"/>
  <c r="G518" i="7"/>
  <c r="G98" i="3"/>
  <c r="G97"/>
  <c r="E7"/>
  <c r="E97"/>
  <c r="E91"/>
  <c r="I11" i="16"/>
  <c r="I13" s="1"/>
  <c r="E21" i="3"/>
  <c r="E37"/>
  <c r="E53"/>
  <c r="E69"/>
  <c r="E98"/>
  <c r="E38"/>
  <c r="E54"/>
  <c r="E70"/>
  <c r="E15"/>
  <c r="E31"/>
  <c r="E47"/>
  <c r="E63"/>
  <c r="E79"/>
  <c r="E20"/>
  <c r="E36"/>
  <c r="E52"/>
  <c r="E68"/>
  <c r="E84"/>
  <c r="E90"/>
  <c r="E25"/>
  <c r="E41"/>
  <c r="E57"/>
  <c r="E73"/>
  <c r="E10"/>
  <c r="E26"/>
  <c r="E42"/>
  <c r="E58"/>
  <c r="E94"/>
  <c r="E19"/>
  <c r="E35"/>
  <c r="E51"/>
  <c r="E67"/>
  <c r="E83"/>
  <c r="E24"/>
  <c r="E40"/>
  <c r="E56"/>
  <c r="E72"/>
  <c r="E88"/>
  <c r="E6"/>
  <c r="E13"/>
  <c r="E29"/>
  <c r="E45"/>
  <c r="E61"/>
  <c r="E77"/>
  <c r="E93"/>
  <c r="E14"/>
  <c r="E30"/>
  <c r="E46"/>
  <c r="E62"/>
  <c r="E78"/>
  <c r="E23"/>
  <c r="E39"/>
  <c r="E55"/>
  <c r="E87"/>
  <c r="E12"/>
  <c r="E28"/>
  <c r="E60"/>
  <c r="E76"/>
  <c r="E92"/>
  <c r="E17"/>
  <c r="E33"/>
  <c r="E49"/>
  <c r="E65"/>
  <c r="E81"/>
  <c r="E18"/>
  <c r="E34"/>
  <c r="E50"/>
  <c r="E66"/>
  <c r="E82"/>
  <c r="E11"/>
  <c r="E27"/>
  <c r="E59"/>
  <c r="E75"/>
  <c r="E16"/>
  <c r="E32"/>
  <c r="E48"/>
  <c r="E64"/>
  <c r="E80"/>
  <c r="E96"/>
  <c r="E8"/>
  <c r="E89"/>
  <c r="E85"/>
  <c r="E44"/>
  <c r="E43"/>
  <c r="E22"/>
  <c r="E9"/>
  <c r="E95"/>
  <c r="E71"/>
  <c r="E74"/>
  <c r="E86"/>
  <c r="F599" i="7" l="1"/>
  <c r="H4703" i="8"/>
  <c r="H13803" s="1"/>
  <c r="J4687"/>
  <c r="J4703" s="1"/>
  <c r="H3691"/>
  <c r="J3691" s="1"/>
  <c r="J3690"/>
  <c r="F117" i="6"/>
  <c r="C111"/>
  <c r="D411" i="7"/>
  <c r="G412"/>
  <c r="H13981" i="8" l="1"/>
  <c r="J13803"/>
  <c r="J13819" s="1"/>
  <c r="H13819"/>
  <c r="G411" i="7"/>
  <c r="D599"/>
  <c r="E411" s="1"/>
  <c r="F111" i="6"/>
  <c r="C140"/>
  <c r="D111" s="1"/>
  <c r="H13997" i="8" l="1"/>
  <c r="J13981"/>
  <c r="J13997" s="1"/>
  <c r="D32" i="6"/>
  <c r="D93"/>
  <c r="C141"/>
  <c r="D76"/>
  <c r="D11"/>
  <c r="D104"/>
  <c r="D109"/>
  <c r="D70"/>
  <c r="D140"/>
  <c r="D100"/>
  <c r="D132"/>
  <c r="D103"/>
  <c r="D131"/>
  <c r="D63"/>
  <c r="D99"/>
  <c r="D95"/>
  <c r="D41"/>
  <c r="D83"/>
  <c r="D82"/>
  <c r="D47"/>
  <c r="D25"/>
  <c r="D139"/>
  <c r="D66"/>
  <c r="D33"/>
  <c r="D105"/>
  <c r="D97"/>
  <c r="D31"/>
  <c r="D117"/>
  <c r="D8"/>
  <c r="F140"/>
  <c r="D127"/>
  <c r="D135"/>
  <c r="D9"/>
  <c r="D85"/>
  <c r="D18"/>
  <c r="D81"/>
  <c r="D59"/>
  <c r="D26"/>
  <c r="D115"/>
  <c r="D28"/>
  <c r="D51"/>
  <c r="D92"/>
  <c r="D38"/>
  <c r="D125"/>
  <c r="D48"/>
  <c r="D113"/>
  <c r="D80"/>
  <c r="D106"/>
  <c r="D42"/>
  <c r="D49"/>
  <c r="D67"/>
  <c r="D64"/>
  <c r="D91"/>
  <c r="D17"/>
  <c r="D108"/>
  <c r="D57"/>
  <c r="D10"/>
  <c r="D58"/>
  <c r="D21"/>
  <c r="D15"/>
  <c r="D119"/>
  <c r="D6"/>
  <c r="D72"/>
  <c r="D71"/>
  <c r="D98"/>
  <c r="D46"/>
  <c r="D37"/>
  <c r="D36"/>
  <c r="D130"/>
  <c r="D122"/>
  <c r="D52"/>
  <c r="D75"/>
  <c r="D101"/>
  <c r="D56"/>
  <c r="D60"/>
  <c r="D29"/>
  <c r="D73"/>
  <c r="D27"/>
  <c r="D12"/>
  <c r="D107"/>
  <c r="D112"/>
  <c r="D45"/>
  <c r="D34"/>
  <c r="D134"/>
  <c r="D65"/>
  <c r="D62"/>
  <c r="D78"/>
  <c r="D74"/>
  <c r="D102"/>
  <c r="D22"/>
  <c r="D128"/>
  <c r="D13"/>
  <c r="D96"/>
  <c r="D39"/>
  <c r="D129"/>
  <c r="D69"/>
  <c r="D114"/>
  <c r="D50"/>
  <c r="D40"/>
  <c r="D77"/>
  <c r="D24"/>
  <c r="D121"/>
  <c r="D68"/>
  <c r="D138"/>
  <c r="D61"/>
  <c r="D136"/>
  <c r="D84"/>
  <c r="D19"/>
  <c r="D126"/>
  <c r="D89"/>
  <c r="D30"/>
  <c r="D20"/>
  <c r="D16"/>
  <c r="D54"/>
  <c r="D123"/>
  <c r="D90"/>
  <c r="D94"/>
  <c r="D44"/>
  <c r="D137"/>
  <c r="D87"/>
  <c r="D110"/>
  <c r="D133"/>
  <c r="D53"/>
  <c r="D124"/>
  <c r="D23"/>
  <c r="D55"/>
  <c r="D7"/>
  <c r="D79"/>
  <c r="D118"/>
  <c r="D120"/>
  <c r="D43"/>
  <c r="D88"/>
  <c r="D116"/>
  <c r="D35"/>
  <c r="D14"/>
  <c r="D86"/>
  <c r="D5"/>
  <c r="E529" i="7"/>
  <c r="E156"/>
  <c r="E167"/>
  <c r="E12"/>
  <c r="E371"/>
  <c r="E266"/>
  <c r="E233"/>
  <c r="E62"/>
  <c r="E473"/>
  <c r="E562"/>
  <c r="E25"/>
  <c r="E168"/>
  <c r="E197"/>
  <c r="E419"/>
  <c r="E594"/>
  <c r="E101"/>
  <c r="E30"/>
  <c r="E183"/>
  <c r="E372"/>
  <c r="E519"/>
  <c r="E94"/>
  <c r="E154"/>
  <c r="E432"/>
  <c r="E355"/>
  <c r="E250"/>
  <c r="E369"/>
  <c r="E198"/>
  <c r="E523"/>
  <c r="E275"/>
  <c r="E418"/>
  <c r="E470"/>
  <c r="E354"/>
  <c r="E486"/>
  <c r="E370"/>
  <c r="E381"/>
  <c r="E260"/>
  <c r="E572"/>
  <c r="E52"/>
  <c r="E29"/>
  <c r="E112"/>
  <c r="E172"/>
  <c r="E329"/>
  <c r="E526"/>
  <c r="E324"/>
  <c r="E423"/>
  <c r="E525"/>
  <c r="E428"/>
  <c r="E199"/>
  <c r="E399"/>
  <c r="E575"/>
  <c r="E264"/>
  <c r="E404"/>
  <c r="E592"/>
  <c r="E414"/>
  <c r="E41"/>
  <c r="E175"/>
  <c r="E412"/>
  <c r="E88"/>
  <c r="E73"/>
  <c r="E54"/>
  <c r="E22"/>
  <c r="E127"/>
  <c r="E105"/>
  <c r="E136"/>
  <c r="E161"/>
  <c r="E202"/>
  <c r="E394"/>
  <c r="E590"/>
  <c r="E241"/>
  <c r="E257"/>
  <c r="E342"/>
  <c r="E459"/>
  <c r="E500"/>
  <c r="E565"/>
  <c r="E214"/>
  <c r="E345"/>
  <c r="E145"/>
  <c r="E119"/>
  <c r="E492"/>
  <c r="E144"/>
  <c r="E234"/>
  <c r="E67"/>
  <c r="E108"/>
  <c r="E505"/>
  <c r="E589"/>
  <c r="E400"/>
  <c r="E81"/>
  <c r="E320"/>
  <c r="E39"/>
  <c r="E64"/>
  <c r="E139"/>
  <c r="E217"/>
  <c r="E541"/>
  <c r="E445"/>
  <c r="E318"/>
  <c r="E522"/>
  <c r="E429"/>
  <c r="E212"/>
  <c r="E540"/>
  <c r="E450"/>
  <c r="E571"/>
  <c r="E503"/>
  <c r="E69"/>
  <c r="E48"/>
  <c r="E132"/>
  <c r="E440"/>
  <c r="E269"/>
  <c r="E455"/>
  <c r="E254"/>
  <c r="E185"/>
  <c r="E373"/>
  <c r="E559"/>
  <c r="E323"/>
  <c r="E475"/>
  <c r="E9"/>
  <c r="E103"/>
  <c r="E347"/>
  <c r="E91"/>
  <c r="E56"/>
  <c r="E70"/>
  <c r="E27"/>
  <c r="E116"/>
  <c r="E152"/>
  <c r="E159"/>
  <c r="E337"/>
  <c r="E489"/>
  <c r="E225"/>
  <c r="E283"/>
  <c r="E393"/>
  <c r="E484"/>
  <c r="E533"/>
  <c r="E325"/>
  <c r="E509"/>
  <c r="E189"/>
  <c r="E267"/>
  <c r="E326"/>
  <c r="E387"/>
  <c r="E510"/>
  <c r="E579"/>
  <c r="E186"/>
  <c r="E268"/>
  <c r="E327"/>
  <c r="E392"/>
  <c r="E511"/>
  <c r="E580"/>
  <c r="E179"/>
  <c r="E49"/>
  <c r="E102"/>
  <c r="E280"/>
  <c r="E33"/>
  <c r="E87"/>
  <c r="E53"/>
  <c r="E23"/>
  <c r="E133"/>
  <c r="E170"/>
  <c r="E390"/>
  <c r="E221"/>
  <c r="E359"/>
  <c r="E480"/>
  <c r="E206"/>
  <c r="E570"/>
  <c r="E293"/>
  <c r="E433"/>
  <c r="E543"/>
  <c r="E310"/>
  <c r="E438"/>
  <c r="E544"/>
  <c r="E42"/>
  <c r="E157"/>
  <c r="E92"/>
  <c r="E77"/>
  <c r="E58"/>
  <c r="E26"/>
  <c r="E106"/>
  <c r="E109"/>
  <c r="E140"/>
  <c r="E165"/>
  <c r="E210"/>
  <c r="E402"/>
  <c r="E598"/>
  <c r="E245"/>
  <c r="E261"/>
  <c r="E316"/>
  <c r="E463"/>
  <c r="E504"/>
  <c r="E569"/>
  <c r="E222"/>
  <c r="E364"/>
  <c r="E485"/>
  <c r="E243"/>
  <c r="E255"/>
  <c r="E314"/>
  <c r="E457"/>
  <c r="E498"/>
  <c r="E567"/>
  <c r="E240"/>
  <c r="E256"/>
  <c r="E315"/>
  <c r="E462"/>
  <c r="E499"/>
  <c r="E568"/>
  <c r="E349"/>
  <c r="E43"/>
  <c r="E149"/>
  <c r="E278"/>
  <c r="E353"/>
  <c r="E218"/>
  <c r="E35"/>
  <c r="E126"/>
  <c r="E201"/>
  <c r="E341"/>
  <c r="E508"/>
  <c r="E98"/>
  <c r="E124"/>
  <c r="E291"/>
  <c r="E211"/>
  <c r="E259"/>
  <c r="E334"/>
  <c r="E588"/>
  <c r="E471"/>
  <c r="E487"/>
  <c r="E319"/>
  <c r="E55"/>
  <c r="E123"/>
  <c r="E188"/>
  <c r="E237"/>
  <c r="E496"/>
  <c r="E352"/>
  <c r="E338"/>
  <c r="E527"/>
  <c r="E454"/>
  <c r="E281"/>
  <c r="E129"/>
  <c r="E155"/>
  <c r="E72"/>
  <c r="E24"/>
  <c r="E118"/>
  <c r="E146"/>
  <c r="E158"/>
  <c r="E448"/>
  <c r="E191"/>
  <c r="E328"/>
  <c r="E427"/>
  <c r="E549"/>
  <c r="E356"/>
  <c r="E578"/>
  <c r="E203"/>
  <c r="E377"/>
  <c r="E437"/>
  <c r="E595"/>
  <c r="E236"/>
  <c r="E298"/>
  <c r="E408"/>
  <c r="E495"/>
  <c r="E548"/>
  <c r="E8"/>
  <c r="E130"/>
  <c r="E465"/>
  <c r="E464"/>
  <c r="E66"/>
  <c r="E107"/>
  <c r="E173"/>
  <c r="E481"/>
  <c r="E253"/>
  <c r="E512"/>
  <c r="E317"/>
  <c r="E231"/>
  <c r="E383"/>
  <c r="E182"/>
  <c r="E358"/>
  <c r="E576"/>
  <c r="E38"/>
  <c r="E196"/>
  <c r="E247"/>
  <c r="E76"/>
  <c r="E90"/>
  <c r="E21"/>
  <c r="E115"/>
  <c r="E150"/>
  <c r="E164"/>
  <c r="E258"/>
  <c r="E424"/>
  <c r="E239"/>
  <c r="E65"/>
  <c r="E451"/>
  <c r="E307"/>
  <c r="E96"/>
  <c r="E385"/>
  <c r="E97"/>
  <c r="E246"/>
  <c r="E401"/>
  <c r="E47"/>
  <c r="E169"/>
  <c r="E289"/>
  <c r="E16"/>
  <c r="E292"/>
  <c r="E476"/>
  <c r="E335"/>
  <c r="E524"/>
  <c r="E587"/>
  <c r="E290"/>
  <c r="E228"/>
  <c r="E502"/>
  <c r="E249"/>
  <c r="E13"/>
  <c r="E142"/>
  <c r="E513"/>
  <c r="E375"/>
  <c r="E561"/>
  <c r="E215"/>
  <c r="E506"/>
  <c r="E294"/>
  <c r="E560"/>
  <c r="E45"/>
  <c r="E248"/>
  <c r="E75"/>
  <c r="E57"/>
  <c r="E17"/>
  <c r="E121"/>
  <c r="E131"/>
  <c r="E308"/>
  <c r="E558"/>
  <c r="E273"/>
  <c r="E409"/>
  <c r="E597"/>
  <c r="E262"/>
  <c r="E436"/>
  <c r="E235"/>
  <c r="E297"/>
  <c r="E403"/>
  <c r="E494"/>
  <c r="E547"/>
  <c r="E204"/>
  <c r="E378"/>
  <c r="E442"/>
  <c r="E596"/>
  <c r="E313"/>
  <c r="E40"/>
  <c r="E68"/>
  <c r="E11"/>
  <c r="E148"/>
  <c r="E300"/>
  <c r="E187"/>
  <c r="E389"/>
  <c r="E545"/>
  <c r="E501"/>
  <c r="E322"/>
  <c r="E490"/>
  <c r="E200"/>
  <c r="E507"/>
  <c r="E51"/>
  <c r="E100"/>
  <c r="E599"/>
  <c r="E79"/>
  <c r="E93"/>
  <c r="E28"/>
  <c r="E15"/>
  <c r="E125"/>
  <c r="E151"/>
  <c r="E162"/>
  <c r="E376"/>
  <c r="E566"/>
  <c r="E213"/>
  <c r="E382"/>
  <c r="E110"/>
  <c r="E78"/>
  <c r="E521"/>
  <c r="E410"/>
  <c r="E19"/>
  <c r="E452"/>
  <c r="E420"/>
  <c r="E434"/>
  <c r="E244"/>
  <c r="E18"/>
  <c r="E582"/>
  <c r="E288"/>
  <c r="E474"/>
  <c r="E528"/>
  <c r="E6"/>
  <c r="E86"/>
  <c r="E137"/>
  <c r="E368"/>
  <c r="E299"/>
  <c r="E581"/>
  <c r="E477"/>
  <c r="E312"/>
  <c r="E478"/>
  <c r="E252"/>
  <c r="E426"/>
  <c r="E468"/>
  <c r="E346"/>
  <c r="E85"/>
  <c r="E143"/>
  <c r="E205"/>
  <c r="E242"/>
  <c r="E357"/>
  <c r="E339"/>
  <c r="E46"/>
  <c r="E128"/>
  <c r="E61"/>
  <c r="E122"/>
  <c r="E135"/>
  <c r="E456"/>
  <c r="E277"/>
  <c r="E367"/>
  <c r="E431"/>
  <c r="E585"/>
  <c r="E270"/>
  <c r="E444"/>
  <c r="E193"/>
  <c r="E301"/>
  <c r="E407"/>
  <c r="E514"/>
  <c r="E551"/>
  <c r="E208"/>
  <c r="E331"/>
  <c r="E446"/>
  <c r="E467"/>
  <c r="E520"/>
  <c r="D600"/>
  <c r="E84"/>
  <c r="E134"/>
  <c r="E332"/>
  <c r="E472"/>
  <c r="E398"/>
  <c r="E550"/>
  <c r="E365"/>
  <c r="E583"/>
  <c r="E32"/>
  <c r="E80"/>
  <c r="E265"/>
  <c r="E138"/>
  <c r="E305"/>
  <c r="E573"/>
  <c r="E166"/>
  <c r="E413"/>
  <c r="E395"/>
  <c r="E555"/>
  <c r="E384"/>
  <c r="E153"/>
  <c r="E295"/>
  <c r="E469"/>
  <c r="E216"/>
  <c r="E50"/>
  <c r="E279"/>
  <c r="E10"/>
  <c r="E147"/>
  <c r="E416"/>
  <c r="E363"/>
  <c r="E184"/>
  <c r="E542"/>
  <c r="E361"/>
  <c r="E563"/>
  <c r="E282"/>
  <c r="E479"/>
  <c r="E44"/>
  <c r="G599"/>
  <c r="E20"/>
  <c r="E226"/>
  <c r="E340"/>
  <c r="E460"/>
  <c r="E417"/>
  <c r="E388"/>
  <c r="E99"/>
  <c r="E95"/>
  <c r="E74"/>
  <c r="E120"/>
  <c r="E163"/>
  <c r="E497"/>
  <c r="E303"/>
  <c r="E351"/>
  <c r="E415"/>
  <c r="E553"/>
  <c r="E304"/>
  <c r="E517"/>
  <c r="E223"/>
  <c r="E285"/>
  <c r="E391"/>
  <c r="E482"/>
  <c r="E535"/>
  <c r="E272"/>
  <c r="E366"/>
  <c r="E430"/>
  <c r="E584"/>
  <c r="E574"/>
  <c r="E557"/>
  <c r="E34"/>
  <c r="E321"/>
  <c r="E344"/>
  <c r="E180"/>
  <c r="E546"/>
  <c r="E493"/>
  <c r="E276"/>
  <c r="E306"/>
  <c r="E71"/>
  <c r="E171"/>
  <c r="E405"/>
  <c r="E309"/>
  <c r="E374"/>
  <c r="E37"/>
  <c r="E59"/>
  <c r="E104"/>
  <c r="E160"/>
  <c r="E530"/>
  <c r="E443"/>
  <c r="E296"/>
  <c r="E219"/>
  <c r="E453"/>
  <c r="E531"/>
  <c r="E362"/>
  <c r="E564"/>
  <c r="E36"/>
  <c r="E311"/>
  <c r="E114"/>
  <c r="E360"/>
  <c r="E439"/>
  <c r="E534"/>
  <c r="E591"/>
  <c r="E491"/>
  <c r="E178"/>
  <c r="E63"/>
  <c r="E14"/>
  <c r="E141"/>
  <c r="E238"/>
  <c r="E538"/>
  <c r="E287"/>
  <c r="E397"/>
  <c r="E488"/>
  <c r="E537"/>
  <c r="E333"/>
  <c r="E586"/>
  <c r="E207"/>
  <c r="E330"/>
  <c r="E441"/>
  <c r="E466"/>
  <c r="E190"/>
  <c r="E302"/>
  <c r="E350"/>
  <c r="E515"/>
  <c r="E552"/>
  <c r="E406"/>
  <c r="E227"/>
  <c r="E195"/>
  <c r="E336"/>
  <c r="E113"/>
  <c r="E83"/>
  <c r="E435"/>
  <c r="E461"/>
  <c r="E539"/>
  <c r="E556"/>
  <c r="E82"/>
  <c r="E274"/>
  <c r="E593"/>
  <c r="E449"/>
  <c r="E422"/>
  <c r="E177"/>
  <c r="E89"/>
  <c r="E111"/>
  <c r="E230"/>
  <c r="E209"/>
  <c r="E516"/>
  <c r="E386"/>
  <c r="E251"/>
  <c r="E421"/>
  <c r="E220"/>
  <c r="E458"/>
  <c r="E532"/>
  <c r="E181"/>
  <c r="E117"/>
  <c r="E554"/>
  <c r="E263"/>
  <c r="E232"/>
  <c r="E7"/>
  <c r="E348"/>
  <c r="E60"/>
  <c r="E31"/>
  <c r="E284"/>
  <c r="E229"/>
  <c r="E447"/>
  <c r="E192"/>
  <c r="E271"/>
  <c r="E425"/>
  <c r="E224"/>
  <c r="E577"/>
  <c r="E536"/>
  <c r="E286"/>
  <c r="E396"/>
  <c r="E483"/>
  <c r="E194"/>
  <c r="E174"/>
  <c r="E176"/>
  <c r="E380"/>
  <c r="E518"/>
  <c r="E379"/>
  <c r="E343"/>
</calcChain>
</file>

<file path=xl/comments1.xml><?xml version="1.0" encoding="utf-8"?>
<comments xmlns="http://schemas.openxmlformats.org/spreadsheetml/2006/main">
  <authors>
    <author>LPA</author>
    <author/>
  </authors>
  <commentList>
    <comment ref="C62" authorId="0">
      <text>
        <r>
          <rPr>
            <b/>
            <sz val="9"/>
            <color indexed="81"/>
            <rFont val="Tahoma"/>
            <family val="2"/>
          </rPr>
          <t>LPA:</t>
        </r>
        <r>
          <rPr>
            <sz val="9"/>
            <color indexed="81"/>
            <rFont val="Tahoma"/>
            <family val="2"/>
          </rPr>
          <t xml:space="preserve">
ukinuto?</t>
        </r>
      </text>
    </comment>
    <comment ref="C72" authorId="1">
      <text>
        <r>
          <rPr>
            <b/>
            <sz val="8"/>
            <color indexed="8"/>
            <rFont val="Tahoma"/>
            <family val="2"/>
            <charset val="204"/>
          </rPr>
          <t xml:space="preserve">lpa:
</t>
        </r>
        <r>
          <rPr>
            <sz val="8"/>
            <color indexed="8"/>
            <rFont val="Tahoma"/>
            <family val="2"/>
            <charset val="204"/>
          </rPr>
          <t>50% se koristi za održavanje saobraćajne signalizacije ( Zakon o bezbednosti saobraćaja na putevima)</t>
        </r>
      </text>
    </comment>
  </commentList>
</comments>
</file>

<file path=xl/comments2.xml><?xml version="1.0" encoding="utf-8"?>
<comments xmlns="http://schemas.openxmlformats.org/spreadsheetml/2006/main">
  <authors>
    <author>LPA</author>
  </authors>
  <commentList>
    <comment ref="I75" authorId="0">
      <text>
        <r>
          <rPr>
            <b/>
            <sz val="9"/>
            <color indexed="81"/>
            <rFont val="Tahoma"/>
            <family val="2"/>
          </rPr>
          <t>LPA:</t>
        </r>
        <r>
          <rPr>
            <sz val="9"/>
            <color indexed="81"/>
            <rFont val="Tahoma"/>
            <family val="2"/>
          </rPr>
          <t xml:space="preserve">
проверити збир!
</t>
        </r>
      </text>
    </comment>
    <comment ref="I76" authorId="0">
      <text>
        <r>
          <rPr>
            <b/>
            <sz val="9"/>
            <color indexed="81"/>
            <rFont val="Tahoma"/>
            <family val="2"/>
          </rPr>
          <t>LPA:</t>
        </r>
        <r>
          <rPr>
            <sz val="9"/>
            <color indexed="81"/>
            <rFont val="Tahoma"/>
            <family val="2"/>
          </rPr>
          <t xml:space="preserve">
проверити збир!
</t>
        </r>
      </text>
    </comment>
    <comment ref="I77" authorId="0">
      <text>
        <r>
          <rPr>
            <b/>
            <sz val="9"/>
            <color indexed="81"/>
            <rFont val="Tahoma"/>
            <family val="2"/>
          </rPr>
          <t>LPA:</t>
        </r>
        <r>
          <rPr>
            <sz val="9"/>
            <color indexed="81"/>
            <rFont val="Tahoma"/>
            <family val="2"/>
          </rPr>
          <t xml:space="preserve">
проверити збир!
</t>
        </r>
      </text>
    </comment>
    <comment ref="I78" authorId="0">
      <text>
        <r>
          <rPr>
            <b/>
            <sz val="9"/>
            <color indexed="81"/>
            <rFont val="Tahoma"/>
            <family val="2"/>
          </rPr>
          <t>LPA:</t>
        </r>
        <r>
          <rPr>
            <sz val="9"/>
            <color indexed="81"/>
            <rFont val="Tahoma"/>
            <family val="2"/>
          </rPr>
          <t xml:space="preserve">
проверити збир!
</t>
        </r>
      </text>
    </comment>
    <comment ref="I79" authorId="0">
      <text>
        <r>
          <rPr>
            <b/>
            <sz val="9"/>
            <color indexed="81"/>
            <rFont val="Tahoma"/>
            <family val="2"/>
          </rPr>
          <t>LPA:</t>
        </r>
        <r>
          <rPr>
            <sz val="9"/>
            <color indexed="81"/>
            <rFont val="Tahoma"/>
            <family val="2"/>
          </rPr>
          <t xml:space="preserve">
проверити збир!
</t>
        </r>
      </text>
    </comment>
    <comment ref="I80" authorId="0">
      <text>
        <r>
          <rPr>
            <b/>
            <sz val="9"/>
            <color indexed="81"/>
            <rFont val="Tahoma"/>
            <family val="2"/>
          </rPr>
          <t>LPA:</t>
        </r>
        <r>
          <rPr>
            <sz val="9"/>
            <color indexed="81"/>
            <rFont val="Tahoma"/>
            <family val="2"/>
          </rPr>
          <t xml:space="preserve">
проверити збир!
</t>
        </r>
      </text>
    </comment>
    <comment ref="I81" authorId="0">
      <text>
        <r>
          <rPr>
            <b/>
            <sz val="9"/>
            <color indexed="81"/>
            <rFont val="Tahoma"/>
            <family val="2"/>
          </rPr>
          <t>LPA:</t>
        </r>
        <r>
          <rPr>
            <sz val="9"/>
            <color indexed="81"/>
            <rFont val="Tahoma"/>
            <family val="2"/>
          </rPr>
          <t xml:space="preserve">
проверити збир!
</t>
        </r>
      </text>
    </comment>
    <comment ref="I82" authorId="0">
      <text>
        <r>
          <rPr>
            <b/>
            <sz val="9"/>
            <color indexed="81"/>
            <rFont val="Tahoma"/>
            <family val="2"/>
          </rPr>
          <t>LPA:</t>
        </r>
        <r>
          <rPr>
            <sz val="9"/>
            <color indexed="81"/>
            <rFont val="Tahoma"/>
            <family val="2"/>
          </rPr>
          <t xml:space="preserve">
проверити збир!
</t>
        </r>
      </text>
    </comment>
    <comment ref="I83" authorId="0">
      <text>
        <r>
          <rPr>
            <b/>
            <sz val="9"/>
            <color indexed="81"/>
            <rFont val="Tahoma"/>
            <family val="2"/>
          </rPr>
          <t>LPA:</t>
        </r>
        <r>
          <rPr>
            <sz val="9"/>
            <color indexed="81"/>
            <rFont val="Tahoma"/>
            <family val="2"/>
          </rPr>
          <t xml:space="preserve">
проверити збир!
</t>
        </r>
      </text>
    </comment>
    <comment ref="I84" authorId="0">
      <text>
        <r>
          <rPr>
            <b/>
            <sz val="9"/>
            <color indexed="81"/>
            <rFont val="Tahoma"/>
            <family val="2"/>
          </rPr>
          <t>LPA:</t>
        </r>
        <r>
          <rPr>
            <sz val="9"/>
            <color indexed="81"/>
            <rFont val="Tahoma"/>
            <family val="2"/>
          </rPr>
          <t xml:space="preserve">
проверити збир!
</t>
        </r>
      </text>
    </comment>
    <comment ref="I85" authorId="0">
      <text>
        <r>
          <rPr>
            <b/>
            <sz val="9"/>
            <color indexed="81"/>
            <rFont val="Tahoma"/>
            <family val="2"/>
          </rPr>
          <t>LPA:</t>
        </r>
        <r>
          <rPr>
            <sz val="9"/>
            <color indexed="81"/>
            <rFont val="Tahoma"/>
            <family val="2"/>
          </rPr>
          <t xml:space="preserve">
проверити збир!
</t>
        </r>
      </text>
    </comment>
    <comment ref="I86" authorId="0">
      <text>
        <r>
          <rPr>
            <b/>
            <sz val="9"/>
            <color indexed="81"/>
            <rFont val="Tahoma"/>
            <family val="2"/>
          </rPr>
          <t>LPA:</t>
        </r>
        <r>
          <rPr>
            <sz val="9"/>
            <color indexed="81"/>
            <rFont val="Tahoma"/>
            <family val="2"/>
          </rPr>
          <t xml:space="preserve">
проверити збир!
</t>
        </r>
      </text>
    </comment>
    <comment ref="I87" authorId="0">
      <text>
        <r>
          <rPr>
            <b/>
            <sz val="9"/>
            <color indexed="81"/>
            <rFont val="Tahoma"/>
            <family val="2"/>
          </rPr>
          <t>LPA:</t>
        </r>
        <r>
          <rPr>
            <sz val="9"/>
            <color indexed="81"/>
            <rFont val="Tahoma"/>
            <family val="2"/>
          </rPr>
          <t xml:space="preserve">
проверити збир!
</t>
        </r>
      </text>
    </comment>
    <comment ref="H90" authorId="0">
      <text>
        <r>
          <rPr>
            <b/>
            <sz val="9"/>
            <color indexed="81"/>
            <rFont val="Tahoma"/>
            <family val="2"/>
          </rPr>
          <t>LPA:</t>
        </r>
        <r>
          <rPr>
            <sz val="9"/>
            <color indexed="81"/>
            <rFont val="Tahoma"/>
            <family val="2"/>
          </rPr>
          <t xml:space="preserve">
проверити збир!</t>
        </r>
      </text>
    </comment>
    <comment ref="I90" authorId="0">
      <text>
        <r>
          <rPr>
            <b/>
            <sz val="9"/>
            <color indexed="81"/>
            <rFont val="Tahoma"/>
            <family val="2"/>
          </rPr>
          <t>LPA:</t>
        </r>
        <r>
          <rPr>
            <sz val="9"/>
            <color indexed="81"/>
            <rFont val="Tahoma"/>
            <family val="2"/>
          </rPr>
          <t xml:space="preserve">
проверити збир!</t>
        </r>
      </text>
    </comment>
    <comment ref="I91" authorId="0">
      <text>
        <r>
          <rPr>
            <b/>
            <sz val="9"/>
            <color indexed="81"/>
            <rFont val="Tahoma"/>
            <family val="2"/>
          </rPr>
          <t>LPA:</t>
        </r>
        <r>
          <rPr>
            <sz val="9"/>
            <color indexed="81"/>
            <rFont val="Tahoma"/>
            <family val="2"/>
          </rPr>
          <t xml:space="preserve">
проверити збир!
</t>
        </r>
      </text>
    </comment>
    <comment ref="I92" authorId="0">
      <text>
        <r>
          <rPr>
            <b/>
            <sz val="9"/>
            <color indexed="81"/>
            <rFont val="Tahoma"/>
            <family val="2"/>
          </rPr>
          <t>LPA:</t>
        </r>
        <r>
          <rPr>
            <sz val="9"/>
            <color indexed="81"/>
            <rFont val="Tahoma"/>
            <family val="2"/>
          </rPr>
          <t xml:space="preserve">
проверити збир!
</t>
        </r>
      </text>
    </comment>
    <comment ref="I93" authorId="0">
      <text>
        <r>
          <rPr>
            <b/>
            <sz val="9"/>
            <color indexed="81"/>
            <rFont val="Tahoma"/>
            <family val="2"/>
          </rPr>
          <t>LPA:</t>
        </r>
        <r>
          <rPr>
            <sz val="9"/>
            <color indexed="81"/>
            <rFont val="Tahoma"/>
            <family val="2"/>
          </rPr>
          <t xml:space="preserve">
проверити збир!
</t>
        </r>
      </text>
    </comment>
    <comment ref="I94" authorId="0">
      <text>
        <r>
          <rPr>
            <b/>
            <sz val="9"/>
            <color indexed="81"/>
            <rFont val="Tahoma"/>
            <family val="2"/>
          </rPr>
          <t>LPA:</t>
        </r>
        <r>
          <rPr>
            <sz val="9"/>
            <color indexed="81"/>
            <rFont val="Tahoma"/>
            <family val="2"/>
          </rPr>
          <t xml:space="preserve">
проверити збир!
</t>
        </r>
      </text>
    </comment>
    <comment ref="I95" authorId="0">
      <text>
        <r>
          <rPr>
            <b/>
            <sz val="9"/>
            <color indexed="81"/>
            <rFont val="Tahoma"/>
            <family val="2"/>
          </rPr>
          <t>LPA:</t>
        </r>
        <r>
          <rPr>
            <sz val="9"/>
            <color indexed="81"/>
            <rFont val="Tahoma"/>
            <family val="2"/>
          </rPr>
          <t xml:space="preserve">
проверити збир!
</t>
        </r>
      </text>
    </comment>
    <comment ref="I96" authorId="0">
      <text>
        <r>
          <rPr>
            <b/>
            <sz val="9"/>
            <color indexed="81"/>
            <rFont val="Tahoma"/>
            <family val="2"/>
          </rPr>
          <t>LPA:</t>
        </r>
        <r>
          <rPr>
            <sz val="9"/>
            <color indexed="81"/>
            <rFont val="Tahoma"/>
            <family val="2"/>
          </rPr>
          <t xml:space="preserve">
проверити збир!
</t>
        </r>
      </text>
    </comment>
    <comment ref="I97" authorId="0">
      <text>
        <r>
          <rPr>
            <b/>
            <sz val="9"/>
            <color indexed="81"/>
            <rFont val="Tahoma"/>
            <family val="2"/>
          </rPr>
          <t>LPA:</t>
        </r>
        <r>
          <rPr>
            <sz val="9"/>
            <color indexed="81"/>
            <rFont val="Tahoma"/>
            <family val="2"/>
          </rPr>
          <t xml:space="preserve">
проверити збир!
</t>
        </r>
      </text>
    </comment>
    <comment ref="I98" authorId="0">
      <text>
        <r>
          <rPr>
            <b/>
            <sz val="9"/>
            <color indexed="81"/>
            <rFont val="Tahoma"/>
            <family val="2"/>
          </rPr>
          <t>LPA:</t>
        </r>
        <r>
          <rPr>
            <sz val="9"/>
            <color indexed="81"/>
            <rFont val="Tahoma"/>
            <family val="2"/>
          </rPr>
          <t xml:space="preserve">
проверити збир!
</t>
        </r>
      </text>
    </comment>
    <comment ref="I99" authorId="0">
      <text>
        <r>
          <rPr>
            <b/>
            <sz val="9"/>
            <color indexed="81"/>
            <rFont val="Tahoma"/>
            <family val="2"/>
          </rPr>
          <t>LPA:</t>
        </r>
        <r>
          <rPr>
            <sz val="9"/>
            <color indexed="81"/>
            <rFont val="Tahoma"/>
            <family val="2"/>
          </rPr>
          <t xml:space="preserve">
проверити збир!
</t>
        </r>
      </text>
    </comment>
    <comment ref="I100" authorId="0">
      <text>
        <r>
          <rPr>
            <b/>
            <sz val="9"/>
            <color indexed="81"/>
            <rFont val="Tahoma"/>
            <family val="2"/>
          </rPr>
          <t>LPA:</t>
        </r>
        <r>
          <rPr>
            <sz val="9"/>
            <color indexed="81"/>
            <rFont val="Tahoma"/>
            <family val="2"/>
          </rPr>
          <t xml:space="preserve">
проверити збир!
</t>
        </r>
      </text>
    </comment>
    <comment ref="I101" authorId="0">
      <text>
        <r>
          <rPr>
            <b/>
            <sz val="9"/>
            <color indexed="81"/>
            <rFont val="Tahoma"/>
            <family val="2"/>
          </rPr>
          <t>LPA:</t>
        </r>
        <r>
          <rPr>
            <sz val="9"/>
            <color indexed="81"/>
            <rFont val="Tahoma"/>
            <family val="2"/>
          </rPr>
          <t xml:space="preserve">
проверити збир!
</t>
        </r>
      </text>
    </comment>
    <comment ref="I102" authorId="0">
      <text>
        <r>
          <rPr>
            <b/>
            <sz val="9"/>
            <color indexed="81"/>
            <rFont val="Tahoma"/>
            <family val="2"/>
          </rPr>
          <t>LPA:</t>
        </r>
        <r>
          <rPr>
            <sz val="9"/>
            <color indexed="81"/>
            <rFont val="Tahoma"/>
            <family val="2"/>
          </rPr>
          <t xml:space="preserve">
проверити збир!
</t>
        </r>
      </text>
    </comment>
    <comment ref="I103" authorId="0">
      <text>
        <r>
          <rPr>
            <b/>
            <sz val="9"/>
            <color indexed="81"/>
            <rFont val="Tahoma"/>
            <family val="2"/>
          </rPr>
          <t>LPA:</t>
        </r>
        <r>
          <rPr>
            <sz val="9"/>
            <color indexed="81"/>
            <rFont val="Tahoma"/>
            <family val="2"/>
          </rPr>
          <t xml:space="preserve">
проверити збир!
</t>
        </r>
      </text>
    </comment>
    <comment ref="I104" authorId="0">
      <text>
        <r>
          <rPr>
            <b/>
            <sz val="9"/>
            <color indexed="81"/>
            <rFont val="Tahoma"/>
            <family val="2"/>
          </rPr>
          <t>LPA:</t>
        </r>
        <r>
          <rPr>
            <sz val="9"/>
            <color indexed="81"/>
            <rFont val="Tahoma"/>
            <family val="2"/>
          </rPr>
          <t xml:space="preserve">
проверити збир!
</t>
        </r>
      </text>
    </comment>
    <comment ref="I105" authorId="0">
      <text>
        <r>
          <rPr>
            <b/>
            <sz val="9"/>
            <color indexed="81"/>
            <rFont val="Tahoma"/>
            <family val="2"/>
          </rPr>
          <t>LPA:</t>
        </r>
        <r>
          <rPr>
            <sz val="9"/>
            <color indexed="81"/>
            <rFont val="Tahoma"/>
            <family val="2"/>
          </rPr>
          <t xml:space="preserve">
проверити збир!
</t>
        </r>
      </text>
    </comment>
    <comment ref="I174" authorId="0">
      <text>
        <r>
          <rPr>
            <b/>
            <sz val="9"/>
            <color indexed="81"/>
            <rFont val="Tahoma"/>
            <family val="2"/>
          </rPr>
          <t>LPA:</t>
        </r>
        <r>
          <rPr>
            <sz val="9"/>
            <color indexed="81"/>
            <rFont val="Tahoma"/>
            <family val="2"/>
          </rPr>
          <t xml:space="preserve">
проверити збир!
</t>
        </r>
      </text>
    </comment>
    <comment ref="I175" authorId="0">
      <text>
        <r>
          <rPr>
            <b/>
            <sz val="9"/>
            <color indexed="81"/>
            <rFont val="Tahoma"/>
            <family val="2"/>
          </rPr>
          <t>LPA:</t>
        </r>
        <r>
          <rPr>
            <sz val="9"/>
            <color indexed="81"/>
            <rFont val="Tahoma"/>
            <family val="2"/>
          </rPr>
          <t xml:space="preserve">
проверити збир!
</t>
        </r>
      </text>
    </comment>
    <comment ref="I176" authorId="0">
      <text>
        <r>
          <rPr>
            <b/>
            <sz val="9"/>
            <color indexed="81"/>
            <rFont val="Tahoma"/>
            <family val="2"/>
          </rPr>
          <t>LPA:</t>
        </r>
        <r>
          <rPr>
            <sz val="9"/>
            <color indexed="81"/>
            <rFont val="Tahoma"/>
            <family val="2"/>
          </rPr>
          <t xml:space="preserve">
проверити збир!
</t>
        </r>
      </text>
    </comment>
    <comment ref="I177" authorId="0">
      <text>
        <r>
          <rPr>
            <b/>
            <sz val="9"/>
            <color indexed="81"/>
            <rFont val="Tahoma"/>
            <family val="2"/>
          </rPr>
          <t>LPA:</t>
        </r>
        <r>
          <rPr>
            <sz val="9"/>
            <color indexed="81"/>
            <rFont val="Tahoma"/>
            <family val="2"/>
          </rPr>
          <t xml:space="preserve">
проверити збир!
</t>
        </r>
      </text>
    </comment>
    <comment ref="I178" authorId="0">
      <text>
        <r>
          <rPr>
            <b/>
            <sz val="9"/>
            <color indexed="81"/>
            <rFont val="Tahoma"/>
            <family val="2"/>
          </rPr>
          <t>LPA:</t>
        </r>
        <r>
          <rPr>
            <sz val="9"/>
            <color indexed="81"/>
            <rFont val="Tahoma"/>
            <family val="2"/>
          </rPr>
          <t xml:space="preserve">
проверити збир!
</t>
        </r>
      </text>
    </comment>
    <comment ref="I179" authorId="0">
      <text>
        <r>
          <rPr>
            <b/>
            <sz val="9"/>
            <color indexed="81"/>
            <rFont val="Tahoma"/>
            <family val="2"/>
          </rPr>
          <t>LPA:</t>
        </r>
        <r>
          <rPr>
            <sz val="9"/>
            <color indexed="81"/>
            <rFont val="Tahoma"/>
            <family val="2"/>
          </rPr>
          <t xml:space="preserve">
проверити збир!
</t>
        </r>
      </text>
    </comment>
    <comment ref="I180" authorId="0">
      <text>
        <r>
          <rPr>
            <b/>
            <sz val="9"/>
            <color indexed="81"/>
            <rFont val="Tahoma"/>
            <family val="2"/>
          </rPr>
          <t>LPA:</t>
        </r>
        <r>
          <rPr>
            <sz val="9"/>
            <color indexed="81"/>
            <rFont val="Tahoma"/>
            <family val="2"/>
          </rPr>
          <t xml:space="preserve">
проверити збир!
</t>
        </r>
      </text>
    </comment>
    <comment ref="I181" authorId="0">
      <text>
        <r>
          <rPr>
            <b/>
            <sz val="9"/>
            <color indexed="81"/>
            <rFont val="Tahoma"/>
            <family val="2"/>
          </rPr>
          <t>LPA:</t>
        </r>
        <r>
          <rPr>
            <sz val="9"/>
            <color indexed="81"/>
            <rFont val="Tahoma"/>
            <family val="2"/>
          </rPr>
          <t xml:space="preserve">
проверити збир!
</t>
        </r>
      </text>
    </comment>
    <comment ref="I182" authorId="0">
      <text>
        <r>
          <rPr>
            <b/>
            <sz val="9"/>
            <color indexed="81"/>
            <rFont val="Tahoma"/>
            <family val="2"/>
          </rPr>
          <t>LPA:</t>
        </r>
        <r>
          <rPr>
            <sz val="9"/>
            <color indexed="81"/>
            <rFont val="Tahoma"/>
            <family val="2"/>
          </rPr>
          <t xml:space="preserve">
проверити збир!
</t>
        </r>
      </text>
    </comment>
    <comment ref="I183" authorId="0">
      <text>
        <r>
          <rPr>
            <b/>
            <sz val="9"/>
            <color indexed="81"/>
            <rFont val="Tahoma"/>
            <family val="2"/>
          </rPr>
          <t>LPA:</t>
        </r>
        <r>
          <rPr>
            <sz val="9"/>
            <color indexed="81"/>
            <rFont val="Tahoma"/>
            <family val="2"/>
          </rPr>
          <t xml:space="preserve">
проверити збир!
</t>
        </r>
      </text>
    </comment>
    <comment ref="I184" authorId="0">
      <text>
        <r>
          <rPr>
            <b/>
            <sz val="9"/>
            <color indexed="81"/>
            <rFont val="Tahoma"/>
            <family val="2"/>
          </rPr>
          <t>LPA:</t>
        </r>
        <r>
          <rPr>
            <sz val="9"/>
            <color indexed="81"/>
            <rFont val="Tahoma"/>
            <family val="2"/>
          </rPr>
          <t xml:space="preserve">
проверити збир!
</t>
        </r>
      </text>
    </comment>
    <comment ref="I185" authorId="0">
      <text>
        <r>
          <rPr>
            <b/>
            <sz val="9"/>
            <color indexed="81"/>
            <rFont val="Tahoma"/>
            <family val="2"/>
          </rPr>
          <t>LPA:</t>
        </r>
        <r>
          <rPr>
            <sz val="9"/>
            <color indexed="81"/>
            <rFont val="Tahoma"/>
            <family val="2"/>
          </rPr>
          <t xml:space="preserve">
проверити збир!
</t>
        </r>
      </text>
    </comment>
    <comment ref="I186" authorId="0">
      <text>
        <r>
          <rPr>
            <b/>
            <sz val="9"/>
            <color indexed="81"/>
            <rFont val="Tahoma"/>
            <family val="2"/>
          </rPr>
          <t>LPA:</t>
        </r>
        <r>
          <rPr>
            <sz val="9"/>
            <color indexed="81"/>
            <rFont val="Tahoma"/>
            <family val="2"/>
          </rPr>
          <t xml:space="preserve">
проверити збир!
</t>
        </r>
      </text>
    </comment>
    <comment ref="H189" authorId="0">
      <text>
        <r>
          <rPr>
            <b/>
            <sz val="9"/>
            <color indexed="81"/>
            <rFont val="Tahoma"/>
            <family val="2"/>
          </rPr>
          <t>LPA:</t>
        </r>
        <r>
          <rPr>
            <sz val="9"/>
            <color indexed="81"/>
            <rFont val="Tahoma"/>
            <family val="2"/>
          </rPr>
          <t xml:space="preserve">
проверити збир!</t>
        </r>
      </text>
    </comment>
    <comment ref="I189" authorId="0">
      <text>
        <r>
          <rPr>
            <b/>
            <sz val="9"/>
            <color indexed="81"/>
            <rFont val="Tahoma"/>
            <family val="2"/>
          </rPr>
          <t>LPA:</t>
        </r>
        <r>
          <rPr>
            <sz val="9"/>
            <color indexed="81"/>
            <rFont val="Tahoma"/>
            <family val="2"/>
          </rPr>
          <t xml:space="preserve">
проверити збир!</t>
        </r>
      </text>
    </comment>
    <comment ref="I190" authorId="0">
      <text>
        <r>
          <rPr>
            <b/>
            <sz val="9"/>
            <color indexed="81"/>
            <rFont val="Tahoma"/>
            <family val="2"/>
          </rPr>
          <t>LPA:</t>
        </r>
        <r>
          <rPr>
            <sz val="9"/>
            <color indexed="81"/>
            <rFont val="Tahoma"/>
            <family val="2"/>
          </rPr>
          <t xml:space="preserve">
проверити збир!
</t>
        </r>
      </text>
    </comment>
    <comment ref="I191" authorId="0">
      <text>
        <r>
          <rPr>
            <b/>
            <sz val="9"/>
            <color indexed="81"/>
            <rFont val="Tahoma"/>
            <family val="2"/>
          </rPr>
          <t>LPA:</t>
        </r>
        <r>
          <rPr>
            <sz val="9"/>
            <color indexed="81"/>
            <rFont val="Tahoma"/>
            <family val="2"/>
          </rPr>
          <t xml:space="preserve">
проверити збир!
</t>
        </r>
      </text>
    </comment>
    <comment ref="I192" authorId="0">
      <text>
        <r>
          <rPr>
            <b/>
            <sz val="9"/>
            <color indexed="81"/>
            <rFont val="Tahoma"/>
            <family val="2"/>
          </rPr>
          <t>LPA:</t>
        </r>
        <r>
          <rPr>
            <sz val="9"/>
            <color indexed="81"/>
            <rFont val="Tahoma"/>
            <family val="2"/>
          </rPr>
          <t xml:space="preserve">
проверити збир!
</t>
        </r>
      </text>
    </comment>
    <comment ref="I193" authorId="0">
      <text>
        <r>
          <rPr>
            <b/>
            <sz val="9"/>
            <color indexed="81"/>
            <rFont val="Tahoma"/>
            <family val="2"/>
          </rPr>
          <t>LPA:</t>
        </r>
        <r>
          <rPr>
            <sz val="9"/>
            <color indexed="81"/>
            <rFont val="Tahoma"/>
            <family val="2"/>
          </rPr>
          <t xml:space="preserve">
проверити збир!
</t>
        </r>
      </text>
    </comment>
    <comment ref="I194" authorId="0">
      <text>
        <r>
          <rPr>
            <b/>
            <sz val="9"/>
            <color indexed="81"/>
            <rFont val="Tahoma"/>
            <family val="2"/>
          </rPr>
          <t>LPA:</t>
        </r>
        <r>
          <rPr>
            <sz val="9"/>
            <color indexed="81"/>
            <rFont val="Tahoma"/>
            <family val="2"/>
          </rPr>
          <t xml:space="preserve">
проверити збир!
</t>
        </r>
      </text>
    </comment>
    <comment ref="I195" authorId="0">
      <text>
        <r>
          <rPr>
            <b/>
            <sz val="9"/>
            <color indexed="81"/>
            <rFont val="Tahoma"/>
            <family val="2"/>
          </rPr>
          <t>LPA:</t>
        </r>
        <r>
          <rPr>
            <sz val="9"/>
            <color indexed="81"/>
            <rFont val="Tahoma"/>
            <family val="2"/>
          </rPr>
          <t xml:space="preserve">
проверити збир!
</t>
        </r>
      </text>
    </comment>
    <comment ref="I196" authorId="0">
      <text>
        <r>
          <rPr>
            <b/>
            <sz val="9"/>
            <color indexed="81"/>
            <rFont val="Tahoma"/>
            <family val="2"/>
          </rPr>
          <t>LPA:</t>
        </r>
        <r>
          <rPr>
            <sz val="9"/>
            <color indexed="81"/>
            <rFont val="Tahoma"/>
            <family val="2"/>
          </rPr>
          <t xml:space="preserve">
проверити збир!
</t>
        </r>
      </text>
    </comment>
    <comment ref="I197" authorId="0">
      <text>
        <r>
          <rPr>
            <b/>
            <sz val="9"/>
            <color indexed="81"/>
            <rFont val="Tahoma"/>
            <family val="2"/>
          </rPr>
          <t>LPA:</t>
        </r>
        <r>
          <rPr>
            <sz val="9"/>
            <color indexed="81"/>
            <rFont val="Tahoma"/>
            <family val="2"/>
          </rPr>
          <t xml:space="preserve">
проверити збир!
</t>
        </r>
      </text>
    </comment>
    <comment ref="I198" authorId="0">
      <text>
        <r>
          <rPr>
            <b/>
            <sz val="9"/>
            <color indexed="81"/>
            <rFont val="Tahoma"/>
            <family val="2"/>
          </rPr>
          <t>LPA:</t>
        </r>
        <r>
          <rPr>
            <sz val="9"/>
            <color indexed="81"/>
            <rFont val="Tahoma"/>
            <family val="2"/>
          </rPr>
          <t xml:space="preserve">
проверити збир!
</t>
        </r>
      </text>
    </comment>
    <comment ref="I199" authorId="0">
      <text>
        <r>
          <rPr>
            <b/>
            <sz val="9"/>
            <color indexed="81"/>
            <rFont val="Tahoma"/>
            <family val="2"/>
          </rPr>
          <t>LPA:</t>
        </r>
        <r>
          <rPr>
            <sz val="9"/>
            <color indexed="81"/>
            <rFont val="Tahoma"/>
            <family val="2"/>
          </rPr>
          <t xml:space="preserve">
проверити збир!
</t>
        </r>
      </text>
    </comment>
    <comment ref="I200" authorId="0">
      <text>
        <r>
          <rPr>
            <b/>
            <sz val="9"/>
            <color indexed="81"/>
            <rFont val="Tahoma"/>
            <family val="2"/>
          </rPr>
          <t>LPA:</t>
        </r>
        <r>
          <rPr>
            <sz val="9"/>
            <color indexed="81"/>
            <rFont val="Tahoma"/>
            <family val="2"/>
          </rPr>
          <t xml:space="preserve">
проверити збир!
</t>
        </r>
      </text>
    </comment>
    <comment ref="I201" authorId="0">
      <text>
        <r>
          <rPr>
            <b/>
            <sz val="9"/>
            <color indexed="81"/>
            <rFont val="Tahoma"/>
            <family val="2"/>
          </rPr>
          <t>LPA:</t>
        </r>
        <r>
          <rPr>
            <sz val="9"/>
            <color indexed="81"/>
            <rFont val="Tahoma"/>
            <family val="2"/>
          </rPr>
          <t xml:space="preserve">
проверити збир!
</t>
        </r>
      </text>
    </comment>
    <comment ref="I202" authorId="0">
      <text>
        <r>
          <rPr>
            <b/>
            <sz val="9"/>
            <color indexed="81"/>
            <rFont val="Tahoma"/>
            <family val="2"/>
          </rPr>
          <t>LPA:</t>
        </r>
        <r>
          <rPr>
            <sz val="9"/>
            <color indexed="81"/>
            <rFont val="Tahoma"/>
            <family val="2"/>
          </rPr>
          <t xml:space="preserve">
проверити збир!
</t>
        </r>
      </text>
    </comment>
    <comment ref="I203" authorId="0">
      <text>
        <r>
          <rPr>
            <b/>
            <sz val="9"/>
            <color indexed="81"/>
            <rFont val="Tahoma"/>
            <family val="2"/>
          </rPr>
          <t>LPA:</t>
        </r>
        <r>
          <rPr>
            <sz val="9"/>
            <color indexed="81"/>
            <rFont val="Tahoma"/>
            <family val="2"/>
          </rPr>
          <t xml:space="preserve">
проверити збир!
</t>
        </r>
      </text>
    </comment>
    <comment ref="I204" authorId="0">
      <text>
        <r>
          <rPr>
            <b/>
            <sz val="9"/>
            <color indexed="81"/>
            <rFont val="Tahoma"/>
            <family val="2"/>
          </rPr>
          <t>LPA:</t>
        </r>
        <r>
          <rPr>
            <sz val="9"/>
            <color indexed="81"/>
            <rFont val="Tahoma"/>
            <family val="2"/>
          </rPr>
          <t xml:space="preserve">
проверити збир!
</t>
        </r>
      </text>
    </comment>
    <comment ref="I273" authorId="0">
      <text>
        <r>
          <rPr>
            <b/>
            <sz val="9"/>
            <color indexed="81"/>
            <rFont val="Tahoma"/>
            <family val="2"/>
          </rPr>
          <t>LPA:</t>
        </r>
        <r>
          <rPr>
            <sz val="9"/>
            <color indexed="81"/>
            <rFont val="Tahoma"/>
            <family val="2"/>
          </rPr>
          <t xml:space="preserve">
проверити збир!
</t>
        </r>
      </text>
    </comment>
    <comment ref="I274" authorId="0">
      <text>
        <r>
          <rPr>
            <b/>
            <sz val="9"/>
            <color indexed="81"/>
            <rFont val="Tahoma"/>
            <family val="2"/>
          </rPr>
          <t>LPA:</t>
        </r>
        <r>
          <rPr>
            <sz val="9"/>
            <color indexed="81"/>
            <rFont val="Tahoma"/>
            <family val="2"/>
          </rPr>
          <t xml:space="preserve">
проверити збир!
</t>
        </r>
      </text>
    </comment>
    <comment ref="I275" authorId="0">
      <text>
        <r>
          <rPr>
            <b/>
            <sz val="9"/>
            <color indexed="81"/>
            <rFont val="Tahoma"/>
            <family val="2"/>
          </rPr>
          <t>LPA:</t>
        </r>
        <r>
          <rPr>
            <sz val="9"/>
            <color indexed="81"/>
            <rFont val="Tahoma"/>
            <family val="2"/>
          </rPr>
          <t xml:space="preserve">
проверити збир!
</t>
        </r>
      </text>
    </comment>
    <comment ref="I276" authorId="0">
      <text>
        <r>
          <rPr>
            <b/>
            <sz val="9"/>
            <color indexed="81"/>
            <rFont val="Tahoma"/>
            <family val="2"/>
          </rPr>
          <t>LPA:</t>
        </r>
        <r>
          <rPr>
            <sz val="9"/>
            <color indexed="81"/>
            <rFont val="Tahoma"/>
            <family val="2"/>
          </rPr>
          <t xml:space="preserve">
проверити збир!
</t>
        </r>
      </text>
    </comment>
    <comment ref="I277" authorId="0">
      <text>
        <r>
          <rPr>
            <b/>
            <sz val="9"/>
            <color indexed="81"/>
            <rFont val="Tahoma"/>
            <family val="2"/>
          </rPr>
          <t>LPA:</t>
        </r>
        <r>
          <rPr>
            <sz val="9"/>
            <color indexed="81"/>
            <rFont val="Tahoma"/>
            <family val="2"/>
          </rPr>
          <t xml:space="preserve">
проверити збир!
</t>
        </r>
      </text>
    </comment>
    <comment ref="I278" authorId="0">
      <text>
        <r>
          <rPr>
            <b/>
            <sz val="9"/>
            <color indexed="81"/>
            <rFont val="Tahoma"/>
            <family val="2"/>
          </rPr>
          <t>LPA:</t>
        </r>
        <r>
          <rPr>
            <sz val="9"/>
            <color indexed="81"/>
            <rFont val="Tahoma"/>
            <family val="2"/>
          </rPr>
          <t xml:space="preserve">
проверити збир!
</t>
        </r>
      </text>
    </comment>
    <comment ref="I279" authorId="0">
      <text>
        <r>
          <rPr>
            <b/>
            <sz val="9"/>
            <color indexed="81"/>
            <rFont val="Tahoma"/>
            <family val="2"/>
          </rPr>
          <t>LPA:</t>
        </r>
        <r>
          <rPr>
            <sz val="9"/>
            <color indexed="81"/>
            <rFont val="Tahoma"/>
            <family val="2"/>
          </rPr>
          <t xml:space="preserve">
проверити збир!
</t>
        </r>
      </text>
    </comment>
    <comment ref="I280" authorId="0">
      <text>
        <r>
          <rPr>
            <b/>
            <sz val="9"/>
            <color indexed="81"/>
            <rFont val="Tahoma"/>
            <family val="2"/>
          </rPr>
          <t>LPA:</t>
        </r>
        <r>
          <rPr>
            <sz val="9"/>
            <color indexed="81"/>
            <rFont val="Tahoma"/>
            <family val="2"/>
          </rPr>
          <t xml:space="preserve">
проверити збир!
</t>
        </r>
      </text>
    </comment>
    <comment ref="I281" authorId="0">
      <text>
        <r>
          <rPr>
            <b/>
            <sz val="9"/>
            <color indexed="81"/>
            <rFont val="Tahoma"/>
            <family val="2"/>
          </rPr>
          <t>LPA:</t>
        </r>
        <r>
          <rPr>
            <sz val="9"/>
            <color indexed="81"/>
            <rFont val="Tahoma"/>
            <family val="2"/>
          </rPr>
          <t xml:space="preserve">
проверити збир!
</t>
        </r>
      </text>
    </comment>
    <comment ref="I282" authorId="0">
      <text>
        <r>
          <rPr>
            <b/>
            <sz val="9"/>
            <color indexed="81"/>
            <rFont val="Tahoma"/>
            <family val="2"/>
          </rPr>
          <t>LPA:</t>
        </r>
        <r>
          <rPr>
            <sz val="9"/>
            <color indexed="81"/>
            <rFont val="Tahoma"/>
            <family val="2"/>
          </rPr>
          <t xml:space="preserve">
проверити збир!
</t>
        </r>
      </text>
    </comment>
    <comment ref="I283" authorId="0">
      <text>
        <r>
          <rPr>
            <b/>
            <sz val="9"/>
            <color indexed="81"/>
            <rFont val="Tahoma"/>
            <family val="2"/>
          </rPr>
          <t>LPA:</t>
        </r>
        <r>
          <rPr>
            <sz val="9"/>
            <color indexed="81"/>
            <rFont val="Tahoma"/>
            <family val="2"/>
          </rPr>
          <t xml:space="preserve">
проверити збир!
</t>
        </r>
      </text>
    </comment>
    <comment ref="I284" authorId="0">
      <text>
        <r>
          <rPr>
            <b/>
            <sz val="9"/>
            <color indexed="81"/>
            <rFont val="Tahoma"/>
            <family val="2"/>
          </rPr>
          <t>LPA:</t>
        </r>
        <r>
          <rPr>
            <sz val="9"/>
            <color indexed="81"/>
            <rFont val="Tahoma"/>
            <family val="2"/>
          </rPr>
          <t xml:space="preserve">
проверити збир!
</t>
        </r>
      </text>
    </comment>
    <comment ref="I285" authorId="0">
      <text>
        <r>
          <rPr>
            <b/>
            <sz val="9"/>
            <color indexed="81"/>
            <rFont val="Tahoma"/>
            <family val="2"/>
          </rPr>
          <t>LPA:</t>
        </r>
        <r>
          <rPr>
            <sz val="9"/>
            <color indexed="81"/>
            <rFont val="Tahoma"/>
            <family val="2"/>
          </rPr>
          <t xml:space="preserve">
проверити збир!
</t>
        </r>
      </text>
    </comment>
    <comment ref="H288" authorId="0">
      <text>
        <r>
          <rPr>
            <b/>
            <sz val="9"/>
            <color indexed="81"/>
            <rFont val="Tahoma"/>
            <family val="2"/>
          </rPr>
          <t>LPA:</t>
        </r>
        <r>
          <rPr>
            <sz val="9"/>
            <color indexed="81"/>
            <rFont val="Tahoma"/>
            <family val="2"/>
          </rPr>
          <t xml:space="preserve">
проверити збир!</t>
        </r>
      </text>
    </comment>
    <comment ref="I288" authorId="0">
      <text>
        <r>
          <rPr>
            <b/>
            <sz val="9"/>
            <color indexed="81"/>
            <rFont val="Tahoma"/>
            <family val="2"/>
          </rPr>
          <t>LPA:</t>
        </r>
        <r>
          <rPr>
            <sz val="9"/>
            <color indexed="81"/>
            <rFont val="Tahoma"/>
            <family val="2"/>
          </rPr>
          <t xml:space="preserve">
проверити збир!</t>
        </r>
      </text>
    </comment>
    <comment ref="I289" authorId="0">
      <text>
        <r>
          <rPr>
            <b/>
            <sz val="9"/>
            <color indexed="81"/>
            <rFont val="Tahoma"/>
            <family val="2"/>
          </rPr>
          <t>LPA:</t>
        </r>
        <r>
          <rPr>
            <sz val="9"/>
            <color indexed="81"/>
            <rFont val="Tahoma"/>
            <family val="2"/>
          </rPr>
          <t xml:space="preserve">
проверити збир!
</t>
        </r>
      </text>
    </comment>
    <comment ref="I290" authorId="0">
      <text>
        <r>
          <rPr>
            <b/>
            <sz val="9"/>
            <color indexed="81"/>
            <rFont val="Tahoma"/>
            <family val="2"/>
          </rPr>
          <t>LPA:</t>
        </r>
        <r>
          <rPr>
            <sz val="9"/>
            <color indexed="81"/>
            <rFont val="Tahoma"/>
            <family val="2"/>
          </rPr>
          <t xml:space="preserve">
проверити збир!
</t>
        </r>
      </text>
    </comment>
    <comment ref="I291" authorId="0">
      <text>
        <r>
          <rPr>
            <b/>
            <sz val="9"/>
            <color indexed="81"/>
            <rFont val="Tahoma"/>
            <family val="2"/>
          </rPr>
          <t>LPA:</t>
        </r>
        <r>
          <rPr>
            <sz val="9"/>
            <color indexed="81"/>
            <rFont val="Tahoma"/>
            <family val="2"/>
          </rPr>
          <t xml:space="preserve">
проверити збир!
</t>
        </r>
      </text>
    </comment>
    <comment ref="I292" authorId="0">
      <text>
        <r>
          <rPr>
            <b/>
            <sz val="9"/>
            <color indexed="81"/>
            <rFont val="Tahoma"/>
            <family val="2"/>
          </rPr>
          <t>LPA:</t>
        </r>
        <r>
          <rPr>
            <sz val="9"/>
            <color indexed="81"/>
            <rFont val="Tahoma"/>
            <family val="2"/>
          </rPr>
          <t xml:space="preserve">
проверити збир!
</t>
        </r>
      </text>
    </comment>
    <comment ref="I293" authorId="0">
      <text>
        <r>
          <rPr>
            <b/>
            <sz val="9"/>
            <color indexed="81"/>
            <rFont val="Tahoma"/>
            <family val="2"/>
          </rPr>
          <t>LPA:</t>
        </r>
        <r>
          <rPr>
            <sz val="9"/>
            <color indexed="81"/>
            <rFont val="Tahoma"/>
            <family val="2"/>
          </rPr>
          <t xml:space="preserve">
проверити збир!
</t>
        </r>
      </text>
    </comment>
    <comment ref="I294" authorId="0">
      <text>
        <r>
          <rPr>
            <b/>
            <sz val="9"/>
            <color indexed="81"/>
            <rFont val="Tahoma"/>
            <family val="2"/>
          </rPr>
          <t>LPA:</t>
        </r>
        <r>
          <rPr>
            <sz val="9"/>
            <color indexed="81"/>
            <rFont val="Tahoma"/>
            <family val="2"/>
          </rPr>
          <t xml:space="preserve">
проверити збир!
</t>
        </r>
      </text>
    </comment>
    <comment ref="I295" authorId="0">
      <text>
        <r>
          <rPr>
            <b/>
            <sz val="9"/>
            <color indexed="81"/>
            <rFont val="Tahoma"/>
            <family val="2"/>
          </rPr>
          <t>LPA:</t>
        </r>
        <r>
          <rPr>
            <sz val="9"/>
            <color indexed="81"/>
            <rFont val="Tahoma"/>
            <family val="2"/>
          </rPr>
          <t xml:space="preserve">
проверити збир!
</t>
        </r>
      </text>
    </comment>
    <comment ref="I296" authorId="0">
      <text>
        <r>
          <rPr>
            <b/>
            <sz val="9"/>
            <color indexed="81"/>
            <rFont val="Tahoma"/>
            <family val="2"/>
          </rPr>
          <t>LPA:</t>
        </r>
        <r>
          <rPr>
            <sz val="9"/>
            <color indexed="81"/>
            <rFont val="Tahoma"/>
            <family val="2"/>
          </rPr>
          <t xml:space="preserve">
проверити збир!
</t>
        </r>
      </text>
    </comment>
    <comment ref="I297" authorId="0">
      <text>
        <r>
          <rPr>
            <b/>
            <sz val="9"/>
            <color indexed="81"/>
            <rFont val="Tahoma"/>
            <family val="2"/>
          </rPr>
          <t>LPA:</t>
        </r>
        <r>
          <rPr>
            <sz val="9"/>
            <color indexed="81"/>
            <rFont val="Tahoma"/>
            <family val="2"/>
          </rPr>
          <t xml:space="preserve">
проверити збир!
</t>
        </r>
      </text>
    </comment>
    <comment ref="I298" authorId="0">
      <text>
        <r>
          <rPr>
            <b/>
            <sz val="9"/>
            <color indexed="81"/>
            <rFont val="Tahoma"/>
            <family val="2"/>
          </rPr>
          <t>LPA:</t>
        </r>
        <r>
          <rPr>
            <sz val="9"/>
            <color indexed="81"/>
            <rFont val="Tahoma"/>
            <family val="2"/>
          </rPr>
          <t xml:space="preserve">
проверити збир!
</t>
        </r>
      </text>
    </comment>
    <comment ref="I299" authorId="0">
      <text>
        <r>
          <rPr>
            <b/>
            <sz val="9"/>
            <color indexed="81"/>
            <rFont val="Tahoma"/>
            <family val="2"/>
          </rPr>
          <t>LPA:</t>
        </r>
        <r>
          <rPr>
            <sz val="9"/>
            <color indexed="81"/>
            <rFont val="Tahoma"/>
            <family val="2"/>
          </rPr>
          <t xml:space="preserve">
проверити збир!
</t>
        </r>
      </text>
    </comment>
    <comment ref="I300" authorId="0">
      <text>
        <r>
          <rPr>
            <b/>
            <sz val="9"/>
            <color indexed="81"/>
            <rFont val="Tahoma"/>
            <family val="2"/>
          </rPr>
          <t>LPA:</t>
        </r>
        <r>
          <rPr>
            <sz val="9"/>
            <color indexed="81"/>
            <rFont val="Tahoma"/>
            <family val="2"/>
          </rPr>
          <t xml:space="preserve">
проверити збир!
</t>
        </r>
      </text>
    </comment>
    <comment ref="I301" authorId="0">
      <text>
        <r>
          <rPr>
            <b/>
            <sz val="9"/>
            <color indexed="81"/>
            <rFont val="Tahoma"/>
            <family val="2"/>
          </rPr>
          <t>LPA:</t>
        </r>
        <r>
          <rPr>
            <sz val="9"/>
            <color indexed="81"/>
            <rFont val="Tahoma"/>
            <family val="2"/>
          </rPr>
          <t xml:space="preserve">
проверити збир!
</t>
        </r>
      </text>
    </comment>
    <comment ref="I302" authorId="0">
      <text>
        <r>
          <rPr>
            <b/>
            <sz val="9"/>
            <color indexed="81"/>
            <rFont val="Tahoma"/>
            <family val="2"/>
          </rPr>
          <t>LPA:</t>
        </r>
        <r>
          <rPr>
            <sz val="9"/>
            <color indexed="81"/>
            <rFont val="Tahoma"/>
            <family val="2"/>
          </rPr>
          <t xml:space="preserve">
проверити збир!
</t>
        </r>
      </text>
    </comment>
    <comment ref="I303" authorId="0">
      <text>
        <r>
          <rPr>
            <b/>
            <sz val="9"/>
            <color indexed="81"/>
            <rFont val="Tahoma"/>
            <family val="2"/>
          </rPr>
          <t>LPA:</t>
        </r>
        <r>
          <rPr>
            <sz val="9"/>
            <color indexed="81"/>
            <rFont val="Tahoma"/>
            <family val="2"/>
          </rPr>
          <t xml:space="preserve">
проверити збир!
</t>
        </r>
      </text>
    </comment>
    <comment ref="H307" authorId="0">
      <text>
        <r>
          <rPr>
            <b/>
            <sz val="9"/>
            <color indexed="81"/>
            <rFont val="Tahoma"/>
            <family val="2"/>
          </rPr>
          <t>LPA:</t>
        </r>
        <r>
          <rPr>
            <sz val="9"/>
            <color indexed="81"/>
            <rFont val="Tahoma"/>
            <family val="2"/>
          </rPr>
          <t xml:space="preserve">
проверити збир!</t>
        </r>
      </text>
    </comment>
    <comment ref="I307" authorId="0">
      <text>
        <r>
          <rPr>
            <b/>
            <sz val="9"/>
            <color indexed="81"/>
            <rFont val="Tahoma"/>
            <family val="2"/>
          </rPr>
          <t>LPA:</t>
        </r>
        <r>
          <rPr>
            <sz val="9"/>
            <color indexed="81"/>
            <rFont val="Tahoma"/>
            <family val="2"/>
          </rPr>
          <t xml:space="preserve">
проверити збир!
</t>
        </r>
      </text>
    </comment>
    <comment ref="I308" authorId="0">
      <text>
        <r>
          <rPr>
            <b/>
            <sz val="9"/>
            <color indexed="81"/>
            <rFont val="Tahoma"/>
            <family val="2"/>
          </rPr>
          <t>LPA:</t>
        </r>
        <r>
          <rPr>
            <sz val="9"/>
            <color indexed="81"/>
            <rFont val="Tahoma"/>
            <family val="2"/>
          </rPr>
          <t xml:space="preserve">
проверити збир!
</t>
        </r>
      </text>
    </comment>
    <comment ref="I309" authorId="0">
      <text>
        <r>
          <rPr>
            <b/>
            <sz val="9"/>
            <color indexed="81"/>
            <rFont val="Tahoma"/>
            <family val="2"/>
          </rPr>
          <t>LPA:</t>
        </r>
        <r>
          <rPr>
            <sz val="9"/>
            <color indexed="81"/>
            <rFont val="Tahoma"/>
            <family val="2"/>
          </rPr>
          <t xml:space="preserve">
проверити збир!
</t>
        </r>
      </text>
    </comment>
    <comment ref="I310" authorId="0">
      <text>
        <r>
          <rPr>
            <b/>
            <sz val="9"/>
            <color indexed="81"/>
            <rFont val="Tahoma"/>
            <family val="2"/>
          </rPr>
          <t>LPA:</t>
        </r>
        <r>
          <rPr>
            <sz val="9"/>
            <color indexed="81"/>
            <rFont val="Tahoma"/>
            <family val="2"/>
          </rPr>
          <t xml:space="preserve">
проверити збир!
</t>
        </r>
      </text>
    </comment>
    <comment ref="I311" authorId="0">
      <text>
        <r>
          <rPr>
            <b/>
            <sz val="9"/>
            <color indexed="81"/>
            <rFont val="Tahoma"/>
            <family val="2"/>
          </rPr>
          <t>LPA:</t>
        </r>
        <r>
          <rPr>
            <sz val="9"/>
            <color indexed="81"/>
            <rFont val="Tahoma"/>
            <family val="2"/>
          </rPr>
          <t xml:space="preserve">
проверити збир!
</t>
        </r>
      </text>
    </comment>
    <comment ref="I312" authorId="0">
      <text>
        <r>
          <rPr>
            <b/>
            <sz val="9"/>
            <color indexed="81"/>
            <rFont val="Tahoma"/>
            <family val="2"/>
          </rPr>
          <t>LPA:</t>
        </r>
        <r>
          <rPr>
            <sz val="9"/>
            <color indexed="81"/>
            <rFont val="Tahoma"/>
            <family val="2"/>
          </rPr>
          <t xml:space="preserve">
проверити збир!
</t>
        </r>
      </text>
    </comment>
    <comment ref="I313" authorId="0">
      <text>
        <r>
          <rPr>
            <b/>
            <sz val="9"/>
            <color indexed="81"/>
            <rFont val="Tahoma"/>
            <family val="2"/>
          </rPr>
          <t>LPA:</t>
        </r>
        <r>
          <rPr>
            <sz val="9"/>
            <color indexed="81"/>
            <rFont val="Tahoma"/>
            <family val="2"/>
          </rPr>
          <t xml:space="preserve">
проверити збир!
</t>
        </r>
      </text>
    </comment>
    <comment ref="I314" authorId="0">
      <text>
        <r>
          <rPr>
            <b/>
            <sz val="9"/>
            <color indexed="81"/>
            <rFont val="Tahoma"/>
            <family val="2"/>
          </rPr>
          <t>LPA:</t>
        </r>
        <r>
          <rPr>
            <sz val="9"/>
            <color indexed="81"/>
            <rFont val="Tahoma"/>
            <family val="2"/>
          </rPr>
          <t xml:space="preserve">
проверити збир!
</t>
        </r>
      </text>
    </comment>
    <comment ref="I315" authorId="0">
      <text>
        <r>
          <rPr>
            <b/>
            <sz val="9"/>
            <color indexed="81"/>
            <rFont val="Tahoma"/>
            <family val="2"/>
          </rPr>
          <t>LPA:</t>
        </r>
        <r>
          <rPr>
            <sz val="9"/>
            <color indexed="81"/>
            <rFont val="Tahoma"/>
            <family val="2"/>
          </rPr>
          <t xml:space="preserve">
проверити збир!
</t>
        </r>
      </text>
    </comment>
    <comment ref="I316" authorId="0">
      <text>
        <r>
          <rPr>
            <b/>
            <sz val="9"/>
            <color indexed="81"/>
            <rFont val="Tahoma"/>
            <family val="2"/>
          </rPr>
          <t>LPA:</t>
        </r>
        <r>
          <rPr>
            <sz val="9"/>
            <color indexed="81"/>
            <rFont val="Tahoma"/>
            <family val="2"/>
          </rPr>
          <t xml:space="preserve">
проверити збир!
</t>
        </r>
      </text>
    </comment>
    <comment ref="I317" authorId="0">
      <text>
        <r>
          <rPr>
            <b/>
            <sz val="9"/>
            <color indexed="81"/>
            <rFont val="Tahoma"/>
            <family val="2"/>
          </rPr>
          <t>LPA:</t>
        </r>
        <r>
          <rPr>
            <sz val="9"/>
            <color indexed="81"/>
            <rFont val="Tahoma"/>
            <family val="2"/>
          </rPr>
          <t xml:space="preserve">
проверити збир!
</t>
        </r>
      </text>
    </comment>
    <comment ref="I318" authorId="0">
      <text>
        <r>
          <rPr>
            <b/>
            <sz val="9"/>
            <color indexed="81"/>
            <rFont val="Tahoma"/>
            <family val="2"/>
          </rPr>
          <t>LPA:</t>
        </r>
        <r>
          <rPr>
            <sz val="9"/>
            <color indexed="81"/>
            <rFont val="Tahoma"/>
            <family val="2"/>
          </rPr>
          <t xml:space="preserve">
проверити збир!
</t>
        </r>
      </text>
    </comment>
    <comment ref="I319" authorId="0">
      <text>
        <r>
          <rPr>
            <b/>
            <sz val="9"/>
            <color indexed="81"/>
            <rFont val="Tahoma"/>
            <family val="2"/>
          </rPr>
          <t>LPA:</t>
        </r>
        <r>
          <rPr>
            <sz val="9"/>
            <color indexed="81"/>
            <rFont val="Tahoma"/>
            <family val="2"/>
          </rPr>
          <t xml:space="preserve">
проверити збир!
</t>
        </r>
      </text>
    </comment>
    <comment ref="I320" authorId="0">
      <text>
        <r>
          <rPr>
            <b/>
            <sz val="9"/>
            <color indexed="81"/>
            <rFont val="Tahoma"/>
            <family val="2"/>
          </rPr>
          <t>LPA:</t>
        </r>
        <r>
          <rPr>
            <sz val="9"/>
            <color indexed="81"/>
            <rFont val="Tahoma"/>
            <family val="2"/>
          </rPr>
          <t xml:space="preserve">
проверити збир!
</t>
        </r>
      </text>
    </comment>
    <comment ref="I321" authorId="0">
      <text>
        <r>
          <rPr>
            <b/>
            <sz val="9"/>
            <color indexed="81"/>
            <rFont val="Tahoma"/>
            <family val="2"/>
          </rPr>
          <t>LPA:</t>
        </r>
        <r>
          <rPr>
            <sz val="9"/>
            <color indexed="81"/>
            <rFont val="Tahoma"/>
            <family val="2"/>
          </rPr>
          <t xml:space="preserve">
проверити збир!
</t>
        </r>
      </text>
    </comment>
    <comment ref="I322" authorId="0">
      <text>
        <r>
          <rPr>
            <b/>
            <sz val="9"/>
            <color indexed="81"/>
            <rFont val="Tahoma"/>
            <family val="2"/>
          </rPr>
          <t>LPA:</t>
        </r>
        <r>
          <rPr>
            <sz val="9"/>
            <color indexed="81"/>
            <rFont val="Tahoma"/>
            <family val="2"/>
          </rPr>
          <t xml:space="preserve">
проверити збир!
</t>
        </r>
      </text>
    </comment>
    <comment ref="H326" authorId="0">
      <text>
        <r>
          <rPr>
            <b/>
            <sz val="9"/>
            <color indexed="81"/>
            <rFont val="Tahoma"/>
            <family val="2"/>
          </rPr>
          <t>LPA:</t>
        </r>
        <r>
          <rPr>
            <sz val="9"/>
            <color indexed="81"/>
            <rFont val="Tahoma"/>
            <family val="2"/>
          </rPr>
          <t xml:space="preserve">
провери збир!</t>
        </r>
      </text>
    </comment>
    <comment ref="I326" authorId="0">
      <text>
        <r>
          <rPr>
            <b/>
            <sz val="9"/>
            <color indexed="81"/>
            <rFont val="Tahoma"/>
            <family val="2"/>
          </rPr>
          <t>LPA:</t>
        </r>
        <r>
          <rPr>
            <sz val="9"/>
            <color indexed="81"/>
            <rFont val="Tahoma"/>
            <family val="2"/>
          </rPr>
          <t xml:space="preserve">
проверити збир!
</t>
        </r>
      </text>
    </comment>
    <comment ref="I327" authorId="0">
      <text>
        <r>
          <rPr>
            <b/>
            <sz val="9"/>
            <color indexed="81"/>
            <rFont val="Tahoma"/>
            <family val="2"/>
          </rPr>
          <t>LPA:</t>
        </r>
        <r>
          <rPr>
            <sz val="9"/>
            <color indexed="81"/>
            <rFont val="Tahoma"/>
            <family val="2"/>
          </rPr>
          <t xml:space="preserve">
проверити збир!
</t>
        </r>
      </text>
    </comment>
    <comment ref="I328" authorId="0">
      <text>
        <r>
          <rPr>
            <b/>
            <sz val="9"/>
            <color indexed="81"/>
            <rFont val="Tahoma"/>
            <family val="2"/>
          </rPr>
          <t>LPA:</t>
        </r>
        <r>
          <rPr>
            <sz val="9"/>
            <color indexed="81"/>
            <rFont val="Tahoma"/>
            <family val="2"/>
          </rPr>
          <t xml:space="preserve">
проверити збир!
</t>
        </r>
      </text>
    </comment>
    <comment ref="I329" authorId="0">
      <text>
        <r>
          <rPr>
            <b/>
            <sz val="9"/>
            <color indexed="81"/>
            <rFont val="Tahoma"/>
            <family val="2"/>
          </rPr>
          <t>LPA:</t>
        </r>
        <r>
          <rPr>
            <sz val="9"/>
            <color indexed="81"/>
            <rFont val="Tahoma"/>
            <family val="2"/>
          </rPr>
          <t xml:space="preserve">
проверити збир!
</t>
        </r>
      </text>
    </comment>
    <comment ref="I330" authorId="0">
      <text>
        <r>
          <rPr>
            <b/>
            <sz val="9"/>
            <color indexed="81"/>
            <rFont val="Tahoma"/>
            <family val="2"/>
          </rPr>
          <t>LPA:</t>
        </r>
        <r>
          <rPr>
            <sz val="9"/>
            <color indexed="81"/>
            <rFont val="Tahoma"/>
            <family val="2"/>
          </rPr>
          <t xml:space="preserve">
проверити збир!
</t>
        </r>
      </text>
    </comment>
    <comment ref="I331" authorId="0">
      <text>
        <r>
          <rPr>
            <b/>
            <sz val="9"/>
            <color indexed="81"/>
            <rFont val="Tahoma"/>
            <family val="2"/>
          </rPr>
          <t>LPA:</t>
        </r>
        <r>
          <rPr>
            <sz val="9"/>
            <color indexed="81"/>
            <rFont val="Tahoma"/>
            <family val="2"/>
          </rPr>
          <t xml:space="preserve">
проверити збир!
</t>
        </r>
      </text>
    </comment>
    <comment ref="I332" authorId="0">
      <text>
        <r>
          <rPr>
            <b/>
            <sz val="9"/>
            <color indexed="81"/>
            <rFont val="Tahoma"/>
            <family val="2"/>
          </rPr>
          <t>LPA:</t>
        </r>
        <r>
          <rPr>
            <sz val="9"/>
            <color indexed="81"/>
            <rFont val="Tahoma"/>
            <family val="2"/>
          </rPr>
          <t xml:space="preserve">
проверити збир!
</t>
        </r>
      </text>
    </comment>
    <comment ref="I333" authorId="0">
      <text>
        <r>
          <rPr>
            <b/>
            <sz val="9"/>
            <color indexed="81"/>
            <rFont val="Tahoma"/>
            <family val="2"/>
          </rPr>
          <t>LPA:</t>
        </r>
        <r>
          <rPr>
            <sz val="9"/>
            <color indexed="81"/>
            <rFont val="Tahoma"/>
            <family val="2"/>
          </rPr>
          <t xml:space="preserve">
проверити збир!
</t>
        </r>
      </text>
    </comment>
    <comment ref="I334" authorId="0">
      <text>
        <r>
          <rPr>
            <b/>
            <sz val="9"/>
            <color indexed="81"/>
            <rFont val="Tahoma"/>
            <family val="2"/>
          </rPr>
          <t>LPA:</t>
        </r>
        <r>
          <rPr>
            <sz val="9"/>
            <color indexed="81"/>
            <rFont val="Tahoma"/>
            <family val="2"/>
          </rPr>
          <t xml:space="preserve">
проверити збир!
</t>
        </r>
      </text>
    </comment>
    <comment ref="I335" authorId="0">
      <text>
        <r>
          <rPr>
            <b/>
            <sz val="9"/>
            <color indexed="81"/>
            <rFont val="Tahoma"/>
            <family val="2"/>
          </rPr>
          <t>LPA:</t>
        </r>
        <r>
          <rPr>
            <sz val="9"/>
            <color indexed="81"/>
            <rFont val="Tahoma"/>
            <family val="2"/>
          </rPr>
          <t xml:space="preserve">
проверити збир!
</t>
        </r>
      </text>
    </comment>
    <comment ref="I336" authorId="0">
      <text>
        <r>
          <rPr>
            <b/>
            <sz val="9"/>
            <color indexed="81"/>
            <rFont val="Tahoma"/>
            <family val="2"/>
          </rPr>
          <t>LPA:</t>
        </r>
        <r>
          <rPr>
            <sz val="9"/>
            <color indexed="81"/>
            <rFont val="Tahoma"/>
            <family val="2"/>
          </rPr>
          <t xml:space="preserve">
проверити збир!
</t>
        </r>
      </text>
    </comment>
    <comment ref="I337" authorId="0">
      <text>
        <r>
          <rPr>
            <b/>
            <sz val="9"/>
            <color indexed="81"/>
            <rFont val="Tahoma"/>
            <family val="2"/>
          </rPr>
          <t>LPA:</t>
        </r>
        <r>
          <rPr>
            <sz val="9"/>
            <color indexed="81"/>
            <rFont val="Tahoma"/>
            <family val="2"/>
          </rPr>
          <t xml:space="preserve">
проверити збир!
</t>
        </r>
      </text>
    </comment>
    <comment ref="I338" authorId="0">
      <text>
        <r>
          <rPr>
            <b/>
            <sz val="9"/>
            <color indexed="81"/>
            <rFont val="Tahoma"/>
            <family val="2"/>
          </rPr>
          <t>LPA:</t>
        </r>
        <r>
          <rPr>
            <sz val="9"/>
            <color indexed="81"/>
            <rFont val="Tahoma"/>
            <family val="2"/>
          </rPr>
          <t xml:space="preserve">
проверити збир!
</t>
        </r>
      </text>
    </comment>
    <comment ref="I339" authorId="0">
      <text>
        <r>
          <rPr>
            <b/>
            <sz val="9"/>
            <color indexed="81"/>
            <rFont val="Tahoma"/>
            <family val="2"/>
          </rPr>
          <t>LPA:</t>
        </r>
        <r>
          <rPr>
            <sz val="9"/>
            <color indexed="81"/>
            <rFont val="Tahoma"/>
            <family val="2"/>
          </rPr>
          <t xml:space="preserve">
проверити збир!
</t>
        </r>
      </text>
    </comment>
    <comment ref="I340" authorId="0">
      <text>
        <r>
          <rPr>
            <b/>
            <sz val="9"/>
            <color indexed="81"/>
            <rFont val="Tahoma"/>
            <family val="2"/>
          </rPr>
          <t>LPA:</t>
        </r>
        <r>
          <rPr>
            <sz val="9"/>
            <color indexed="81"/>
            <rFont val="Tahoma"/>
            <family val="2"/>
          </rPr>
          <t xml:space="preserve">
проверити збир!
</t>
        </r>
      </text>
    </comment>
    <comment ref="I341" authorId="0">
      <text>
        <r>
          <rPr>
            <b/>
            <sz val="9"/>
            <color indexed="81"/>
            <rFont val="Tahoma"/>
            <family val="2"/>
          </rPr>
          <t>LPA:</t>
        </r>
        <r>
          <rPr>
            <sz val="9"/>
            <color indexed="81"/>
            <rFont val="Tahoma"/>
            <family val="2"/>
          </rPr>
          <t xml:space="preserve">
проверити збир!
</t>
        </r>
      </text>
    </comment>
    <comment ref="H345" authorId="0">
      <text>
        <r>
          <rPr>
            <b/>
            <sz val="9"/>
            <color indexed="81"/>
            <rFont val="Tahoma"/>
            <family val="2"/>
          </rPr>
          <t>LPA:</t>
        </r>
        <r>
          <rPr>
            <sz val="9"/>
            <color indexed="81"/>
            <rFont val="Tahoma"/>
            <family val="2"/>
          </rPr>
          <t xml:space="preserve">
проверити збир!</t>
        </r>
      </text>
    </comment>
    <comment ref="I348" authorId="0">
      <text>
        <r>
          <rPr>
            <b/>
            <sz val="9"/>
            <color indexed="81"/>
            <rFont val="Tahoma"/>
            <family val="2"/>
          </rPr>
          <t>LPA:</t>
        </r>
        <r>
          <rPr>
            <sz val="9"/>
            <color indexed="81"/>
            <rFont val="Tahoma"/>
            <family val="2"/>
          </rPr>
          <t xml:space="preserve">
проверити збир!
</t>
        </r>
      </text>
    </comment>
    <comment ref="I349" authorId="0">
      <text>
        <r>
          <rPr>
            <b/>
            <sz val="9"/>
            <color indexed="81"/>
            <rFont val="Tahoma"/>
            <family val="2"/>
          </rPr>
          <t>LPA:</t>
        </r>
        <r>
          <rPr>
            <sz val="9"/>
            <color indexed="81"/>
            <rFont val="Tahoma"/>
            <family val="2"/>
          </rPr>
          <t xml:space="preserve">
проверити збир!
</t>
        </r>
      </text>
    </comment>
    <comment ref="I350" authorId="0">
      <text>
        <r>
          <rPr>
            <b/>
            <sz val="9"/>
            <color indexed="81"/>
            <rFont val="Tahoma"/>
            <family val="2"/>
          </rPr>
          <t>LPA:</t>
        </r>
        <r>
          <rPr>
            <sz val="9"/>
            <color indexed="81"/>
            <rFont val="Tahoma"/>
            <family val="2"/>
          </rPr>
          <t xml:space="preserve">
проверити збир!
</t>
        </r>
      </text>
    </comment>
    <comment ref="I351" authorId="0">
      <text>
        <r>
          <rPr>
            <b/>
            <sz val="9"/>
            <color indexed="81"/>
            <rFont val="Tahoma"/>
            <family val="2"/>
          </rPr>
          <t>LPA:</t>
        </r>
        <r>
          <rPr>
            <sz val="9"/>
            <color indexed="81"/>
            <rFont val="Tahoma"/>
            <family val="2"/>
          </rPr>
          <t xml:space="preserve">
проверити збир!
</t>
        </r>
      </text>
    </comment>
    <comment ref="I352" authorId="0">
      <text>
        <r>
          <rPr>
            <b/>
            <sz val="9"/>
            <color indexed="81"/>
            <rFont val="Tahoma"/>
            <family val="2"/>
          </rPr>
          <t>LPA:</t>
        </r>
        <r>
          <rPr>
            <sz val="9"/>
            <color indexed="81"/>
            <rFont val="Tahoma"/>
            <family val="2"/>
          </rPr>
          <t xml:space="preserve">
проверити збир!
</t>
        </r>
      </text>
    </comment>
    <comment ref="I353" authorId="0">
      <text>
        <r>
          <rPr>
            <b/>
            <sz val="9"/>
            <color indexed="81"/>
            <rFont val="Tahoma"/>
            <family val="2"/>
          </rPr>
          <t>LPA:</t>
        </r>
        <r>
          <rPr>
            <sz val="9"/>
            <color indexed="81"/>
            <rFont val="Tahoma"/>
            <family val="2"/>
          </rPr>
          <t xml:space="preserve">
проверити збир!
</t>
        </r>
      </text>
    </comment>
    <comment ref="I354" authorId="0">
      <text>
        <r>
          <rPr>
            <b/>
            <sz val="9"/>
            <color indexed="81"/>
            <rFont val="Tahoma"/>
            <family val="2"/>
          </rPr>
          <t>LPA:</t>
        </r>
        <r>
          <rPr>
            <sz val="9"/>
            <color indexed="81"/>
            <rFont val="Tahoma"/>
            <family val="2"/>
          </rPr>
          <t xml:space="preserve">
проверити збир!
</t>
        </r>
      </text>
    </comment>
    <comment ref="I355" authorId="0">
      <text>
        <r>
          <rPr>
            <b/>
            <sz val="9"/>
            <color indexed="81"/>
            <rFont val="Tahoma"/>
            <family val="2"/>
          </rPr>
          <t>LPA:</t>
        </r>
        <r>
          <rPr>
            <sz val="9"/>
            <color indexed="81"/>
            <rFont val="Tahoma"/>
            <family val="2"/>
          </rPr>
          <t xml:space="preserve">
проверити збир!
</t>
        </r>
      </text>
    </comment>
    <comment ref="I356" authorId="0">
      <text>
        <r>
          <rPr>
            <b/>
            <sz val="9"/>
            <color indexed="81"/>
            <rFont val="Tahoma"/>
            <family val="2"/>
          </rPr>
          <t>LPA:</t>
        </r>
        <r>
          <rPr>
            <sz val="9"/>
            <color indexed="81"/>
            <rFont val="Tahoma"/>
            <family val="2"/>
          </rPr>
          <t xml:space="preserve">
проверити збир!
</t>
        </r>
      </text>
    </comment>
    <comment ref="I357" authorId="0">
      <text>
        <r>
          <rPr>
            <b/>
            <sz val="9"/>
            <color indexed="81"/>
            <rFont val="Tahoma"/>
            <family val="2"/>
          </rPr>
          <t>LPA:</t>
        </r>
        <r>
          <rPr>
            <sz val="9"/>
            <color indexed="81"/>
            <rFont val="Tahoma"/>
            <family val="2"/>
          </rPr>
          <t xml:space="preserve">
проверити збир!
</t>
        </r>
      </text>
    </comment>
    <comment ref="I358" authorId="0">
      <text>
        <r>
          <rPr>
            <b/>
            <sz val="9"/>
            <color indexed="81"/>
            <rFont val="Tahoma"/>
            <family val="2"/>
          </rPr>
          <t>LPA:</t>
        </r>
        <r>
          <rPr>
            <sz val="9"/>
            <color indexed="81"/>
            <rFont val="Tahoma"/>
            <family val="2"/>
          </rPr>
          <t xml:space="preserve">
проверити збир!
</t>
        </r>
      </text>
    </comment>
    <comment ref="I359" authorId="0">
      <text>
        <r>
          <rPr>
            <b/>
            <sz val="9"/>
            <color indexed="81"/>
            <rFont val="Tahoma"/>
            <family val="2"/>
          </rPr>
          <t>LPA:</t>
        </r>
        <r>
          <rPr>
            <sz val="9"/>
            <color indexed="81"/>
            <rFont val="Tahoma"/>
            <family val="2"/>
          </rPr>
          <t xml:space="preserve">
проверити збир!
</t>
        </r>
      </text>
    </comment>
    <comment ref="I360" authorId="0">
      <text>
        <r>
          <rPr>
            <b/>
            <sz val="9"/>
            <color indexed="81"/>
            <rFont val="Tahoma"/>
            <family val="2"/>
          </rPr>
          <t>LPA:</t>
        </r>
        <r>
          <rPr>
            <sz val="9"/>
            <color indexed="81"/>
            <rFont val="Tahoma"/>
            <family val="2"/>
          </rPr>
          <t xml:space="preserve">
проверити збир!
</t>
        </r>
      </text>
    </comment>
    <comment ref="I432" authorId="0">
      <text>
        <r>
          <rPr>
            <b/>
            <sz val="9"/>
            <color indexed="81"/>
            <rFont val="Tahoma"/>
            <family val="2"/>
          </rPr>
          <t>LPA:</t>
        </r>
        <r>
          <rPr>
            <sz val="9"/>
            <color indexed="81"/>
            <rFont val="Tahoma"/>
            <family val="2"/>
          </rPr>
          <t xml:space="preserve">
проверити збир!
</t>
        </r>
      </text>
    </comment>
    <comment ref="I433" authorId="0">
      <text>
        <r>
          <rPr>
            <b/>
            <sz val="9"/>
            <color indexed="81"/>
            <rFont val="Tahoma"/>
            <family val="2"/>
          </rPr>
          <t>LPA:</t>
        </r>
        <r>
          <rPr>
            <sz val="9"/>
            <color indexed="81"/>
            <rFont val="Tahoma"/>
            <family val="2"/>
          </rPr>
          <t xml:space="preserve">
проверити збир!
</t>
        </r>
      </text>
    </comment>
    <comment ref="I434" authorId="0">
      <text>
        <r>
          <rPr>
            <b/>
            <sz val="9"/>
            <color indexed="81"/>
            <rFont val="Tahoma"/>
            <family val="2"/>
          </rPr>
          <t>LPA:</t>
        </r>
        <r>
          <rPr>
            <sz val="9"/>
            <color indexed="81"/>
            <rFont val="Tahoma"/>
            <family val="2"/>
          </rPr>
          <t xml:space="preserve">
проверити збир!
</t>
        </r>
      </text>
    </comment>
    <comment ref="I435" authorId="0">
      <text>
        <r>
          <rPr>
            <b/>
            <sz val="9"/>
            <color indexed="81"/>
            <rFont val="Tahoma"/>
            <family val="2"/>
          </rPr>
          <t>LPA:</t>
        </r>
        <r>
          <rPr>
            <sz val="9"/>
            <color indexed="81"/>
            <rFont val="Tahoma"/>
            <family val="2"/>
          </rPr>
          <t xml:space="preserve">
проверити збир!
</t>
        </r>
      </text>
    </comment>
    <comment ref="I436" authorId="0">
      <text>
        <r>
          <rPr>
            <b/>
            <sz val="9"/>
            <color indexed="81"/>
            <rFont val="Tahoma"/>
            <family val="2"/>
          </rPr>
          <t>LPA:</t>
        </r>
        <r>
          <rPr>
            <sz val="9"/>
            <color indexed="81"/>
            <rFont val="Tahoma"/>
            <family val="2"/>
          </rPr>
          <t xml:space="preserve">
проверити збир!
</t>
        </r>
      </text>
    </comment>
    <comment ref="I437" authorId="0">
      <text>
        <r>
          <rPr>
            <b/>
            <sz val="9"/>
            <color indexed="81"/>
            <rFont val="Tahoma"/>
            <family val="2"/>
          </rPr>
          <t>LPA:</t>
        </r>
        <r>
          <rPr>
            <sz val="9"/>
            <color indexed="81"/>
            <rFont val="Tahoma"/>
            <family val="2"/>
          </rPr>
          <t xml:space="preserve">
проверити збир!
</t>
        </r>
      </text>
    </comment>
    <comment ref="I438" authorId="0">
      <text>
        <r>
          <rPr>
            <b/>
            <sz val="9"/>
            <color indexed="81"/>
            <rFont val="Tahoma"/>
            <family val="2"/>
          </rPr>
          <t>LPA:</t>
        </r>
        <r>
          <rPr>
            <sz val="9"/>
            <color indexed="81"/>
            <rFont val="Tahoma"/>
            <family val="2"/>
          </rPr>
          <t xml:space="preserve">
проверити збир!
</t>
        </r>
      </text>
    </comment>
    <comment ref="I439" authorId="0">
      <text>
        <r>
          <rPr>
            <b/>
            <sz val="9"/>
            <color indexed="81"/>
            <rFont val="Tahoma"/>
            <family val="2"/>
          </rPr>
          <t>LPA:</t>
        </r>
        <r>
          <rPr>
            <sz val="9"/>
            <color indexed="81"/>
            <rFont val="Tahoma"/>
            <family val="2"/>
          </rPr>
          <t xml:space="preserve">
проверити збир!
</t>
        </r>
      </text>
    </comment>
    <comment ref="I440" authorId="0">
      <text>
        <r>
          <rPr>
            <b/>
            <sz val="9"/>
            <color indexed="81"/>
            <rFont val="Tahoma"/>
            <family val="2"/>
          </rPr>
          <t>LPA:</t>
        </r>
        <r>
          <rPr>
            <sz val="9"/>
            <color indexed="81"/>
            <rFont val="Tahoma"/>
            <family val="2"/>
          </rPr>
          <t xml:space="preserve">
проверити збир!
</t>
        </r>
      </text>
    </comment>
    <comment ref="I441" authorId="0">
      <text>
        <r>
          <rPr>
            <b/>
            <sz val="9"/>
            <color indexed="81"/>
            <rFont val="Tahoma"/>
            <family val="2"/>
          </rPr>
          <t>LPA:</t>
        </r>
        <r>
          <rPr>
            <sz val="9"/>
            <color indexed="81"/>
            <rFont val="Tahoma"/>
            <family val="2"/>
          </rPr>
          <t xml:space="preserve">
проверити збир!
</t>
        </r>
      </text>
    </comment>
    <comment ref="I442" authorId="0">
      <text>
        <r>
          <rPr>
            <b/>
            <sz val="9"/>
            <color indexed="81"/>
            <rFont val="Tahoma"/>
            <family val="2"/>
          </rPr>
          <t>LPA:</t>
        </r>
        <r>
          <rPr>
            <sz val="9"/>
            <color indexed="81"/>
            <rFont val="Tahoma"/>
            <family val="2"/>
          </rPr>
          <t xml:space="preserve">
проверити збир!
</t>
        </r>
      </text>
    </comment>
    <comment ref="I443" authorId="0">
      <text>
        <r>
          <rPr>
            <b/>
            <sz val="9"/>
            <color indexed="81"/>
            <rFont val="Tahoma"/>
            <family val="2"/>
          </rPr>
          <t>LPA:</t>
        </r>
        <r>
          <rPr>
            <sz val="9"/>
            <color indexed="81"/>
            <rFont val="Tahoma"/>
            <family val="2"/>
          </rPr>
          <t xml:space="preserve">
проверити збир!
</t>
        </r>
      </text>
    </comment>
    <comment ref="I444" authorId="0">
      <text>
        <r>
          <rPr>
            <b/>
            <sz val="9"/>
            <color indexed="81"/>
            <rFont val="Tahoma"/>
            <family val="2"/>
          </rPr>
          <t>LPA:</t>
        </r>
        <r>
          <rPr>
            <sz val="9"/>
            <color indexed="81"/>
            <rFont val="Tahoma"/>
            <family val="2"/>
          </rPr>
          <t xml:space="preserve">
проверити збир!
</t>
        </r>
      </text>
    </comment>
    <comment ref="H447" authorId="0">
      <text>
        <r>
          <rPr>
            <b/>
            <sz val="9"/>
            <color indexed="81"/>
            <rFont val="Tahoma"/>
            <family val="2"/>
          </rPr>
          <t>LPA:</t>
        </r>
        <r>
          <rPr>
            <sz val="9"/>
            <color indexed="81"/>
            <rFont val="Tahoma"/>
            <family val="2"/>
          </rPr>
          <t xml:space="preserve">
проверити збир!</t>
        </r>
      </text>
    </comment>
    <comment ref="I447" authorId="0">
      <text>
        <r>
          <rPr>
            <b/>
            <sz val="9"/>
            <color indexed="81"/>
            <rFont val="Tahoma"/>
            <family val="2"/>
          </rPr>
          <t>LPA:</t>
        </r>
        <r>
          <rPr>
            <sz val="9"/>
            <color indexed="81"/>
            <rFont val="Tahoma"/>
            <family val="2"/>
          </rPr>
          <t xml:space="preserve">
проверити збир!</t>
        </r>
      </text>
    </comment>
    <comment ref="I448" authorId="0">
      <text>
        <r>
          <rPr>
            <b/>
            <sz val="9"/>
            <color indexed="81"/>
            <rFont val="Tahoma"/>
            <family val="2"/>
          </rPr>
          <t>LPA:</t>
        </r>
        <r>
          <rPr>
            <sz val="9"/>
            <color indexed="81"/>
            <rFont val="Tahoma"/>
            <family val="2"/>
          </rPr>
          <t xml:space="preserve">
проверити збир!
</t>
        </r>
      </text>
    </comment>
    <comment ref="I449" authorId="0">
      <text>
        <r>
          <rPr>
            <b/>
            <sz val="9"/>
            <color indexed="81"/>
            <rFont val="Tahoma"/>
            <family val="2"/>
          </rPr>
          <t>LPA:</t>
        </r>
        <r>
          <rPr>
            <sz val="9"/>
            <color indexed="81"/>
            <rFont val="Tahoma"/>
            <family val="2"/>
          </rPr>
          <t xml:space="preserve">
проверити збир!
</t>
        </r>
      </text>
    </comment>
    <comment ref="I450" authorId="0">
      <text>
        <r>
          <rPr>
            <b/>
            <sz val="9"/>
            <color indexed="81"/>
            <rFont val="Tahoma"/>
            <family val="2"/>
          </rPr>
          <t>LPA:</t>
        </r>
        <r>
          <rPr>
            <sz val="9"/>
            <color indexed="81"/>
            <rFont val="Tahoma"/>
            <family val="2"/>
          </rPr>
          <t xml:space="preserve">
проверити збир!
</t>
        </r>
      </text>
    </comment>
    <comment ref="I451" authorId="0">
      <text>
        <r>
          <rPr>
            <b/>
            <sz val="9"/>
            <color indexed="81"/>
            <rFont val="Tahoma"/>
            <family val="2"/>
          </rPr>
          <t>LPA:</t>
        </r>
        <r>
          <rPr>
            <sz val="9"/>
            <color indexed="81"/>
            <rFont val="Tahoma"/>
            <family val="2"/>
          </rPr>
          <t xml:space="preserve">
проверити збир!
</t>
        </r>
      </text>
    </comment>
    <comment ref="I452" authorId="0">
      <text>
        <r>
          <rPr>
            <b/>
            <sz val="9"/>
            <color indexed="81"/>
            <rFont val="Tahoma"/>
            <family val="2"/>
          </rPr>
          <t>LPA:</t>
        </r>
        <r>
          <rPr>
            <sz val="9"/>
            <color indexed="81"/>
            <rFont val="Tahoma"/>
            <family val="2"/>
          </rPr>
          <t xml:space="preserve">
проверити збир!
</t>
        </r>
      </text>
    </comment>
    <comment ref="I453" authorId="0">
      <text>
        <r>
          <rPr>
            <b/>
            <sz val="9"/>
            <color indexed="81"/>
            <rFont val="Tahoma"/>
            <family val="2"/>
          </rPr>
          <t>LPA:</t>
        </r>
        <r>
          <rPr>
            <sz val="9"/>
            <color indexed="81"/>
            <rFont val="Tahoma"/>
            <family val="2"/>
          </rPr>
          <t xml:space="preserve">
проверити збир!
</t>
        </r>
      </text>
    </comment>
    <comment ref="I454" authorId="0">
      <text>
        <r>
          <rPr>
            <b/>
            <sz val="9"/>
            <color indexed="81"/>
            <rFont val="Tahoma"/>
            <family val="2"/>
          </rPr>
          <t>LPA:</t>
        </r>
        <r>
          <rPr>
            <sz val="9"/>
            <color indexed="81"/>
            <rFont val="Tahoma"/>
            <family val="2"/>
          </rPr>
          <t xml:space="preserve">
проверити збир!
</t>
        </r>
      </text>
    </comment>
    <comment ref="I455" authorId="0">
      <text>
        <r>
          <rPr>
            <b/>
            <sz val="9"/>
            <color indexed="81"/>
            <rFont val="Tahoma"/>
            <family val="2"/>
          </rPr>
          <t>LPA:</t>
        </r>
        <r>
          <rPr>
            <sz val="9"/>
            <color indexed="81"/>
            <rFont val="Tahoma"/>
            <family val="2"/>
          </rPr>
          <t xml:space="preserve">
проверити збир!
</t>
        </r>
      </text>
    </comment>
    <comment ref="I456" authorId="0">
      <text>
        <r>
          <rPr>
            <b/>
            <sz val="9"/>
            <color indexed="81"/>
            <rFont val="Tahoma"/>
            <family val="2"/>
          </rPr>
          <t>LPA:</t>
        </r>
        <r>
          <rPr>
            <sz val="9"/>
            <color indexed="81"/>
            <rFont val="Tahoma"/>
            <family val="2"/>
          </rPr>
          <t xml:space="preserve">
проверити збир!
</t>
        </r>
      </text>
    </comment>
    <comment ref="I457" authorId="0">
      <text>
        <r>
          <rPr>
            <b/>
            <sz val="9"/>
            <color indexed="81"/>
            <rFont val="Tahoma"/>
            <family val="2"/>
          </rPr>
          <t>LPA:</t>
        </r>
        <r>
          <rPr>
            <sz val="9"/>
            <color indexed="81"/>
            <rFont val="Tahoma"/>
            <family val="2"/>
          </rPr>
          <t xml:space="preserve">
проверити збир!
</t>
        </r>
      </text>
    </comment>
    <comment ref="I458" authorId="0">
      <text>
        <r>
          <rPr>
            <b/>
            <sz val="9"/>
            <color indexed="81"/>
            <rFont val="Tahoma"/>
            <family val="2"/>
          </rPr>
          <t>LPA:</t>
        </r>
        <r>
          <rPr>
            <sz val="9"/>
            <color indexed="81"/>
            <rFont val="Tahoma"/>
            <family val="2"/>
          </rPr>
          <t xml:space="preserve">
проверити збир!
</t>
        </r>
      </text>
    </comment>
    <comment ref="I459" authorId="0">
      <text>
        <r>
          <rPr>
            <b/>
            <sz val="9"/>
            <color indexed="81"/>
            <rFont val="Tahoma"/>
            <family val="2"/>
          </rPr>
          <t>LPA:</t>
        </r>
        <r>
          <rPr>
            <sz val="9"/>
            <color indexed="81"/>
            <rFont val="Tahoma"/>
            <family val="2"/>
          </rPr>
          <t xml:space="preserve">
проверити збир!
</t>
        </r>
      </text>
    </comment>
    <comment ref="I460" authorId="0">
      <text>
        <r>
          <rPr>
            <b/>
            <sz val="9"/>
            <color indexed="81"/>
            <rFont val="Tahoma"/>
            <family val="2"/>
          </rPr>
          <t>LPA:</t>
        </r>
        <r>
          <rPr>
            <sz val="9"/>
            <color indexed="81"/>
            <rFont val="Tahoma"/>
            <family val="2"/>
          </rPr>
          <t xml:space="preserve">
проверити збир!
</t>
        </r>
      </text>
    </comment>
    <comment ref="I461" authorId="0">
      <text>
        <r>
          <rPr>
            <b/>
            <sz val="9"/>
            <color indexed="81"/>
            <rFont val="Tahoma"/>
            <family val="2"/>
          </rPr>
          <t>LPA:</t>
        </r>
        <r>
          <rPr>
            <sz val="9"/>
            <color indexed="81"/>
            <rFont val="Tahoma"/>
            <family val="2"/>
          </rPr>
          <t xml:space="preserve">
проверити збир!
</t>
        </r>
      </text>
    </comment>
    <comment ref="I462" authorId="0">
      <text>
        <r>
          <rPr>
            <b/>
            <sz val="9"/>
            <color indexed="81"/>
            <rFont val="Tahoma"/>
            <family val="2"/>
          </rPr>
          <t>LPA:</t>
        </r>
        <r>
          <rPr>
            <sz val="9"/>
            <color indexed="81"/>
            <rFont val="Tahoma"/>
            <family val="2"/>
          </rPr>
          <t xml:space="preserve">
проверити збир!
</t>
        </r>
      </text>
    </comment>
    <comment ref="I487" authorId="0">
      <text>
        <r>
          <rPr>
            <b/>
            <sz val="9"/>
            <color indexed="81"/>
            <rFont val="Tahoma"/>
            <family val="2"/>
          </rPr>
          <t>LPA:</t>
        </r>
        <r>
          <rPr>
            <sz val="9"/>
            <color indexed="81"/>
            <rFont val="Tahoma"/>
            <family val="2"/>
          </rPr>
          <t xml:space="preserve">
проверити збир!
</t>
        </r>
      </text>
    </comment>
    <comment ref="I488" authorId="0">
      <text>
        <r>
          <rPr>
            <b/>
            <sz val="9"/>
            <color indexed="81"/>
            <rFont val="Tahoma"/>
            <family val="2"/>
          </rPr>
          <t>LPA:</t>
        </r>
        <r>
          <rPr>
            <sz val="9"/>
            <color indexed="81"/>
            <rFont val="Tahoma"/>
            <family val="2"/>
          </rPr>
          <t xml:space="preserve">
проверити збир!
</t>
        </r>
      </text>
    </comment>
    <comment ref="I489" authorId="0">
      <text>
        <r>
          <rPr>
            <b/>
            <sz val="9"/>
            <color indexed="81"/>
            <rFont val="Tahoma"/>
            <family val="2"/>
          </rPr>
          <t>LPA:</t>
        </r>
        <r>
          <rPr>
            <sz val="9"/>
            <color indexed="81"/>
            <rFont val="Tahoma"/>
            <family val="2"/>
          </rPr>
          <t xml:space="preserve">
проверити збир!
</t>
        </r>
      </text>
    </comment>
    <comment ref="I490" authorId="0">
      <text>
        <r>
          <rPr>
            <b/>
            <sz val="9"/>
            <color indexed="81"/>
            <rFont val="Tahoma"/>
            <family val="2"/>
          </rPr>
          <t>LPA:</t>
        </r>
        <r>
          <rPr>
            <sz val="9"/>
            <color indexed="81"/>
            <rFont val="Tahoma"/>
            <family val="2"/>
          </rPr>
          <t xml:space="preserve">
проверити збир!
</t>
        </r>
      </text>
    </comment>
    <comment ref="I491" authorId="0">
      <text>
        <r>
          <rPr>
            <b/>
            <sz val="9"/>
            <color indexed="81"/>
            <rFont val="Tahoma"/>
            <family val="2"/>
          </rPr>
          <t>LPA:</t>
        </r>
        <r>
          <rPr>
            <sz val="9"/>
            <color indexed="81"/>
            <rFont val="Tahoma"/>
            <family val="2"/>
          </rPr>
          <t xml:space="preserve">
проверити збир!
</t>
        </r>
      </text>
    </comment>
    <comment ref="I492" authorId="0">
      <text>
        <r>
          <rPr>
            <b/>
            <sz val="9"/>
            <color indexed="81"/>
            <rFont val="Tahoma"/>
            <family val="2"/>
          </rPr>
          <t>LPA:</t>
        </r>
        <r>
          <rPr>
            <sz val="9"/>
            <color indexed="81"/>
            <rFont val="Tahoma"/>
            <family val="2"/>
          </rPr>
          <t xml:space="preserve">
проверити збир!
</t>
        </r>
      </text>
    </comment>
    <comment ref="I493" authorId="0">
      <text>
        <r>
          <rPr>
            <b/>
            <sz val="9"/>
            <color indexed="81"/>
            <rFont val="Tahoma"/>
            <family val="2"/>
          </rPr>
          <t>LPA:</t>
        </r>
        <r>
          <rPr>
            <sz val="9"/>
            <color indexed="81"/>
            <rFont val="Tahoma"/>
            <family val="2"/>
          </rPr>
          <t xml:space="preserve">
проверити збир!
</t>
        </r>
      </text>
    </comment>
    <comment ref="I494" authorId="0">
      <text>
        <r>
          <rPr>
            <b/>
            <sz val="9"/>
            <color indexed="81"/>
            <rFont val="Tahoma"/>
            <family val="2"/>
          </rPr>
          <t>LPA:</t>
        </r>
        <r>
          <rPr>
            <sz val="9"/>
            <color indexed="81"/>
            <rFont val="Tahoma"/>
            <family val="2"/>
          </rPr>
          <t xml:space="preserve">
проверити збир!
</t>
        </r>
      </text>
    </comment>
    <comment ref="I495" authorId="0">
      <text>
        <r>
          <rPr>
            <b/>
            <sz val="9"/>
            <color indexed="81"/>
            <rFont val="Tahoma"/>
            <family val="2"/>
          </rPr>
          <t>LPA:</t>
        </r>
        <r>
          <rPr>
            <sz val="9"/>
            <color indexed="81"/>
            <rFont val="Tahoma"/>
            <family val="2"/>
          </rPr>
          <t xml:space="preserve">
проверити збир!
</t>
        </r>
      </text>
    </comment>
    <comment ref="I496" authorId="0">
      <text>
        <r>
          <rPr>
            <b/>
            <sz val="9"/>
            <color indexed="81"/>
            <rFont val="Tahoma"/>
            <family val="2"/>
          </rPr>
          <t>LPA:</t>
        </r>
        <r>
          <rPr>
            <sz val="9"/>
            <color indexed="81"/>
            <rFont val="Tahoma"/>
            <family val="2"/>
          </rPr>
          <t xml:space="preserve">
проверити збир!
</t>
        </r>
      </text>
    </comment>
    <comment ref="I497" authorId="0">
      <text>
        <r>
          <rPr>
            <b/>
            <sz val="9"/>
            <color indexed="81"/>
            <rFont val="Tahoma"/>
            <family val="2"/>
          </rPr>
          <t>LPA:</t>
        </r>
        <r>
          <rPr>
            <sz val="9"/>
            <color indexed="81"/>
            <rFont val="Tahoma"/>
            <family val="2"/>
          </rPr>
          <t xml:space="preserve">
проверити збир!
</t>
        </r>
      </text>
    </comment>
    <comment ref="I498" authorId="0">
      <text>
        <r>
          <rPr>
            <b/>
            <sz val="9"/>
            <color indexed="81"/>
            <rFont val="Tahoma"/>
            <family val="2"/>
          </rPr>
          <t>LPA:</t>
        </r>
        <r>
          <rPr>
            <sz val="9"/>
            <color indexed="81"/>
            <rFont val="Tahoma"/>
            <family val="2"/>
          </rPr>
          <t xml:space="preserve">
проверити збир!
</t>
        </r>
      </text>
    </comment>
    <comment ref="I499" authorId="0">
      <text>
        <r>
          <rPr>
            <b/>
            <sz val="9"/>
            <color indexed="81"/>
            <rFont val="Tahoma"/>
            <family val="2"/>
          </rPr>
          <t>LPA:</t>
        </r>
        <r>
          <rPr>
            <sz val="9"/>
            <color indexed="81"/>
            <rFont val="Tahoma"/>
            <family val="2"/>
          </rPr>
          <t xml:space="preserve">
проверити збир!
</t>
        </r>
      </text>
    </comment>
    <comment ref="H502" authorId="0">
      <text>
        <r>
          <rPr>
            <b/>
            <sz val="9"/>
            <color indexed="81"/>
            <rFont val="Tahoma"/>
            <family val="2"/>
          </rPr>
          <t>LPA:</t>
        </r>
        <r>
          <rPr>
            <sz val="9"/>
            <color indexed="81"/>
            <rFont val="Tahoma"/>
            <family val="2"/>
          </rPr>
          <t xml:space="preserve">
проверити збир!</t>
        </r>
      </text>
    </comment>
    <comment ref="I502" authorId="0">
      <text>
        <r>
          <rPr>
            <b/>
            <sz val="9"/>
            <color indexed="81"/>
            <rFont val="Tahoma"/>
            <family val="2"/>
          </rPr>
          <t>LPA:</t>
        </r>
        <r>
          <rPr>
            <sz val="9"/>
            <color indexed="81"/>
            <rFont val="Tahoma"/>
            <family val="2"/>
          </rPr>
          <t xml:space="preserve">
проверити збир!</t>
        </r>
      </text>
    </comment>
    <comment ref="I503" authorId="0">
      <text>
        <r>
          <rPr>
            <b/>
            <sz val="9"/>
            <color indexed="81"/>
            <rFont val="Tahoma"/>
            <family val="2"/>
          </rPr>
          <t>LPA:</t>
        </r>
        <r>
          <rPr>
            <sz val="9"/>
            <color indexed="81"/>
            <rFont val="Tahoma"/>
            <family val="2"/>
          </rPr>
          <t xml:space="preserve">
проверити збир!
</t>
        </r>
      </text>
    </comment>
    <comment ref="I504" authorId="0">
      <text>
        <r>
          <rPr>
            <b/>
            <sz val="9"/>
            <color indexed="81"/>
            <rFont val="Tahoma"/>
            <family val="2"/>
          </rPr>
          <t>LPA:</t>
        </r>
        <r>
          <rPr>
            <sz val="9"/>
            <color indexed="81"/>
            <rFont val="Tahoma"/>
            <family val="2"/>
          </rPr>
          <t xml:space="preserve">
проверити збир!
</t>
        </r>
      </text>
    </comment>
    <comment ref="I505" authorId="0">
      <text>
        <r>
          <rPr>
            <b/>
            <sz val="9"/>
            <color indexed="81"/>
            <rFont val="Tahoma"/>
            <family val="2"/>
          </rPr>
          <t>LPA:</t>
        </r>
        <r>
          <rPr>
            <sz val="9"/>
            <color indexed="81"/>
            <rFont val="Tahoma"/>
            <family val="2"/>
          </rPr>
          <t xml:space="preserve">
проверити збир!
</t>
        </r>
      </text>
    </comment>
    <comment ref="I506" authorId="0">
      <text>
        <r>
          <rPr>
            <b/>
            <sz val="9"/>
            <color indexed="81"/>
            <rFont val="Tahoma"/>
            <family val="2"/>
          </rPr>
          <t>LPA:</t>
        </r>
        <r>
          <rPr>
            <sz val="9"/>
            <color indexed="81"/>
            <rFont val="Tahoma"/>
            <family val="2"/>
          </rPr>
          <t xml:space="preserve">
проверити збир!
</t>
        </r>
      </text>
    </comment>
    <comment ref="I507" authorId="0">
      <text>
        <r>
          <rPr>
            <b/>
            <sz val="9"/>
            <color indexed="81"/>
            <rFont val="Tahoma"/>
            <family val="2"/>
          </rPr>
          <t>LPA:</t>
        </r>
        <r>
          <rPr>
            <sz val="9"/>
            <color indexed="81"/>
            <rFont val="Tahoma"/>
            <family val="2"/>
          </rPr>
          <t xml:space="preserve">
проверити збир!
</t>
        </r>
      </text>
    </comment>
    <comment ref="I508" authorId="0">
      <text>
        <r>
          <rPr>
            <b/>
            <sz val="9"/>
            <color indexed="81"/>
            <rFont val="Tahoma"/>
            <family val="2"/>
          </rPr>
          <t>LPA:</t>
        </r>
        <r>
          <rPr>
            <sz val="9"/>
            <color indexed="81"/>
            <rFont val="Tahoma"/>
            <family val="2"/>
          </rPr>
          <t xml:space="preserve">
проверити збир!
</t>
        </r>
      </text>
    </comment>
    <comment ref="I509" authorId="0">
      <text>
        <r>
          <rPr>
            <b/>
            <sz val="9"/>
            <color indexed="81"/>
            <rFont val="Tahoma"/>
            <family val="2"/>
          </rPr>
          <t>LPA:</t>
        </r>
        <r>
          <rPr>
            <sz val="9"/>
            <color indexed="81"/>
            <rFont val="Tahoma"/>
            <family val="2"/>
          </rPr>
          <t xml:space="preserve">
проверити збир!
</t>
        </r>
      </text>
    </comment>
    <comment ref="I510" authorId="0">
      <text>
        <r>
          <rPr>
            <b/>
            <sz val="9"/>
            <color indexed="81"/>
            <rFont val="Tahoma"/>
            <family val="2"/>
          </rPr>
          <t>LPA:</t>
        </r>
        <r>
          <rPr>
            <sz val="9"/>
            <color indexed="81"/>
            <rFont val="Tahoma"/>
            <family val="2"/>
          </rPr>
          <t xml:space="preserve">
проверити збир!
</t>
        </r>
      </text>
    </comment>
    <comment ref="I511" authorId="0">
      <text>
        <r>
          <rPr>
            <b/>
            <sz val="9"/>
            <color indexed="81"/>
            <rFont val="Tahoma"/>
            <family val="2"/>
          </rPr>
          <t>LPA:</t>
        </r>
        <r>
          <rPr>
            <sz val="9"/>
            <color indexed="81"/>
            <rFont val="Tahoma"/>
            <family val="2"/>
          </rPr>
          <t xml:space="preserve">
проверити збир!
</t>
        </r>
      </text>
    </comment>
    <comment ref="I512" authorId="0">
      <text>
        <r>
          <rPr>
            <b/>
            <sz val="9"/>
            <color indexed="81"/>
            <rFont val="Tahoma"/>
            <family val="2"/>
          </rPr>
          <t>LPA:</t>
        </r>
        <r>
          <rPr>
            <sz val="9"/>
            <color indexed="81"/>
            <rFont val="Tahoma"/>
            <family val="2"/>
          </rPr>
          <t xml:space="preserve">
проверити збир!
</t>
        </r>
      </text>
    </comment>
    <comment ref="I513" authorId="0">
      <text>
        <r>
          <rPr>
            <b/>
            <sz val="9"/>
            <color indexed="81"/>
            <rFont val="Tahoma"/>
            <family val="2"/>
          </rPr>
          <t>LPA:</t>
        </r>
        <r>
          <rPr>
            <sz val="9"/>
            <color indexed="81"/>
            <rFont val="Tahoma"/>
            <family val="2"/>
          </rPr>
          <t xml:space="preserve">
проверити збир!
</t>
        </r>
      </text>
    </comment>
    <comment ref="I514" authorId="0">
      <text>
        <r>
          <rPr>
            <b/>
            <sz val="9"/>
            <color indexed="81"/>
            <rFont val="Tahoma"/>
            <family val="2"/>
          </rPr>
          <t>LPA:</t>
        </r>
        <r>
          <rPr>
            <sz val="9"/>
            <color indexed="81"/>
            <rFont val="Tahoma"/>
            <family val="2"/>
          </rPr>
          <t xml:space="preserve">
проверити збир!
</t>
        </r>
      </text>
    </comment>
    <comment ref="I515" authorId="0">
      <text>
        <r>
          <rPr>
            <b/>
            <sz val="9"/>
            <color indexed="81"/>
            <rFont val="Tahoma"/>
            <family val="2"/>
          </rPr>
          <t>LPA:</t>
        </r>
        <r>
          <rPr>
            <sz val="9"/>
            <color indexed="81"/>
            <rFont val="Tahoma"/>
            <family val="2"/>
          </rPr>
          <t xml:space="preserve">
проверити збир!
</t>
        </r>
      </text>
    </comment>
    <comment ref="I516" authorId="0">
      <text>
        <r>
          <rPr>
            <b/>
            <sz val="9"/>
            <color indexed="81"/>
            <rFont val="Tahoma"/>
            <family val="2"/>
          </rPr>
          <t>LPA:</t>
        </r>
        <r>
          <rPr>
            <sz val="9"/>
            <color indexed="81"/>
            <rFont val="Tahoma"/>
            <family val="2"/>
          </rPr>
          <t xml:space="preserve">
проверити збир!
</t>
        </r>
      </text>
    </comment>
    <comment ref="I517" authorId="0">
      <text>
        <r>
          <rPr>
            <b/>
            <sz val="9"/>
            <color indexed="81"/>
            <rFont val="Tahoma"/>
            <family val="2"/>
          </rPr>
          <t>LPA:</t>
        </r>
        <r>
          <rPr>
            <sz val="9"/>
            <color indexed="81"/>
            <rFont val="Tahoma"/>
            <family val="2"/>
          </rPr>
          <t xml:space="preserve">
проверити збир!
</t>
        </r>
      </text>
    </comment>
    <comment ref="H529" authorId="0">
      <text>
        <r>
          <rPr>
            <b/>
            <sz val="9"/>
            <color indexed="81"/>
            <rFont val="Tahoma"/>
            <family val="2"/>
          </rPr>
          <t>LPA:</t>
        </r>
        <r>
          <rPr>
            <sz val="9"/>
            <color indexed="81"/>
            <rFont val="Tahoma"/>
            <family val="2"/>
          </rPr>
          <t xml:space="preserve">
проверити збир!</t>
        </r>
      </text>
    </comment>
    <comment ref="I529" authorId="0">
      <text>
        <r>
          <rPr>
            <b/>
            <sz val="9"/>
            <color indexed="81"/>
            <rFont val="Tahoma"/>
            <family val="2"/>
          </rPr>
          <t>LPA:</t>
        </r>
        <r>
          <rPr>
            <sz val="9"/>
            <color indexed="81"/>
            <rFont val="Tahoma"/>
            <family val="2"/>
          </rPr>
          <t xml:space="preserve">
проверити збир!
</t>
        </r>
      </text>
    </comment>
    <comment ref="I530" authorId="0">
      <text>
        <r>
          <rPr>
            <b/>
            <sz val="9"/>
            <color indexed="81"/>
            <rFont val="Tahoma"/>
            <family val="2"/>
          </rPr>
          <t>LPA:</t>
        </r>
        <r>
          <rPr>
            <sz val="9"/>
            <color indexed="81"/>
            <rFont val="Tahoma"/>
            <family val="2"/>
          </rPr>
          <t xml:space="preserve">
проверити збир!
</t>
        </r>
      </text>
    </comment>
    <comment ref="I531" authorId="0">
      <text>
        <r>
          <rPr>
            <b/>
            <sz val="9"/>
            <color indexed="81"/>
            <rFont val="Tahoma"/>
            <family val="2"/>
          </rPr>
          <t>LPA:</t>
        </r>
        <r>
          <rPr>
            <sz val="9"/>
            <color indexed="81"/>
            <rFont val="Tahoma"/>
            <family val="2"/>
          </rPr>
          <t xml:space="preserve">
проверити збир!
</t>
        </r>
      </text>
    </comment>
    <comment ref="I532" authorId="0">
      <text>
        <r>
          <rPr>
            <b/>
            <sz val="9"/>
            <color indexed="81"/>
            <rFont val="Tahoma"/>
            <family val="2"/>
          </rPr>
          <t>LPA:</t>
        </r>
        <r>
          <rPr>
            <sz val="9"/>
            <color indexed="81"/>
            <rFont val="Tahoma"/>
            <family val="2"/>
          </rPr>
          <t xml:space="preserve">
проверити збир!
</t>
        </r>
      </text>
    </comment>
    <comment ref="I533" authorId="0">
      <text>
        <r>
          <rPr>
            <b/>
            <sz val="9"/>
            <color indexed="81"/>
            <rFont val="Tahoma"/>
            <family val="2"/>
          </rPr>
          <t>LPA:</t>
        </r>
        <r>
          <rPr>
            <sz val="9"/>
            <color indexed="81"/>
            <rFont val="Tahoma"/>
            <family val="2"/>
          </rPr>
          <t xml:space="preserve">
проверити збир!
</t>
        </r>
      </text>
    </comment>
    <comment ref="I534" authorId="0">
      <text>
        <r>
          <rPr>
            <b/>
            <sz val="9"/>
            <color indexed="81"/>
            <rFont val="Tahoma"/>
            <family val="2"/>
          </rPr>
          <t>LPA:</t>
        </r>
        <r>
          <rPr>
            <sz val="9"/>
            <color indexed="81"/>
            <rFont val="Tahoma"/>
            <family val="2"/>
          </rPr>
          <t xml:space="preserve">
проверити збир!
</t>
        </r>
      </text>
    </comment>
    <comment ref="I535" authorId="0">
      <text>
        <r>
          <rPr>
            <b/>
            <sz val="9"/>
            <color indexed="81"/>
            <rFont val="Tahoma"/>
            <family val="2"/>
          </rPr>
          <t>LPA:</t>
        </r>
        <r>
          <rPr>
            <sz val="9"/>
            <color indexed="81"/>
            <rFont val="Tahoma"/>
            <family val="2"/>
          </rPr>
          <t xml:space="preserve">
проверити збир!
</t>
        </r>
      </text>
    </comment>
    <comment ref="I536" authorId="0">
      <text>
        <r>
          <rPr>
            <b/>
            <sz val="9"/>
            <color indexed="81"/>
            <rFont val="Tahoma"/>
            <family val="2"/>
          </rPr>
          <t>LPA:</t>
        </r>
        <r>
          <rPr>
            <sz val="9"/>
            <color indexed="81"/>
            <rFont val="Tahoma"/>
            <family val="2"/>
          </rPr>
          <t xml:space="preserve">
проверити збир!
</t>
        </r>
      </text>
    </comment>
    <comment ref="I537" authorId="0">
      <text>
        <r>
          <rPr>
            <b/>
            <sz val="9"/>
            <color indexed="81"/>
            <rFont val="Tahoma"/>
            <family val="2"/>
          </rPr>
          <t>LPA:</t>
        </r>
        <r>
          <rPr>
            <sz val="9"/>
            <color indexed="81"/>
            <rFont val="Tahoma"/>
            <family val="2"/>
          </rPr>
          <t xml:space="preserve">
проверити збир!
</t>
        </r>
      </text>
    </comment>
    <comment ref="I538" authorId="0">
      <text>
        <r>
          <rPr>
            <b/>
            <sz val="9"/>
            <color indexed="81"/>
            <rFont val="Tahoma"/>
            <family val="2"/>
          </rPr>
          <t>LPA:</t>
        </r>
        <r>
          <rPr>
            <sz val="9"/>
            <color indexed="81"/>
            <rFont val="Tahoma"/>
            <family val="2"/>
          </rPr>
          <t xml:space="preserve">
проверити збир!
</t>
        </r>
      </text>
    </comment>
    <comment ref="I539" authorId="0">
      <text>
        <r>
          <rPr>
            <b/>
            <sz val="9"/>
            <color indexed="81"/>
            <rFont val="Tahoma"/>
            <family val="2"/>
          </rPr>
          <t>LPA:</t>
        </r>
        <r>
          <rPr>
            <sz val="9"/>
            <color indexed="81"/>
            <rFont val="Tahoma"/>
            <family val="2"/>
          </rPr>
          <t xml:space="preserve">
проверити збир!
</t>
        </r>
      </text>
    </comment>
    <comment ref="I540" authorId="0">
      <text>
        <r>
          <rPr>
            <b/>
            <sz val="9"/>
            <color indexed="81"/>
            <rFont val="Tahoma"/>
            <family val="2"/>
          </rPr>
          <t>LPA:</t>
        </r>
        <r>
          <rPr>
            <sz val="9"/>
            <color indexed="81"/>
            <rFont val="Tahoma"/>
            <family val="2"/>
          </rPr>
          <t xml:space="preserve">
проверити збир!
</t>
        </r>
      </text>
    </comment>
    <comment ref="I541" authorId="0">
      <text>
        <r>
          <rPr>
            <b/>
            <sz val="9"/>
            <color indexed="81"/>
            <rFont val="Tahoma"/>
            <family val="2"/>
          </rPr>
          <t>LPA:</t>
        </r>
        <r>
          <rPr>
            <sz val="9"/>
            <color indexed="81"/>
            <rFont val="Tahoma"/>
            <family val="2"/>
          </rPr>
          <t xml:space="preserve">
проверити збир!
</t>
        </r>
      </text>
    </comment>
    <comment ref="I542" authorId="0">
      <text>
        <r>
          <rPr>
            <b/>
            <sz val="9"/>
            <color indexed="81"/>
            <rFont val="Tahoma"/>
            <family val="2"/>
          </rPr>
          <t>LPA:</t>
        </r>
        <r>
          <rPr>
            <sz val="9"/>
            <color indexed="81"/>
            <rFont val="Tahoma"/>
            <family val="2"/>
          </rPr>
          <t xml:space="preserve">
проверити збир!
</t>
        </r>
      </text>
    </comment>
    <comment ref="I543" authorId="0">
      <text>
        <r>
          <rPr>
            <b/>
            <sz val="9"/>
            <color indexed="81"/>
            <rFont val="Tahoma"/>
            <family val="2"/>
          </rPr>
          <t>LPA:</t>
        </r>
        <r>
          <rPr>
            <sz val="9"/>
            <color indexed="81"/>
            <rFont val="Tahoma"/>
            <family val="2"/>
          </rPr>
          <t xml:space="preserve">
проверити збир!
</t>
        </r>
      </text>
    </comment>
    <comment ref="I544" authorId="0">
      <text>
        <r>
          <rPr>
            <b/>
            <sz val="9"/>
            <color indexed="81"/>
            <rFont val="Tahoma"/>
            <family val="2"/>
          </rPr>
          <t>LPA:</t>
        </r>
        <r>
          <rPr>
            <sz val="9"/>
            <color indexed="81"/>
            <rFont val="Tahoma"/>
            <family val="2"/>
          </rPr>
          <t xml:space="preserve">
проверити збир!
</t>
        </r>
      </text>
    </comment>
    <comment ref="H548" authorId="0">
      <text>
        <r>
          <rPr>
            <b/>
            <sz val="9"/>
            <color indexed="81"/>
            <rFont val="Tahoma"/>
            <family val="2"/>
          </rPr>
          <t>LPA:</t>
        </r>
        <r>
          <rPr>
            <sz val="9"/>
            <color indexed="81"/>
            <rFont val="Tahoma"/>
            <family val="2"/>
          </rPr>
          <t xml:space="preserve">
провери збир!</t>
        </r>
      </text>
    </comment>
    <comment ref="I548" authorId="0">
      <text>
        <r>
          <rPr>
            <b/>
            <sz val="9"/>
            <color indexed="81"/>
            <rFont val="Tahoma"/>
            <family val="2"/>
          </rPr>
          <t>LPA:</t>
        </r>
        <r>
          <rPr>
            <sz val="9"/>
            <color indexed="81"/>
            <rFont val="Tahoma"/>
            <family val="2"/>
          </rPr>
          <t xml:space="preserve">
проверити збир!
</t>
        </r>
      </text>
    </comment>
    <comment ref="I549" authorId="0">
      <text>
        <r>
          <rPr>
            <b/>
            <sz val="9"/>
            <color indexed="81"/>
            <rFont val="Tahoma"/>
            <family val="2"/>
          </rPr>
          <t>LPA:</t>
        </r>
        <r>
          <rPr>
            <sz val="9"/>
            <color indexed="81"/>
            <rFont val="Tahoma"/>
            <family val="2"/>
          </rPr>
          <t xml:space="preserve">
проверити збир!
</t>
        </r>
      </text>
    </comment>
    <comment ref="I550" authorId="0">
      <text>
        <r>
          <rPr>
            <b/>
            <sz val="9"/>
            <color indexed="81"/>
            <rFont val="Tahoma"/>
            <family val="2"/>
          </rPr>
          <t>LPA:</t>
        </r>
        <r>
          <rPr>
            <sz val="9"/>
            <color indexed="81"/>
            <rFont val="Tahoma"/>
            <family val="2"/>
          </rPr>
          <t xml:space="preserve">
проверити збир!
</t>
        </r>
      </text>
    </comment>
    <comment ref="I551" authorId="0">
      <text>
        <r>
          <rPr>
            <b/>
            <sz val="9"/>
            <color indexed="81"/>
            <rFont val="Tahoma"/>
            <family val="2"/>
          </rPr>
          <t>LPA:</t>
        </r>
        <r>
          <rPr>
            <sz val="9"/>
            <color indexed="81"/>
            <rFont val="Tahoma"/>
            <family val="2"/>
          </rPr>
          <t xml:space="preserve">
проверити збир!
</t>
        </r>
      </text>
    </comment>
    <comment ref="I552" authorId="0">
      <text>
        <r>
          <rPr>
            <b/>
            <sz val="9"/>
            <color indexed="81"/>
            <rFont val="Tahoma"/>
            <family val="2"/>
          </rPr>
          <t>LPA:</t>
        </r>
        <r>
          <rPr>
            <sz val="9"/>
            <color indexed="81"/>
            <rFont val="Tahoma"/>
            <family val="2"/>
          </rPr>
          <t xml:space="preserve">
проверити збир!
</t>
        </r>
      </text>
    </comment>
    <comment ref="I553" authorId="0">
      <text>
        <r>
          <rPr>
            <b/>
            <sz val="9"/>
            <color indexed="81"/>
            <rFont val="Tahoma"/>
            <family val="2"/>
          </rPr>
          <t>LPA:</t>
        </r>
        <r>
          <rPr>
            <sz val="9"/>
            <color indexed="81"/>
            <rFont val="Tahoma"/>
            <family val="2"/>
          </rPr>
          <t xml:space="preserve">
проверити збир!
</t>
        </r>
      </text>
    </comment>
    <comment ref="I554" authorId="0">
      <text>
        <r>
          <rPr>
            <b/>
            <sz val="9"/>
            <color indexed="81"/>
            <rFont val="Tahoma"/>
            <family val="2"/>
          </rPr>
          <t>LPA:</t>
        </r>
        <r>
          <rPr>
            <sz val="9"/>
            <color indexed="81"/>
            <rFont val="Tahoma"/>
            <family val="2"/>
          </rPr>
          <t xml:space="preserve">
проверити збир!
</t>
        </r>
      </text>
    </comment>
    <comment ref="I555" authorId="0">
      <text>
        <r>
          <rPr>
            <b/>
            <sz val="9"/>
            <color indexed="81"/>
            <rFont val="Tahoma"/>
            <family val="2"/>
          </rPr>
          <t>LPA:</t>
        </r>
        <r>
          <rPr>
            <sz val="9"/>
            <color indexed="81"/>
            <rFont val="Tahoma"/>
            <family val="2"/>
          </rPr>
          <t xml:space="preserve">
проверити збир!
</t>
        </r>
      </text>
    </comment>
    <comment ref="I556" authorId="0">
      <text>
        <r>
          <rPr>
            <b/>
            <sz val="9"/>
            <color indexed="81"/>
            <rFont val="Tahoma"/>
            <family val="2"/>
          </rPr>
          <t>LPA:</t>
        </r>
        <r>
          <rPr>
            <sz val="9"/>
            <color indexed="81"/>
            <rFont val="Tahoma"/>
            <family val="2"/>
          </rPr>
          <t xml:space="preserve">
проверити збир!
</t>
        </r>
      </text>
    </comment>
    <comment ref="I557" authorId="0">
      <text>
        <r>
          <rPr>
            <b/>
            <sz val="9"/>
            <color indexed="81"/>
            <rFont val="Tahoma"/>
            <family val="2"/>
          </rPr>
          <t>LPA:</t>
        </r>
        <r>
          <rPr>
            <sz val="9"/>
            <color indexed="81"/>
            <rFont val="Tahoma"/>
            <family val="2"/>
          </rPr>
          <t xml:space="preserve">
проверити збир!
</t>
        </r>
      </text>
    </comment>
    <comment ref="I558" authorId="0">
      <text>
        <r>
          <rPr>
            <b/>
            <sz val="9"/>
            <color indexed="81"/>
            <rFont val="Tahoma"/>
            <family val="2"/>
          </rPr>
          <t>LPA:</t>
        </r>
        <r>
          <rPr>
            <sz val="9"/>
            <color indexed="81"/>
            <rFont val="Tahoma"/>
            <family val="2"/>
          </rPr>
          <t xml:space="preserve">
проверити збир!
</t>
        </r>
      </text>
    </comment>
    <comment ref="I559" authorId="0">
      <text>
        <r>
          <rPr>
            <b/>
            <sz val="9"/>
            <color indexed="81"/>
            <rFont val="Tahoma"/>
            <family val="2"/>
          </rPr>
          <t>LPA:</t>
        </r>
        <r>
          <rPr>
            <sz val="9"/>
            <color indexed="81"/>
            <rFont val="Tahoma"/>
            <family val="2"/>
          </rPr>
          <t xml:space="preserve">
проверити збир!
</t>
        </r>
      </text>
    </comment>
    <comment ref="I560" authorId="0">
      <text>
        <r>
          <rPr>
            <b/>
            <sz val="9"/>
            <color indexed="81"/>
            <rFont val="Tahoma"/>
            <family val="2"/>
          </rPr>
          <t>LPA:</t>
        </r>
        <r>
          <rPr>
            <sz val="9"/>
            <color indexed="81"/>
            <rFont val="Tahoma"/>
            <family val="2"/>
          </rPr>
          <t xml:space="preserve">
проверити збир!
</t>
        </r>
      </text>
    </comment>
    <comment ref="I561" authorId="0">
      <text>
        <r>
          <rPr>
            <b/>
            <sz val="9"/>
            <color indexed="81"/>
            <rFont val="Tahoma"/>
            <family val="2"/>
          </rPr>
          <t>LPA:</t>
        </r>
        <r>
          <rPr>
            <sz val="9"/>
            <color indexed="81"/>
            <rFont val="Tahoma"/>
            <family val="2"/>
          </rPr>
          <t xml:space="preserve">
проверити збир!
</t>
        </r>
      </text>
    </comment>
    <comment ref="I562" authorId="0">
      <text>
        <r>
          <rPr>
            <b/>
            <sz val="9"/>
            <color indexed="81"/>
            <rFont val="Tahoma"/>
            <family val="2"/>
          </rPr>
          <t>LPA:</t>
        </r>
        <r>
          <rPr>
            <sz val="9"/>
            <color indexed="81"/>
            <rFont val="Tahoma"/>
            <family val="2"/>
          </rPr>
          <t xml:space="preserve">
проверити збир!
</t>
        </r>
      </text>
    </comment>
    <comment ref="I563" authorId="0">
      <text>
        <r>
          <rPr>
            <b/>
            <sz val="9"/>
            <color indexed="81"/>
            <rFont val="Tahoma"/>
            <family val="2"/>
          </rPr>
          <t>LPA:</t>
        </r>
        <r>
          <rPr>
            <sz val="9"/>
            <color indexed="81"/>
            <rFont val="Tahoma"/>
            <family val="2"/>
          </rPr>
          <t xml:space="preserve">
проверити збир!
</t>
        </r>
      </text>
    </comment>
    <comment ref="H567" authorId="0">
      <text>
        <r>
          <rPr>
            <b/>
            <sz val="9"/>
            <color indexed="81"/>
            <rFont val="Tahoma"/>
            <family val="2"/>
          </rPr>
          <t>LPA:</t>
        </r>
        <r>
          <rPr>
            <sz val="9"/>
            <color indexed="81"/>
            <rFont val="Tahoma"/>
            <family val="2"/>
          </rPr>
          <t xml:space="preserve">
проверити збир!</t>
        </r>
      </text>
    </comment>
    <comment ref="I567" authorId="0">
      <text>
        <r>
          <rPr>
            <b/>
            <sz val="9"/>
            <color indexed="81"/>
            <rFont val="Tahoma"/>
            <family val="2"/>
          </rPr>
          <t>LPA:</t>
        </r>
        <r>
          <rPr>
            <sz val="9"/>
            <color indexed="81"/>
            <rFont val="Tahoma"/>
            <family val="2"/>
          </rPr>
          <t xml:space="preserve">
проверити збир!
</t>
        </r>
      </text>
    </comment>
    <comment ref="I568" authorId="0">
      <text>
        <r>
          <rPr>
            <b/>
            <sz val="9"/>
            <color indexed="81"/>
            <rFont val="Tahoma"/>
            <family val="2"/>
          </rPr>
          <t>LPA:</t>
        </r>
        <r>
          <rPr>
            <sz val="9"/>
            <color indexed="81"/>
            <rFont val="Tahoma"/>
            <family val="2"/>
          </rPr>
          <t xml:space="preserve">
проверити збир!
</t>
        </r>
      </text>
    </comment>
    <comment ref="I569" authorId="0">
      <text>
        <r>
          <rPr>
            <b/>
            <sz val="9"/>
            <color indexed="81"/>
            <rFont val="Tahoma"/>
            <family val="2"/>
          </rPr>
          <t>LPA:</t>
        </r>
        <r>
          <rPr>
            <sz val="9"/>
            <color indexed="81"/>
            <rFont val="Tahoma"/>
            <family val="2"/>
          </rPr>
          <t xml:space="preserve">
проверити збир!
</t>
        </r>
      </text>
    </comment>
    <comment ref="I570" authorId="0">
      <text>
        <r>
          <rPr>
            <b/>
            <sz val="9"/>
            <color indexed="81"/>
            <rFont val="Tahoma"/>
            <family val="2"/>
          </rPr>
          <t>LPA:</t>
        </r>
        <r>
          <rPr>
            <sz val="9"/>
            <color indexed="81"/>
            <rFont val="Tahoma"/>
            <family val="2"/>
          </rPr>
          <t xml:space="preserve">
проверити збир!
</t>
        </r>
      </text>
    </comment>
    <comment ref="I571" authorId="0">
      <text>
        <r>
          <rPr>
            <b/>
            <sz val="9"/>
            <color indexed="81"/>
            <rFont val="Tahoma"/>
            <family val="2"/>
          </rPr>
          <t>LPA:</t>
        </r>
        <r>
          <rPr>
            <sz val="9"/>
            <color indexed="81"/>
            <rFont val="Tahoma"/>
            <family val="2"/>
          </rPr>
          <t xml:space="preserve">
проверити збир!
</t>
        </r>
      </text>
    </comment>
    <comment ref="I572" authorId="0">
      <text>
        <r>
          <rPr>
            <b/>
            <sz val="9"/>
            <color indexed="81"/>
            <rFont val="Tahoma"/>
            <family val="2"/>
          </rPr>
          <t>LPA:</t>
        </r>
        <r>
          <rPr>
            <sz val="9"/>
            <color indexed="81"/>
            <rFont val="Tahoma"/>
            <family val="2"/>
          </rPr>
          <t xml:space="preserve">
проверити збир!
</t>
        </r>
      </text>
    </comment>
    <comment ref="I573" authorId="0">
      <text>
        <r>
          <rPr>
            <b/>
            <sz val="9"/>
            <color indexed="81"/>
            <rFont val="Tahoma"/>
            <family val="2"/>
          </rPr>
          <t>LPA:</t>
        </r>
        <r>
          <rPr>
            <sz val="9"/>
            <color indexed="81"/>
            <rFont val="Tahoma"/>
            <family val="2"/>
          </rPr>
          <t xml:space="preserve">
проверити збир!
</t>
        </r>
      </text>
    </comment>
    <comment ref="I574" authorId="0">
      <text>
        <r>
          <rPr>
            <b/>
            <sz val="9"/>
            <color indexed="81"/>
            <rFont val="Tahoma"/>
            <family val="2"/>
          </rPr>
          <t>LPA:</t>
        </r>
        <r>
          <rPr>
            <sz val="9"/>
            <color indexed="81"/>
            <rFont val="Tahoma"/>
            <family val="2"/>
          </rPr>
          <t xml:space="preserve">
проверити збир!
</t>
        </r>
      </text>
    </comment>
    <comment ref="I575" authorId="0">
      <text>
        <r>
          <rPr>
            <b/>
            <sz val="9"/>
            <color indexed="81"/>
            <rFont val="Tahoma"/>
            <family val="2"/>
          </rPr>
          <t>LPA:</t>
        </r>
        <r>
          <rPr>
            <sz val="9"/>
            <color indexed="81"/>
            <rFont val="Tahoma"/>
            <family val="2"/>
          </rPr>
          <t xml:space="preserve">
проверити збир!
</t>
        </r>
      </text>
    </comment>
    <comment ref="I576" authorId="0">
      <text>
        <r>
          <rPr>
            <b/>
            <sz val="9"/>
            <color indexed="81"/>
            <rFont val="Tahoma"/>
            <family val="2"/>
          </rPr>
          <t>LPA:</t>
        </r>
        <r>
          <rPr>
            <sz val="9"/>
            <color indexed="81"/>
            <rFont val="Tahoma"/>
            <family val="2"/>
          </rPr>
          <t xml:space="preserve">
проверити збир!
</t>
        </r>
      </text>
    </comment>
    <comment ref="I577" authorId="0">
      <text>
        <r>
          <rPr>
            <b/>
            <sz val="9"/>
            <color indexed="81"/>
            <rFont val="Tahoma"/>
            <family val="2"/>
          </rPr>
          <t>LPA:</t>
        </r>
        <r>
          <rPr>
            <sz val="9"/>
            <color indexed="81"/>
            <rFont val="Tahoma"/>
            <family val="2"/>
          </rPr>
          <t xml:space="preserve">
проверити збир!
</t>
        </r>
      </text>
    </comment>
    <comment ref="I578" authorId="0">
      <text>
        <r>
          <rPr>
            <b/>
            <sz val="9"/>
            <color indexed="81"/>
            <rFont val="Tahoma"/>
            <family val="2"/>
          </rPr>
          <t>LPA:</t>
        </r>
        <r>
          <rPr>
            <sz val="9"/>
            <color indexed="81"/>
            <rFont val="Tahoma"/>
            <family val="2"/>
          </rPr>
          <t xml:space="preserve">
проверити збир!
</t>
        </r>
      </text>
    </comment>
    <comment ref="I579" authorId="0">
      <text>
        <r>
          <rPr>
            <b/>
            <sz val="9"/>
            <color indexed="81"/>
            <rFont val="Tahoma"/>
            <family val="2"/>
          </rPr>
          <t>LPA:</t>
        </r>
        <r>
          <rPr>
            <sz val="9"/>
            <color indexed="81"/>
            <rFont val="Tahoma"/>
            <family val="2"/>
          </rPr>
          <t xml:space="preserve">
проверити збир!
</t>
        </r>
      </text>
    </comment>
    <comment ref="I580" authorId="0">
      <text>
        <r>
          <rPr>
            <b/>
            <sz val="9"/>
            <color indexed="81"/>
            <rFont val="Tahoma"/>
            <family val="2"/>
          </rPr>
          <t>LPA:</t>
        </r>
        <r>
          <rPr>
            <sz val="9"/>
            <color indexed="81"/>
            <rFont val="Tahoma"/>
            <family val="2"/>
          </rPr>
          <t xml:space="preserve">
проверити збир!
</t>
        </r>
      </text>
    </comment>
    <comment ref="I581" authorId="0">
      <text>
        <r>
          <rPr>
            <b/>
            <sz val="9"/>
            <color indexed="81"/>
            <rFont val="Tahoma"/>
            <family val="2"/>
          </rPr>
          <t>LPA:</t>
        </r>
        <r>
          <rPr>
            <sz val="9"/>
            <color indexed="81"/>
            <rFont val="Tahoma"/>
            <family val="2"/>
          </rPr>
          <t xml:space="preserve">
проверити збир!
</t>
        </r>
      </text>
    </comment>
    <comment ref="I582" authorId="0">
      <text>
        <r>
          <rPr>
            <b/>
            <sz val="9"/>
            <color indexed="81"/>
            <rFont val="Tahoma"/>
            <family val="2"/>
          </rPr>
          <t>LPA:</t>
        </r>
        <r>
          <rPr>
            <sz val="9"/>
            <color indexed="81"/>
            <rFont val="Tahoma"/>
            <family val="2"/>
          </rPr>
          <t xml:space="preserve">
проверити збир!
</t>
        </r>
      </text>
    </comment>
    <comment ref="I655" authorId="0">
      <text>
        <r>
          <rPr>
            <b/>
            <sz val="9"/>
            <color indexed="81"/>
            <rFont val="Tahoma"/>
            <family val="2"/>
          </rPr>
          <t>LPA:</t>
        </r>
        <r>
          <rPr>
            <sz val="9"/>
            <color indexed="81"/>
            <rFont val="Tahoma"/>
            <family val="2"/>
          </rPr>
          <t xml:space="preserve">
проверити збир!
</t>
        </r>
      </text>
    </comment>
    <comment ref="I656" authorId="0">
      <text>
        <r>
          <rPr>
            <b/>
            <sz val="9"/>
            <color indexed="81"/>
            <rFont val="Tahoma"/>
            <family val="2"/>
          </rPr>
          <t>LPA:</t>
        </r>
        <r>
          <rPr>
            <sz val="9"/>
            <color indexed="81"/>
            <rFont val="Tahoma"/>
            <family val="2"/>
          </rPr>
          <t xml:space="preserve">
проверити збир!
</t>
        </r>
      </text>
    </comment>
    <comment ref="I657" authorId="0">
      <text>
        <r>
          <rPr>
            <b/>
            <sz val="9"/>
            <color indexed="81"/>
            <rFont val="Tahoma"/>
            <family val="2"/>
          </rPr>
          <t>LPA:</t>
        </r>
        <r>
          <rPr>
            <sz val="9"/>
            <color indexed="81"/>
            <rFont val="Tahoma"/>
            <family val="2"/>
          </rPr>
          <t xml:space="preserve">
проверити збир!
</t>
        </r>
      </text>
    </comment>
    <comment ref="I658" authorId="0">
      <text>
        <r>
          <rPr>
            <b/>
            <sz val="9"/>
            <color indexed="81"/>
            <rFont val="Tahoma"/>
            <family val="2"/>
          </rPr>
          <t>LPA:</t>
        </r>
        <r>
          <rPr>
            <sz val="9"/>
            <color indexed="81"/>
            <rFont val="Tahoma"/>
            <family val="2"/>
          </rPr>
          <t xml:space="preserve">
проверити збир!
</t>
        </r>
      </text>
    </comment>
    <comment ref="I659" authorId="0">
      <text>
        <r>
          <rPr>
            <b/>
            <sz val="9"/>
            <color indexed="81"/>
            <rFont val="Tahoma"/>
            <family val="2"/>
          </rPr>
          <t>LPA:</t>
        </r>
        <r>
          <rPr>
            <sz val="9"/>
            <color indexed="81"/>
            <rFont val="Tahoma"/>
            <family val="2"/>
          </rPr>
          <t xml:space="preserve">
проверити збир!
</t>
        </r>
      </text>
    </comment>
    <comment ref="I660" authorId="0">
      <text>
        <r>
          <rPr>
            <b/>
            <sz val="9"/>
            <color indexed="81"/>
            <rFont val="Tahoma"/>
            <family val="2"/>
          </rPr>
          <t>LPA:</t>
        </r>
        <r>
          <rPr>
            <sz val="9"/>
            <color indexed="81"/>
            <rFont val="Tahoma"/>
            <family val="2"/>
          </rPr>
          <t xml:space="preserve">
проверити збир!
</t>
        </r>
      </text>
    </comment>
    <comment ref="I661" authorId="0">
      <text>
        <r>
          <rPr>
            <b/>
            <sz val="9"/>
            <color indexed="81"/>
            <rFont val="Tahoma"/>
            <family val="2"/>
          </rPr>
          <t>LPA:</t>
        </r>
        <r>
          <rPr>
            <sz val="9"/>
            <color indexed="81"/>
            <rFont val="Tahoma"/>
            <family val="2"/>
          </rPr>
          <t xml:space="preserve">
проверити збир!
</t>
        </r>
      </text>
    </comment>
    <comment ref="I662" authorId="0">
      <text>
        <r>
          <rPr>
            <b/>
            <sz val="9"/>
            <color indexed="81"/>
            <rFont val="Tahoma"/>
            <family val="2"/>
          </rPr>
          <t>LPA:</t>
        </r>
        <r>
          <rPr>
            <sz val="9"/>
            <color indexed="81"/>
            <rFont val="Tahoma"/>
            <family val="2"/>
          </rPr>
          <t xml:space="preserve">
проверити збир!
</t>
        </r>
      </text>
    </comment>
    <comment ref="I663" authorId="0">
      <text>
        <r>
          <rPr>
            <b/>
            <sz val="9"/>
            <color indexed="81"/>
            <rFont val="Tahoma"/>
            <family val="2"/>
          </rPr>
          <t>LPA:</t>
        </r>
        <r>
          <rPr>
            <sz val="9"/>
            <color indexed="81"/>
            <rFont val="Tahoma"/>
            <family val="2"/>
          </rPr>
          <t xml:space="preserve">
проверити збир!
</t>
        </r>
      </text>
    </comment>
    <comment ref="I664" authorId="0">
      <text>
        <r>
          <rPr>
            <b/>
            <sz val="9"/>
            <color indexed="81"/>
            <rFont val="Tahoma"/>
            <family val="2"/>
          </rPr>
          <t>LPA:</t>
        </r>
        <r>
          <rPr>
            <sz val="9"/>
            <color indexed="81"/>
            <rFont val="Tahoma"/>
            <family val="2"/>
          </rPr>
          <t xml:space="preserve">
проверити збир!
</t>
        </r>
      </text>
    </comment>
    <comment ref="I665" authorId="0">
      <text>
        <r>
          <rPr>
            <b/>
            <sz val="9"/>
            <color indexed="81"/>
            <rFont val="Tahoma"/>
            <family val="2"/>
          </rPr>
          <t>LPA:</t>
        </r>
        <r>
          <rPr>
            <sz val="9"/>
            <color indexed="81"/>
            <rFont val="Tahoma"/>
            <family val="2"/>
          </rPr>
          <t xml:space="preserve">
проверити збир!
</t>
        </r>
      </text>
    </comment>
    <comment ref="I666" authorId="0">
      <text>
        <r>
          <rPr>
            <b/>
            <sz val="9"/>
            <color indexed="81"/>
            <rFont val="Tahoma"/>
            <family val="2"/>
          </rPr>
          <t>LPA:</t>
        </r>
        <r>
          <rPr>
            <sz val="9"/>
            <color indexed="81"/>
            <rFont val="Tahoma"/>
            <family val="2"/>
          </rPr>
          <t xml:space="preserve">
проверити збир!
</t>
        </r>
      </text>
    </comment>
    <comment ref="I667" authorId="0">
      <text>
        <r>
          <rPr>
            <b/>
            <sz val="9"/>
            <color indexed="81"/>
            <rFont val="Tahoma"/>
            <family val="2"/>
          </rPr>
          <t>LPA:</t>
        </r>
        <r>
          <rPr>
            <sz val="9"/>
            <color indexed="81"/>
            <rFont val="Tahoma"/>
            <family val="2"/>
          </rPr>
          <t xml:space="preserve">
проверити збир!
</t>
        </r>
      </text>
    </comment>
    <comment ref="H670" authorId="0">
      <text>
        <r>
          <rPr>
            <b/>
            <sz val="9"/>
            <color indexed="81"/>
            <rFont val="Tahoma"/>
            <family val="2"/>
          </rPr>
          <t>LPA:</t>
        </r>
        <r>
          <rPr>
            <sz val="9"/>
            <color indexed="81"/>
            <rFont val="Tahoma"/>
            <family val="2"/>
          </rPr>
          <t xml:space="preserve">
проверити збир!</t>
        </r>
      </text>
    </comment>
    <comment ref="I670" authorId="0">
      <text>
        <r>
          <rPr>
            <b/>
            <sz val="9"/>
            <color indexed="81"/>
            <rFont val="Tahoma"/>
            <family val="2"/>
          </rPr>
          <t>LPA:</t>
        </r>
        <r>
          <rPr>
            <sz val="9"/>
            <color indexed="81"/>
            <rFont val="Tahoma"/>
            <family val="2"/>
          </rPr>
          <t xml:space="preserve">
проверити збир!</t>
        </r>
      </text>
    </comment>
    <comment ref="I671" authorId="0">
      <text>
        <r>
          <rPr>
            <b/>
            <sz val="9"/>
            <color indexed="81"/>
            <rFont val="Tahoma"/>
            <family val="2"/>
          </rPr>
          <t>LPA:</t>
        </r>
        <r>
          <rPr>
            <sz val="9"/>
            <color indexed="81"/>
            <rFont val="Tahoma"/>
            <family val="2"/>
          </rPr>
          <t xml:space="preserve">
проверити збир!
</t>
        </r>
      </text>
    </comment>
    <comment ref="I672" authorId="0">
      <text>
        <r>
          <rPr>
            <b/>
            <sz val="9"/>
            <color indexed="81"/>
            <rFont val="Tahoma"/>
            <family val="2"/>
          </rPr>
          <t>LPA:</t>
        </r>
        <r>
          <rPr>
            <sz val="9"/>
            <color indexed="81"/>
            <rFont val="Tahoma"/>
            <family val="2"/>
          </rPr>
          <t xml:space="preserve">
проверити збир!
</t>
        </r>
      </text>
    </comment>
    <comment ref="I673" authorId="0">
      <text>
        <r>
          <rPr>
            <b/>
            <sz val="9"/>
            <color indexed="81"/>
            <rFont val="Tahoma"/>
            <family val="2"/>
          </rPr>
          <t>LPA:</t>
        </r>
        <r>
          <rPr>
            <sz val="9"/>
            <color indexed="81"/>
            <rFont val="Tahoma"/>
            <family val="2"/>
          </rPr>
          <t xml:space="preserve">
проверити збир!
</t>
        </r>
      </text>
    </comment>
    <comment ref="I674" authorId="0">
      <text>
        <r>
          <rPr>
            <b/>
            <sz val="9"/>
            <color indexed="81"/>
            <rFont val="Tahoma"/>
            <family val="2"/>
          </rPr>
          <t>LPA:</t>
        </r>
        <r>
          <rPr>
            <sz val="9"/>
            <color indexed="81"/>
            <rFont val="Tahoma"/>
            <family val="2"/>
          </rPr>
          <t xml:space="preserve">
проверити збир!
</t>
        </r>
      </text>
    </comment>
    <comment ref="I675" authorId="0">
      <text>
        <r>
          <rPr>
            <b/>
            <sz val="9"/>
            <color indexed="81"/>
            <rFont val="Tahoma"/>
            <family val="2"/>
          </rPr>
          <t>LPA:</t>
        </r>
        <r>
          <rPr>
            <sz val="9"/>
            <color indexed="81"/>
            <rFont val="Tahoma"/>
            <family val="2"/>
          </rPr>
          <t xml:space="preserve">
проверити збир!
</t>
        </r>
      </text>
    </comment>
    <comment ref="I676" authorId="0">
      <text>
        <r>
          <rPr>
            <b/>
            <sz val="9"/>
            <color indexed="81"/>
            <rFont val="Tahoma"/>
            <family val="2"/>
          </rPr>
          <t>LPA:</t>
        </r>
        <r>
          <rPr>
            <sz val="9"/>
            <color indexed="81"/>
            <rFont val="Tahoma"/>
            <family val="2"/>
          </rPr>
          <t xml:space="preserve">
проверити збир!
</t>
        </r>
      </text>
    </comment>
    <comment ref="I677" authorId="0">
      <text>
        <r>
          <rPr>
            <b/>
            <sz val="9"/>
            <color indexed="81"/>
            <rFont val="Tahoma"/>
            <family val="2"/>
          </rPr>
          <t>LPA:</t>
        </r>
        <r>
          <rPr>
            <sz val="9"/>
            <color indexed="81"/>
            <rFont val="Tahoma"/>
            <family val="2"/>
          </rPr>
          <t xml:space="preserve">
проверити збир!
</t>
        </r>
      </text>
    </comment>
    <comment ref="I678" authorId="0">
      <text>
        <r>
          <rPr>
            <b/>
            <sz val="9"/>
            <color indexed="81"/>
            <rFont val="Tahoma"/>
            <family val="2"/>
          </rPr>
          <t>LPA:</t>
        </r>
        <r>
          <rPr>
            <sz val="9"/>
            <color indexed="81"/>
            <rFont val="Tahoma"/>
            <family val="2"/>
          </rPr>
          <t xml:space="preserve">
проверити збир!
</t>
        </r>
      </text>
    </comment>
    <comment ref="I679" authorId="0">
      <text>
        <r>
          <rPr>
            <b/>
            <sz val="9"/>
            <color indexed="81"/>
            <rFont val="Tahoma"/>
            <family val="2"/>
          </rPr>
          <t>LPA:</t>
        </r>
        <r>
          <rPr>
            <sz val="9"/>
            <color indexed="81"/>
            <rFont val="Tahoma"/>
            <family val="2"/>
          </rPr>
          <t xml:space="preserve">
проверити збир!
</t>
        </r>
      </text>
    </comment>
    <comment ref="I680" authorId="0">
      <text>
        <r>
          <rPr>
            <b/>
            <sz val="9"/>
            <color indexed="81"/>
            <rFont val="Tahoma"/>
            <family val="2"/>
          </rPr>
          <t>LPA:</t>
        </r>
        <r>
          <rPr>
            <sz val="9"/>
            <color indexed="81"/>
            <rFont val="Tahoma"/>
            <family val="2"/>
          </rPr>
          <t xml:space="preserve">
проверити збир!
</t>
        </r>
      </text>
    </comment>
    <comment ref="I681" authorId="0">
      <text>
        <r>
          <rPr>
            <b/>
            <sz val="9"/>
            <color indexed="81"/>
            <rFont val="Tahoma"/>
            <family val="2"/>
          </rPr>
          <t>LPA:</t>
        </r>
        <r>
          <rPr>
            <sz val="9"/>
            <color indexed="81"/>
            <rFont val="Tahoma"/>
            <family val="2"/>
          </rPr>
          <t xml:space="preserve">
проверити збир!
</t>
        </r>
      </text>
    </comment>
    <comment ref="I682" authorId="0">
      <text>
        <r>
          <rPr>
            <b/>
            <sz val="9"/>
            <color indexed="81"/>
            <rFont val="Tahoma"/>
            <family val="2"/>
          </rPr>
          <t>LPA:</t>
        </r>
        <r>
          <rPr>
            <sz val="9"/>
            <color indexed="81"/>
            <rFont val="Tahoma"/>
            <family val="2"/>
          </rPr>
          <t xml:space="preserve">
проверити збир!
</t>
        </r>
      </text>
    </comment>
    <comment ref="I683" authorId="0">
      <text>
        <r>
          <rPr>
            <b/>
            <sz val="9"/>
            <color indexed="81"/>
            <rFont val="Tahoma"/>
            <family val="2"/>
          </rPr>
          <t>LPA:</t>
        </r>
        <r>
          <rPr>
            <sz val="9"/>
            <color indexed="81"/>
            <rFont val="Tahoma"/>
            <family val="2"/>
          </rPr>
          <t xml:space="preserve">
проверити збир!
</t>
        </r>
      </text>
    </comment>
    <comment ref="I684" authorId="0">
      <text>
        <r>
          <rPr>
            <b/>
            <sz val="9"/>
            <color indexed="81"/>
            <rFont val="Tahoma"/>
            <family val="2"/>
          </rPr>
          <t>LPA:</t>
        </r>
        <r>
          <rPr>
            <sz val="9"/>
            <color indexed="81"/>
            <rFont val="Tahoma"/>
            <family val="2"/>
          </rPr>
          <t xml:space="preserve">
проверити збир!
</t>
        </r>
      </text>
    </comment>
    <comment ref="I685" authorId="0">
      <text>
        <r>
          <rPr>
            <b/>
            <sz val="9"/>
            <color indexed="81"/>
            <rFont val="Tahoma"/>
            <family val="2"/>
          </rPr>
          <t>LPA:</t>
        </r>
        <r>
          <rPr>
            <sz val="9"/>
            <color indexed="81"/>
            <rFont val="Tahoma"/>
            <family val="2"/>
          </rPr>
          <t xml:space="preserve">
проверити збир!
</t>
        </r>
      </text>
    </comment>
    <comment ref="H689" authorId="0">
      <text>
        <r>
          <rPr>
            <b/>
            <sz val="9"/>
            <color indexed="81"/>
            <rFont val="Tahoma"/>
            <family val="2"/>
          </rPr>
          <t>LPA:</t>
        </r>
        <r>
          <rPr>
            <sz val="9"/>
            <color indexed="81"/>
            <rFont val="Tahoma"/>
            <family val="2"/>
          </rPr>
          <t xml:space="preserve">
проверити збир!</t>
        </r>
      </text>
    </comment>
    <comment ref="I689" authorId="0">
      <text>
        <r>
          <rPr>
            <b/>
            <sz val="9"/>
            <color indexed="81"/>
            <rFont val="Tahoma"/>
            <family val="2"/>
          </rPr>
          <t>LPA:</t>
        </r>
        <r>
          <rPr>
            <sz val="9"/>
            <color indexed="81"/>
            <rFont val="Tahoma"/>
            <family val="2"/>
          </rPr>
          <t xml:space="preserve">
проверити збир!
</t>
        </r>
      </text>
    </comment>
    <comment ref="I690" authorId="0">
      <text>
        <r>
          <rPr>
            <b/>
            <sz val="9"/>
            <color indexed="81"/>
            <rFont val="Tahoma"/>
            <family val="2"/>
          </rPr>
          <t>LPA:</t>
        </r>
        <r>
          <rPr>
            <sz val="9"/>
            <color indexed="81"/>
            <rFont val="Tahoma"/>
            <family val="2"/>
          </rPr>
          <t xml:space="preserve">
проверити збир!
</t>
        </r>
      </text>
    </comment>
    <comment ref="I691" authorId="0">
      <text>
        <r>
          <rPr>
            <b/>
            <sz val="9"/>
            <color indexed="81"/>
            <rFont val="Tahoma"/>
            <family val="2"/>
          </rPr>
          <t>LPA:</t>
        </r>
        <r>
          <rPr>
            <sz val="9"/>
            <color indexed="81"/>
            <rFont val="Tahoma"/>
            <family val="2"/>
          </rPr>
          <t xml:space="preserve">
проверити збир!
</t>
        </r>
      </text>
    </comment>
    <comment ref="I692" authorId="0">
      <text>
        <r>
          <rPr>
            <b/>
            <sz val="9"/>
            <color indexed="81"/>
            <rFont val="Tahoma"/>
            <family val="2"/>
          </rPr>
          <t>LPA:</t>
        </r>
        <r>
          <rPr>
            <sz val="9"/>
            <color indexed="81"/>
            <rFont val="Tahoma"/>
            <family val="2"/>
          </rPr>
          <t xml:space="preserve">
проверити збир!
</t>
        </r>
      </text>
    </comment>
    <comment ref="I693" authorId="0">
      <text>
        <r>
          <rPr>
            <b/>
            <sz val="9"/>
            <color indexed="81"/>
            <rFont val="Tahoma"/>
            <family val="2"/>
          </rPr>
          <t>LPA:</t>
        </r>
        <r>
          <rPr>
            <sz val="9"/>
            <color indexed="81"/>
            <rFont val="Tahoma"/>
            <family val="2"/>
          </rPr>
          <t xml:space="preserve">
проверити збир!
</t>
        </r>
      </text>
    </comment>
    <comment ref="I694" authorId="0">
      <text>
        <r>
          <rPr>
            <b/>
            <sz val="9"/>
            <color indexed="81"/>
            <rFont val="Tahoma"/>
            <family val="2"/>
          </rPr>
          <t>LPA:</t>
        </r>
        <r>
          <rPr>
            <sz val="9"/>
            <color indexed="81"/>
            <rFont val="Tahoma"/>
            <family val="2"/>
          </rPr>
          <t xml:space="preserve">
проверити збир!
</t>
        </r>
      </text>
    </comment>
    <comment ref="I695" authorId="0">
      <text>
        <r>
          <rPr>
            <b/>
            <sz val="9"/>
            <color indexed="81"/>
            <rFont val="Tahoma"/>
            <family val="2"/>
          </rPr>
          <t>LPA:</t>
        </r>
        <r>
          <rPr>
            <sz val="9"/>
            <color indexed="81"/>
            <rFont val="Tahoma"/>
            <family val="2"/>
          </rPr>
          <t xml:space="preserve">
проверити збир!
</t>
        </r>
      </text>
    </comment>
    <comment ref="I696" authorId="0">
      <text>
        <r>
          <rPr>
            <b/>
            <sz val="9"/>
            <color indexed="81"/>
            <rFont val="Tahoma"/>
            <family val="2"/>
          </rPr>
          <t>LPA:</t>
        </r>
        <r>
          <rPr>
            <sz val="9"/>
            <color indexed="81"/>
            <rFont val="Tahoma"/>
            <family val="2"/>
          </rPr>
          <t xml:space="preserve">
проверити збир!
</t>
        </r>
      </text>
    </comment>
    <comment ref="I697" authorId="0">
      <text>
        <r>
          <rPr>
            <b/>
            <sz val="9"/>
            <color indexed="81"/>
            <rFont val="Tahoma"/>
            <family val="2"/>
          </rPr>
          <t>LPA:</t>
        </r>
        <r>
          <rPr>
            <sz val="9"/>
            <color indexed="81"/>
            <rFont val="Tahoma"/>
            <family val="2"/>
          </rPr>
          <t xml:space="preserve">
проверити збир!
</t>
        </r>
      </text>
    </comment>
    <comment ref="I698" authorId="0">
      <text>
        <r>
          <rPr>
            <b/>
            <sz val="9"/>
            <color indexed="81"/>
            <rFont val="Tahoma"/>
            <family val="2"/>
          </rPr>
          <t>LPA:</t>
        </r>
        <r>
          <rPr>
            <sz val="9"/>
            <color indexed="81"/>
            <rFont val="Tahoma"/>
            <family val="2"/>
          </rPr>
          <t xml:space="preserve">
проверити збир!
</t>
        </r>
      </text>
    </comment>
    <comment ref="I699" authorId="0">
      <text>
        <r>
          <rPr>
            <b/>
            <sz val="9"/>
            <color indexed="81"/>
            <rFont val="Tahoma"/>
            <family val="2"/>
          </rPr>
          <t>LPA:</t>
        </r>
        <r>
          <rPr>
            <sz val="9"/>
            <color indexed="81"/>
            <rFont val="Tahoma"/>
            <family val="2"/>
          </rPr>
          <t xml:space="preserve">
проверити збир!
</t>
        </r>
      </text>
    </comment>
    <comment ref="I700" authorId="0">
      <text>
        <r>
          <rPr>
            <b/>
            <sz val="9"/>
            <color indexed="81"/>
            <rFont val="Tahoma"/>
            <family val="2"/>
          </rPr>
          <t>LPA:</t>
        </r>
        <r>
          <rPr>
            <sz val="9"/>
            <color indexed="81"/>
            <rFont val="Tahoma"/>
            <family val="2"/>
          </rPr>
          <t xml:space="preserve">
проверити збир!
</t>
        </r>
      </text>
    </comment>
    <comment ref="I701" authorId="0">
      <text>
        <r>
          <rPr>
            <b/>
            <sz val="9"/>
            <color indexed="81"/>
            <rFont val="Tahoma"/>
            <family val="2"/>
          </rPr>
          <t>LPA:</t>
        </r>
        <r>
          <rPr>
            <sz val="9"/>
            <color indexed="81"/>
            <rFont val="Tahoma"/>
            <family val="2"/>
          </rPr>
          <t xml:space="preserve">
проверити збир!
</t>
        </r>
      </text>
    </comment>
    <comment ref="I702" authorId="0">
      <text>
        <r>
          <rPr>
            <b/>
            <sz val="9"/>
            <color indexed="81"/>
            <rFont val="Tahoma"/>
            <family val="2"/>
          </rPr>
          <t>LPA:</t>
        </r>
        <r>
          <rPr>
            <sz val="9"/>
            <color indexed="81"/>
            <rFont val="Tahoma"/>
            <family val="2"/>
          </rPr>
          <t xml:space="preserve">
проверити збир!
</t>
        </r>
      </text>
    </comment>
    <comment ref="I703" authorId="0">
      <text>
        <r>
          <rPr>
            <b/>
            <sz val="9"/>
            <color indexed="81"/>
            <rFont val="Tahoma"/>
            <family val="2"/>
          </rPr>
          <t>LPA:</t>
        </r>
        <r>
          <rPr>
            <sz val="9"/>
            <color indexed="81"/>
            <rFont val="Tahoma"/>
            <family val="2"/>
          </rPr>
          <t xml:space="preserve">
проверити збир!
</t>
        </r>
      </text>
    </comment>
    <comment ref="I704" authorId="0">
      <text>
        <r>
          <rPr>
            <b/>
            <sz val="9"/>
            <color indexed="81"/>
            <rFont val="Tahoma"/>
            <family val="2"/>
          </rPr>
          <t>LPA:</t>
        </r>
        <r>
          <rPr>
            <sz val="9"/>
            <color indexed="81"/>
            <rFont val="Tahoma"/>
            <family val="2"/>
          </rPr>
          <t xml:space="preserve">
проверити збир!
</t>
        </r>
      </text>
    </comment>
    <comment ref="H708" authorId="0">
      <text>
        <r>
          <rPr>
            <b/>
            <sz val="9"/>
            <color indexed="81"/>
            <rFont val="Tahoma"/>
            <family val="2"/>
          </rPr>
          <t>LPA:</t>
        </r>
        <r>
          <rPr>
            <sz val="9"/>
            <color indexed="81"/>
            <rFont val="Tahoma"/>
            <family val="2"/>
          </rPr>
          <t xml:space="preserve">
провери збир!</t>
        </r>
      </text>
    </comment>
    <comment ref="I708" authorId="0">
      <text>
        <r>
          <rPr>
            <b/>
            <sz val="9"/>
            <color indexed="81"/>
            <rFont val="Tahoma"/>
            <family val="2"/>
          </rPr>
          <t>LPA:</t>
        </r>
        <r>
          <rPr>
            <sz val="9"/>
            <color indexed="81"/>
            <rFont val="Tahoma"/>
            <family val="2"/>
          </rPr>
          <t xml:space="preserve">
проверити збир!
</t>
        </r>
      </text>
    </comment>
    <comment ref="I709" authorId="0">
      <text>
        <r>
          <rPr>
            <b/>
            <sz val="9"/>
            <color indexed="81"/>
            <rFont val="Tahoma"/>
            <family val="2"/>
          </rPr>
          <t>LPA:</t>
        </r>
        <r>
          <rPr>
            <sz val="9"/>
            <color indexed="81"/>
            <rFont val="Tahoma"/>
            <family val="2"/>
          </rPr>
          <t xml:space="preserve">
проверити збир!
</t>
        </r>
      </text>
    </comment>
    <comment ref="I710" authorId="0">
      <text>
        <r>
          <rPr>
            <b/>
            <sz val="9"/>
            <color indexed="81"/>
            <rFont val="Tahoma"/>
            <family val="2"/>
          </rPr>
          <t>LPA:</t>
        </r>
        <r>
          <rPr>
            <sz val="9"/>
            <color indexed="81"/>
            <rFont val="Tahoma"/>
            <family val="2"/>
          </rPr>
          <t xml:space="preserve">
проверити збир!
</t>
        </r>
      </text>
    </comment>
    <comment ref="I711" authorId="0">
      <text>
        <r>
          <rPr>
            <b/>
            <sz val="9"/>
            <color indexed="81"/>
            <rFont val="Tahoma"/>
            <family val="2"/>
          </rPr>
          <t>LPA:</t>
        </r>
        <r>
          <rPr>
            <sz val="9"/>
            <color indexed="81"/>
            <rFont val="Tahoma"/>
            <family val="2"/>
          </rPr>
          <t xml:space="preserve">
проверити збир!
</t>
        </r>
      </text>
    </comment>
    <comment ref="I712" authorId="0">
      <text>
        <r>
          <rPr>
            <b/>
            <sz val="9"/>
            <color indexed="81"/>
            <rFont val="Tahoma"/>
            <family val="2"/>
          </rPr>
          <t>LPA:</t>
        </r>
        <r>
          <rPr>
            <sz val="9"/>
            <color indexed="81"/>
            <rFont val="Tahoma"/>
            <family val="2"/>
          </rPr>
          <t xml:space="preserve">
проверити збир!
</t>
        </r>
      </text>
    </comment>
    <comment ref="I713" authorId="0">
      <text>
        <r>
          <rPr>
            <b/>
            <sz val="9"/>
            <color indexed="81"/>
            <rFont val="Tahoma"/>
            <family val="2"/>
          </rPr>
          <t>LPA:</t>
        </r>
        <r>
          <rPr>
            <sz val="9"/>
            <color indexed="81"/>
            <rFont val="Tahoma"/>
            <family val="2"/>
          </rPr>
          <t xml:space="preserve">
проверити збир!
</t>
        </r>
      </text>
    </comment>
    <comment ref="I714" authorId="0">
      <text>
        <r>
          <rPr>
            <b/>
            <sz val="9"/>
            <color indexed="81"/>
            <rFont val="Tahoma"/>
            <family val="2"/>
          </rPr>
          <t>LPA:</t>
        </r>
        <r>
          <rPr>
            <sz val="9"/>
            <color indexed="81"/>
            <rFont val="Tahoma"/>
            <family val="2"/>
          </rPr>
          <t xml:space="preserve">
проверити збир!
</t>
        </r>
      </text>
    </comment>
    <comment ref="I715" authorId="0">
      <text>
        <r>
          <rPr>
            <b/>
            <sz val="9"/>
            <color indexed="81"/>
            <rFont val="Tahoma"/>
            <family val="2"/>
          </rPr>
          <t>LPA:</t>
        </r>
        <r>
          <rPr>
            <sz val="9"/>
            <color indexed="81"/>
            <rFont val="Tahoma"/>
            <family val="2"/>
          </rPr>
          <t xml:space="preserve">
проверити збир!
</t>
        </r>
      </text>
    </comment>
    <comment ref="I716" authorId="0">
      <text>
        <r>
          <rPr>
            <b/>
            <sz val="9"/>
            <color indexed="81"/>
            <rFont val="Tahoma"/>
            <family val="2"/>
          </rPr>
          <t>LPA:</t>
        </r>
        <r>
          <rPr>
            <sz val="9"/>
            <color indexed="81"/>
            <rFont val="Tahoma"/>
            <family val="2"/>
          </rPr>
          <t xml:space="preserve">
проверити збир!
</t>
        </r>
      </text>
    </comment>
    <comment ref="I717" authorId="0">
      <text>
        <r>
          <rPr>
            <b/>
            <sz val="9"/>
            <color indexed="81"/>
            <rFont val="Tahoma"/>
            <family val="2"/>
          </rPr>
          <t>LPA:</t>
        </r>
        <r>
          <rPr>
            <sz val="9"/>
            <color indexed="81"/>
            <rFont val="Tahoma"/>
            <family val="2"/>
          </rPr>
          <t xml:space="preserve">
проверити збир!
</t>
        </r>
      </text>
    </comment>
    <comment ref="I718" authorId="0">
      <text>
        <r>
          <rPr>
            <b/>
            <sz val="9"/>
            <color indexed="81"/>
            <rFont val="Tahoma"/>
            <family val="2"/>
          </rPr>
          <t>LPA:</t>
        </r>
        <r>
          <rPr>
            <sz val="9"/>
            <color indexed="81"/>
            <rFont val="Tahoma"/>
            <family val="2"/>
          </rPr>
          <t xml:space="preserve">
проверити збир!
</t>
        </r>
      </text>
    </comment>
    <comment ref="I719" authorId="0">
      <text>
        <r>
          <rPr>
            <b/>
            <sz val="9"/>
            <color indexed="81"/>
            <rFont val="Tahoma"/>
            <family val="2"/>
          </rPr>
          <t>LPA:</t>
        </r>
        <r>
          <rPr>
            <sz val="9"/>
            <color indexed="81"/>
            <rFont val="Tahoma"/>
            <family val="2"/>
          </rPr>
          <t xml:space="preserve">
проверити збир!
</t>
        </r>
      </text>
    </comment>
    <comment ref="I720" authorId="0">
      <text>
        <r>
          <rPr>
            <b/>
            <sz val="9"/>
            <color indexed="81"/>
            <rFont val="Tahoma"/>
            <family val="2"/>
          </rPr>
          <t>LPA:</t>
        </r>
        <r>
          <rPr>
            <sz val="9"/>
            <color indexed="81"/>
            <rFont val="Tahoma"/>
            <family val="2"/>
          </rPr>
          <t xml:space="preserve">
проверити збир!
</t>
        </r>
      </text>
    </comment>
    <comment ref="I721" authorId="0">
      <text>
        <r>
          <rPr>
            <b/>
            <sz val="9"/>
            <color indexed="81"/>
            <rFont val="Tahoma"/>
            <family val="2"/>
          </rPr>
          <t>LPA:</t>
        </r>
        <r>
          <rPr>
            <sz val="9"/>
            <color indexed="81"/>
            <rFont val="Tahoma"/>
            <family val="2"/>
          </rPr>
          <t xml:space="preserve">
проверити збир!
</t>
        </r>
      </text>
    </comment>
    <comment ref="I722" authorId="0">
      <text>
        <r>
          <rPr>
            <b/>
            <sz val="9"/>
            <color indexed="81"/>
            <rFont val="Tahoma"/>
            <family val="2"/>
          </rPr>
          <t>LPA:</t>
        </r>
        <r>
          <rPr>
            <sz val="9"/>
            <color indexed="81"/>
            <rFont val="Tahoma"/>
            <family val="2"/>
          </rPr>
          <t xml:space="preserve">
проверити збир!
</t>
        </r>
      </text>
    </comment>
    <comment ref="I723" authorId="0">
      <text>
        <r>
          <rPr>
            <b/>
            <sz val="9"/>
            <color indexed="81"/>
            <rFont val="Tahoma"/>
            <family val="2"/>
          </rPr>
          <t>LPA:</t>
        </r>
        <r>
          <rPr>
            <sz val="9"/>
            <color indexed="81"/>
            <rFont val="Tahoma"/>
            <family val="2"/>
          </rPr>
          <t xml:space="preserve">
проверити збир!
</t>
        </r>
      </text>
    </comment>
    <comment ref="H727" authorId="0">
      <text>
        <r>
          <rPr>
            <b/>
            <sz val="9"/>
            <color indexed="81"/>
            <rFont val="Tahoma"/>
            <family val="2"/>
          </rPr>
          <t>LPA:</t>
        </r>
        <r>
          <rPr>
            <sz val="9"/>
            <color indexed="81"/>
            <rFont val="Tahoma"/>
            <family val="2"/>
          </rPr>
          <t xml:space="preserve">
проверити збир!</t>
        </r>
      </text>
    </comment>
    <comment ref="I727" authorId="0">
      <text>
        <r>
          <rPr>
            <b/>
            <sz val="9"/>
            <color indexed="81"/>
            <rFont val="Tahoma"/>
            <family val="2"/>
          </rPr>
          <t>LPA:</t>
        </r>
        <r>
          <rPr>
            <sz val="9"/>
            <color indexed="81"/>
            <rFont val="Tahoma"/>
            <family val="2"/>
          </rPr>
          <t xml:space="preserve">
проверити збир!
</t>
        </r>
      </text>
    </comment>
    <comment ref="I728" authorId="0">
      <text>
        <r>
          <rPr>
            <b/>
            <sz val="9"/>
            <color indexed="81"/>
            <rFont val="Tahoma"/>
            <family val="2"/>
          </rPr>
          <t>LPA:</t>
        </r>
        <r>
          <rPr>
            <sz val="9"/>
            <color indexed="81"/>
            <rFont val="Tahoma"/>
            <family val="2"/>
          </rPr>
          <t xml:space="preserve">
проверити збир!
</t>
        </r>
      </text>
    </comment>
    <comment ref="I729" authorId="0">
      <text>
        <r>
          <rPr>
            <b/>
            <sz val="9"/>
            <color indexed="81"/>
            <rFont val="Tahoma"/>
            <family val="2"/>
          </rPr>
          <t>LPA:</t>
        </r>
        <r>
          <rPr>
            <sz val="9"/>
            <color indexed="81"/>
            <rFont val="Tahoma"/>
            <family val="2"/>
          </rPr>
          <t xml:space="preserve">
проверити збир!
</t>
        </r>
      </text>
    </comment>
    <comment ref="I730" authorId="0">
      <text>
        <r>
          <rPr>
            <b/>
            <sz val="9"/>
            <color indexed="81"/>
            <rFont val="Tahoma"/>
            <family val="2"/>
          </rPr>
          <t>LPA:</t>
        </r>
        <r>
          <rPr>
            <sz val="9"/>
            <color indexed="81"/>
            <rFont val="Tahoma"/>
            <family val="2"/>
          </rPr>
          <t xml:space="preserve">
проверити збир!
</t>
        </r>
      </text>
    </comment>
    <comment ref="I731" authorId="0">
      <text>
        <r>
          <rPr>
            <b/>
            <sz val="9"/>
            <color indexed="81"/>
            <rFont val="Tahoma"/>
            <family val="2"/>
          </rPr>
          <t>LPA:</t>
        </r>
        <r>
          <rPr>
            <sz val="9"/>
            <color indexed="81"/>
            <rFont val="Tahoma"/>
            <family val="2"/>
          </rPr>
          <t xml:space="preserve">
проверити збир!
</t>
        </r>
      </text>
    </comment>
    <comment ref="I732" authorId="0">
      <text>
        <r>
          <rPr>
            <b/>
            <sz val="9"/>
            <color indexed="81"/>
            <rFont val="Tahoma"/>
            <family val="2"/>
          </rPr>
          <t>LPA:</t>
        </r>
        <r>
          <rPr>
            <sz val="9"/>
            <color indexed="81"/>
            <rFont val="Tahoma"/>
            <family val="2"/>
          </rPr>
          <t xml:space="preserve">
проверити збир!
</t>
        </r>
      </text>
    </comment>
    <comment ref="I733" authorId="0">
      <text>
        <r>
          <rPr>
            <b/>
            <sz val="9"/>
            <color indexed="81"/>
            <rFont val="Tahoma"/>
            <family val="2"/>
          </rPr>
          <t>LPA:</t>
        </r>
        <r>
          <rPr>
            <sz val="9"/>
            <color indexed="81"/>
            <rFont val="Tahoma"/>
            <family val="2"/>
          </rPr>
          <t xml:space="preserve">
проверити збир!
</t>
        </r>
      </text>
    </comment>
    <comment ref="I734" authorId="0">
      <text>
        <r>
          <rPr>
            <b/>
            <sz val="9"/>
            <color indexed="81"/>
            <rFont val="Tahoma"/>
            <family val="2"/>
          </rPr>
          <t>LPA:</t>
        </r>
        <r>
          <rPr>
            <sz val="9"/>
            <color indexed="81"/>
            <rFont val="Tahoma"/>
            <family val="2"/>
          </rPr>
          <t xml:space="preserve">
проверити збир!
</t>
        </r>
      </text>
    </comment>
    <comment ref="I735" authorId="0">
      <text>
        <r>
          <rPr>
            <b/>
            <sz val="9"/>
            <color indexed="81"/>
            <rFont val="Tahoma"/>
            <family val="2"/>
          </rPr>
          <t>LPA:</t>
        </r>
        <r>
          <rPr>
            <sz val="9"/>
            <color indexed="81"/>
            <rFont val="Tahoma"/>
            <family val="2"/>
          </rPr>
          <t xml:space="preserve">
проверити збир!
</t>
        </r>
      </text>
    </comment>
    <comment ref="I736" authorId="0">
      <text>
        <r>
          <rPr>
            <b/>
            <sz val="9"/>
            <color indexed="81"/>
            <rFont val="Tahoma"/>
            <family val="2"/>
          </rPr>
          <t>LPA:</t>
        </r>
        <r>
          <rPr>
            <sz val="9"/>
            <color indexed="81"/>
            <rFont val="Tahoma"/>
            <family val="2"/>
          </rPr>
          <t xml:space="preserve">
проверити збир!
</t>
        </r>
      </text>
    </comment>
    <comment ref="I737" authorId="0">
      <text>
        <r>
          <rPr>
            <b/>
            <sz val="9"/>
            <color indexed="81"/>
            <rFont val="Tahoma"/>
            <family val="2"/>
          </rPr>
          <t>LPA:</t>
        </r>
        <r>
          <rPr>
            <sz val="9"/>
            <color indexed="81"/>
            <rFont val="Tahoma"/>
            <family val="2"/>
          </rPr>
          <t xml:space="preserve">
проверити збир!
</t>
        </r>
      </text>
    </comment>
    <comment ref="I738" authorId="0">
      <text>
        <r>
          <rPr>
            <b/>
            <sz val="9"/>
            <color indexed="81"/>
            <rFont val="Tahoma"/>
            <family val="2"/>
          </rPr>
          <t>LPA:</t>
        </r>
        <r>
          <rPr>
            <sz val="9"/>
            <color indexed="81"/>
            <rFont val="Tahoma"/>
            <family val="2"/>
          </rPr>
          <t xml:space="preserve">
проверити збир!
</t>
        </r>
      </text>
    </comment>
    <comment ref="I739" authorId="0">
      <text>
        <r>
          <rPr>
            <b/>
            <sz val="9"/>
            <color indexed="81"/>
            <rFont val="Tahoma"/>
            <family val="2"/>
          </rPr>
          <t>LPA:</t>
        </r>
        <r>
          <rPr>
            <sz val="9"/>
            <color indexed="81"/>
            <rFont val="Tahoma"/>
            <family val="2"/>
          </rPr>
          <t xml:space="preserve">
проверити збир!
</t>
        </r>
      </text>
    </comment>
    <comment ref="I740" authorId="0">
      <text>
        <r>
          <rPr>
            <b/>
            <sz val="9"/>
            <color indexed="81"/>
            <rFont val="Tahoma"/>
            <family val="2"/>
          </rPr>
          <t>LPA:</t>
        </r>
        <r>
          <rPr>
            <sz val="9"/>
            <color indexed="81"/>
            <rFont val="Tahoma"/>
            <family val="2"/>
          </rPr>
          <t xml:space="preserve">
проверити збир!
</t>
        </r>
      </text>
    </comment>
    <comment ref="I741" authorId="0">
      <text>
        <r>
          <rPr>
            <b/>
            <sz val="9"/>
            <color indexed="81"/>
            <rFont val="Tahoma"/>
            <family val="2"/>
          </rPr>
          <t>LPA:</t>
        </r>
        <r>
          <rPr>
            <sz val="9"/>
            <color indexed="81"/>
            <rFont val="Tahoma"/>
            <family val="2"/>
          </rPr>
          <t xml:space="preserve">
проверити збир!
</t>
        </r>
      </text>
    </comment>
    <comment ref="I742" authorId="0">
      <text>
        <r>
          <rPr>
            <b/>
            <sz val="9"/>
            <color indexed="81"/>
            <rFont val="Tahoma"/>
            <family val="2"/>
          </rPr>
          <t>LPA:</t>
        </r>
        <r>
          <rPr>
            <sz val="9"/>
            <color indexed="81"/>
            <rFont val="Tahoma"/>
            <family val="2"/>
          </rPr>
          <t xml:space="preserve">
проверити збир!
</t>
        </r>
      </text>
    </comment>
    <comment ref="I773" authorId="0">
      <text>
        <r>
          <rPr>
            <b/>
            <sz val="9"/>
            <color indexed="81"/>
            <rFont val="Tahoma"/>
            <family val="2"/>
          </rPr>
          <t>LPA:</t>
        </r>
        <r>
          <rPr>
            <sz val="9"/>
            <color indexed="81"/>
            <rFont val="Tahoma"/>
            <family val="2"/>
          </rPr>
          <t xml:space="preserve">
проверити збир!
</t>
        </r>
      </text>
    </comment>
    <comment ref="I774" authorId="0">
      <text>
        <r>
          <rPr>
            <b/>
            <sz val="9"/>
            <color indexed="81"/>
            <rFont val="Tahoma"/>
            <family val="2"/>
          </rPr>
          <t>LPA:</t>
        </r>
        <r>
          <rPr>
            <sz val="9"/>
            <color indexed="81"/>
            <rFont val="Tahoma"/>
            <family val="2"/>
          </rPr>
          <t xml:space="preserve">
проверити збир!
</t>
        </r>
      </text>
    </comment>
    <comment ref="I775" authorId="0">
      <text>
        <r>
          <rPr>
            <b/>
            <sz val="9"/>
            <color indexed="81"/>
            <rFont val="Tahoma"/>
            <family val="2"/>
          </rPr>
          <t>LPA:</t>
        </r>
        <r>
          <rPr>
            <sz val="9"/>
            <color indexed="81"/>
            <rFont val="Tahoma"/>
            <family val="2"/>
          </rPr>
          <t xml:space="preserve">
проверити збир!
</t>
        </r>
      </text>
    </comment>
    <comment ref="I776" authorId="0">
      <text>
        <r>
          <rPr>
            <b/>
            <sz val="9"/>
            <color indexed="81"/>
            <rFont val="Tahoma"/>
            <family val="2"/>
          </rPr>
          <t>LPA:</t>
        </r>
        <r>
          <rPr>
            <sz val="9"/>
            <color indexed="81"/>
            <rFont val="Tahoma"/>
            <family val="2"/>
          </rPr>
          <t xml:space="preserve">
проверити збир!
</t>
        </r>
      </text>
    </comment>
    <comment ref="I777" authorId="0">
      <text>
        <r>
          <rPr>
            <b/>
            <sz val="9"/>
            <color indexed="81"/>
            <rFont val="Tahoma"/>
            <family val="2"/>
          </rPr>
          <t>LPA:</t>
        </r>
        <r>
          <rPr>
            <sz val="9"/>
            <color indexed="81"/>
            <rFont val="Tahoma"/>
            <family val="2"/>
          </rPr>
          <t xml:space="preserve">
проверити збир!
</t>
        </r>
      </text>
    </comment>
    <comment ref="I778" authorId="0">
      <text>
        <r>
          <rPr>
            <b/>
            <sz val="9"/>
            <color indexed="81"/>
            <rFont val="Tahoma"/>
            <family val="2"/>
          </rPr>
          <t>LPA:</t>
        </r>
        <r>
          <rPr>
            <sz val="9"/>
            <color indexed="81"/>
            <rFont val="Tahoma"/>
            <family val="2"/>
          </rPr>
          <t xml:space="preserve">
проверити збир!
</t>
        </r>
      </text>
    </comment>
    <comment ref="I779" authorId="0">
      <text>
        <r>
          <rPr>
            <b/>
            <sz val="9"/>
            <color indexed="81"/>
            <rFont val="Tahoma"/>
            <family val="2"/>
          </rPr>
          <t>LPA:</t>
        </r>
        <r>
          <rPr>
            <sz val="9"/>
            <color indexed="81"/>
            <rFont val="Tahoma"/>
            <family val="2"/>
          </rPr>
          <t xml:space="preserve">
проверити збир!
</t>
        </r>
      </text>
    </comment>
    <comment ref="I780" authorId="0">
      <text>
        <r>
          <rPr>
            <b/>
            <sz val="9"/>
            <color indexed="81"/>
            <rFont val="Tahoma"/>
            <family val="2"/>
          </rPr>
          <t>LPA:</t>
        </r>
        <r>
          <rPr>
            <sz val="9"/>
            <color indexed="81"/>
            <rFont val="Tahoma"/>
            <family val="2"/>
          </rPr>
          <t xml:space="preserve">
проверити збир!
</t>
        </r>
      </text>
    </comment>
    <comment ref="I781" authorId="0">
      <text>
        <r>
          <rPr>
            <b/>
            <sz val="9"/>
            <color indexed="81"/>
            <rFont val="Tahoma"/>
            <family val="2"/>
          </rPr>
          <t>LPA:</t>
        </r>
        <r>
          <rPr>
            <sz val="9"/>
            <color indexed="81"/>
            <rFont val="Tahoma"/>
            <family val="2"/>
          </rPr>
          <t xml:space="preserve">
проверити збир!
</t>
        </r>
      </text>
    </comment>
    <comment ref="I782" authorId="0">
      <text>
        <r>
          <rPr>
            <b/>
            <sz val="9"/>
            <color indexed="81"/>
            <rFont val="Tahoma"/>
            <family val="2"/>
          </rPr>
          <t>LPA:</t>
        </r>
        <r>
          <rPr>
            <sz val="9"/>
            <color indexed="81"/>
            <rFont val="Tahoma"/>
            <family val="2"/>
          </rPr>
          <t xml:space="preserve">
проверити збир!
</t>
        </r>
      </text>
    </comment>
    <comment ref="I783" authorId="0">
      <text>
        <r>
          <rPr>
            <b/>
            <sz val="9"/>
            <color indexed="81"/>
            <rFont val="Tahoma"/>
            <family val="2"/>
          </rPr>
          <t>LPA:</t>
        </r>
        <r>
          <rPr>
            <sz val="9"/>
            <color indexed="81"/>
            <rFont val="Tahoma"/>
            <family val="2"/>
          </rPr>
          <t xml:space="preserve">
проверити збир!
</t>
        </r>
      </text>
    </comment>
    <comment ref="I784" authorId="0">
      <text>
        <r>
          <rPr>
            <b/>
            <sz val="9"/>
            <color indexed="81"/>
            <rFont val="Tahoma"/>
            <family val="2"/>
          </rPr>
          <t>LPA:</t>
        </r>
        <r>
          <rPr>
            <sz val="9"/>
            <color indexed="81"/>
            <rFont val="Tahoma"/>
            <family val="2"/>
          </rPr>
          <t xml:space="preserve">
проверити збир!
</t>
        </r>
      </text>
    </comment>
    <comment ref="I785" authorId="0">
      <text>
        <r>
          <rPr>
            <b/>
            <sz val="9"/>
            <color indexed="81"/>
            <rFont val="Tahoma"/>
            <family val="2"/>
          </rPr>
          <t>LPA:</t>
        </r>
        <r>
          <rPr>
            <sz val="9"/>
            <color indexed="81"/>
            <rFont val="Tahoma"/>
            <family val="2"/>
          </rPr>
          <t xml:space="preserve">
проверити збир!
</t>
        </r>
      </text>
    </comment>
    <comment ref="H788" authorId="0">
      <text>
        <r>
          <rPr>
            <b/>
            <sz val="9"/>
            <color indexed="81"/>
            <rFont val="Tahoma"/>
            <family val="2"/>
          </rPr>
          <t>LPA:</t>
        </r>
        <r>
          <rPr>
            <sz val="9"/>
            <color indexed="81"/>
            <rFont val="Tahoma"/>
            <family val="2"/>
          </rPr>
          <t xml:space="preserve">
проверити збир!</t>
        </r>
      </text>
    </comment>
    <comment ref="I788" authorId="0">
      <text>
        <r>
          <rPr>
            <b/>
            <sz val="9"/>
            <color indexed="81"/>
            <rFont val="Tahoma"/>
            <family val="2"/>
          </rPr>
          <t>LPA:</t>
        </r>
        <r>
          <rPr>
            <sz val="9"/>
            <color indexed="81"/>
            <rFont val="Tahoma"/>
            <family val="2"/>
          </rPr>
          <t xml:space="preserve">
проверити збир!</t>
        </r>
      </text>
    </comment>
    <comment ref="I789" authorId="0">
      <text>
        <r>
          <rPr>
            <b/>
            <sz val="9"/>
            <color indexed="81"/>
            <rFont val="Tahoma"/>
            <family val="2"/>
          </rPr>
          <t>LPA:</t>
        </r>
        <r>
          <rPr>
            <sz val="9"/>
            <color indexed="81"/>
            <rFont val="Tahoma"/>
            <family val="2"/>
          </rPr>
          <t xml:space="preserve">
проверити збир!
</t>
        </r>
      </text>
    </comment>
    <comment ref="I790" authorId="0">
      <text>
        <r>
          <rPr>
            <b/>
            <sz val="9"/>
            <color indexed="81"/>
            <rFont val="Tahoma"/>
            <family val="2"/>
          </rPr>
          <t>LPA:</t>
        </r>
        <r>
          <rPr>
            <sz val="9"/>
            <color indexed="81"/>
            <rFont val="Tahoma"/>
            <family val="2"/>
          </rPr>
          <t xml:space="preserve">
проверити збир!
</t>
        </r>
      </text>
    </comment>
    <comment ref="I791" authorId="0">
      <text>
        <r>
          <rPr>
            <b/>
            <sz val="9"/>
            <color indexed="81"/>
            <rFont val="Tahoma"/>
            <family val="2"/>
          </rPr>
          <t>LPA:</t>
        </r>
        <r>
          <rPr>
            <sz val="9"/>
            <color indexed="81"/>
            <rFont val="Tahoma"/>
            <family val="2"/>
          </rPr>
          <t xml:space="preserve">
проверити збир!
</t>
        </r>
      </text>
    </comment>
    <comment ref="I792" authorId="0">
      <text>
        <r>
          <rPr>
            <b/>
            <sz val="9"/>
            <color indexed="81"/>
            <rFont val="Tahoma"/>
            <family val="2"/>
          </rPr>
          <t>LPA:</t>
        </r>
        <r>
          <rPr>
            <sz val="9"/>
            <color indexed="81"/>
            <rFont val="Tahoma"/>
            <family val="2"/>
          </rPr>
          <t xml:space="preserve">
проверити збир!
</t>
        </r>
      </text>
    </comment>
    <comment ref="I793" authorId="0">
      <text>
        <r>
          <rPr>
            <b/>
            <sz val="9"/>
            <color indexed="81"/>
            <rFont val="Tahoma"/>
            <family val="2"/>
          </rPr>
          <t>LPA:</t>
        </r>
        <r>
          <rPr>
            <sz val="9"/>
            <color indexed="81"/>
            <rFont val="Tahoma"/>
            <family val="2"/>
          </rPr>
          <t xml:space="preserve">
проверити збир!
</t>
        </r>
      </text>
    </comment>
    <comment ref="I794" authorId="0">
      <text>
        <r>
          <rPr>
            <b/>
            <sz val="9"/>
            <color indexed="81"/>
            <rFont val="Tahoma"/>
            <family val="2"/>
          </rPr>
          <t>LPA:</t>
        </r>
        <r>
          <rPr>
            <sz val="9"/>
            <color indexed="81"/>
            <rFont val="Tahoma"/>
            <family val="2"/>
          </rPr>
          <t xml:space="preserve">
проверити збир!
</t>
        </r>
      </text>
    </comment>
    <comment ref="I795" authorId="0">
      <text>
        <r>
          <rPr>
            <b/>
            <sz val="9"/>
            <color indexed="81"/>
            <rFont val="Tahoma"/>
            <family val="2"/>
          </rPr>
          <t>LPA:</t>
        </r>
        <r>
          <rPr>
            <sz val="9"/>
            <color indexed="81"/>
            <rFont val="Tahoma"/>
            <family val="2"/>
          </rPr>
          <t xml:space="preserve">
проверити збир!
</t>
        </r>
      </text>
    </comment>
    <comment ref="I796" authorId="0">
      <text>
        <r>
          <rPr>
            <b/>
            <sz val="9"/>
            <color indexed="81"/>
            <rFont val="Tahoma"/>
            <family val="2"/>
          </rPr>
          <t>LPA:</t>
        </r>
        <r>
          <rPr>
            <sz val="9"/>
            <color indexed="81"/>
            <rFont val="Tahoma"/>
            <family val="2"/>
          </rPr>
          <t xml:space="preserve">
проверити збир!
</t>
        </r>
      </text>
    </comment>
    <comment ref="I797" authorId="0">
      <text>
        <r>
          <rPr>
            <b/>
            <sz val="9"/>
            <color indexed="81"/>
            <rFont val="Tahoma"/>
            <family val="2"/>
          </rPr>
          <t>LPA:</t>
        </r>
        <r>
          <rPr>
            <sz val="9"/>
            <color indexed="81"/>
            <rFont val="Tahoma"/>
            <family val="2"/>
          </rPr>
          <t xml:space="preserve">
проверити збир!
</t>
        </r>
      </text>
    </comment>
    <comment ref="I798" authorId="0">
      <text>
        <r>
          <rPr>
            <b/>
            <sz val="9"/>
            <color indexed="81"/>
            <rFont val="Tahoma"/>
            <family val="2"/>
          </rPr>
          <t>LPA:</t>
        </r>
        <r>
          <rPr>
            <sz val="9"/>
            <color indexed="81"/>
            <rFont val="Tahoma"/>
            <family val="2"/>
          </rPr>
          <t xml:space="preserve">
проверити збир!
</t>
        </r>
      </text>
    </comment>
    <comment ref="I799" authorId="0">
      <text>
        <r>
          <rPr>
            <b/>
            <sz val="9"/>
            <color indexed="81"/>
            <rFont val="Tahoma"/>
            <family val="2"/>
          </rPr>
          <t>LPA:</t>
        </r>
        <r>
          <rPr>
            <sz val="9"/>
            <color indexed="81"/>
            <rFont val="Tahoma"/>
            <family val="2"/>
          </rPr>
          <t xml:space="preserve">
проверити збир!
</t>
        </r>
      </text>
    </comment>
    <comment ref="I800" authorId="0">
      <text>
        <r>
          <rPr>
            <b/>
            <sz val="9"/>
            <color indexed="81"/>
            <rFont val="Tahoma"/>
            <family val="2"/>
          </rPr>
          <t>LPA:</t>
        </r>
        <r>
          <rPr>
            <sz val="9"/>
            <color indexed="81"/>
            <rFont val="Tahoma"/>
            <family val="2"/>
          </rPr>
          <t xml:space="preserve">
проверити збир!
</t>
        </r>
      </text>
    </comment>
    <comment ref="I801" authorId="0">
      <text>
        <r>
          <rPr>
            <b/>
            <sz val="9"/>
            <color indexed="81"/>
            <rFont val="Tahoma"/>
            <family val="2"/>
          </rPr>
          <t>LPA:</t>
        </r>
        <r>
          <rPr>
            <sz val="9"/>
            <color indexed="81"/>
            <rFont val="Tahoma"/>
            <family val="2"/>
          </rPr>
          <t xml:space="preserve">
проверити збир!
</t>
        </r>
      </text>
    </comment>
    <comment ref="I802" authorId="0">
      <text>
        <r>
          <rPr>
            <b/>
            <sz val="9"/>
            <color indexed="81"/>
            <rFont val="Tahoma"/>
            <family val="2"/>
          </rPr>
          <t>LPA:</t>
        </r>
        <r>
          <rPr>
            <sz val="9"/>
            <color indexed="81"/>
            <rFont val="Tahoma"/>
            <family val="2"/>
          </rPr>
          <t xml:space="preserve">
проверити збир!
</t>
        </r>
      </text>
    </comment>
    <comment ref="I803" authorId="0">
      <text>
        <r>
          <rPr>
            <b/>
            <sz val="9"/>
            <color indexed="81"/>
            <rFont val="Tahoma"/>
            <family val="2"/>
          </rPr>
          <t>LPA:</t>
        </r>
        <r>
          <rPr>
            <sz val="9"/>
            <color indexed="81"/>
            <rFont val="Tahoma"/>
            <family val="2"/>
          </rPr>
          <t xml:space="preserve">
проверити збир!
</t>
        </r>
      </text>
    </comment>
    <comment ref="I816" authorId="0">
      <text>
        <r>
          <rPr>
            <b/>
            <sz val="9"/>
            <color indexed="81"/>
            <rFont val="Tahoma"/>
            <family val="2"/>
          </rPr>
          <t>LPA:</t>
        </r>
        <r>
          <rPr>
            <sz val="9"/>
            <color indexed="81"/>
            <rFont val="Tahoma"/>
            <family val="2"/>
          </rPr>
          <t xml:space="preserve">
проверити збир!
</t>
        </r>
      </text>
    </comment>
    <comment ref="I817" authorId="0">
      <text>
        <r>
          <rPr>
            <b/>
            <sz val="9"/>
            <color indexed="81"/>
            <rFont val="Tahoma"/>
            <family val="2"/>
          </rPr>
          <t>LPA:</t>
        </r>
        <r>
          <rPr>
            <sz val="9"/>
            <color indexed="81"/>
            <rFont val="Tahoma"/>
            <family val="2"/>
          </rPr>
          <t xml:space="preserve">
проверити збир!
</t>
        </r>
      </text>
    </comment>
    <comment ref="I818" authorId="0">
      <text>
        <r>
          <rPr>
            <b/>
            <sz val="9"/>
            <color indexed="81"/>
            <rFont val="Tahoma"/>
            <family val="2"/>
          </rPr>
          <t>LPA:</t>
        </r>
        <r>
          <rPr>
            <sz val="9"/>
            <color indexed="81"/>
            <rFont val="Tahoma"/>
            <family val="2"/>
          </rPr>
          <t xml:space="preserve">
проверити збир!
</t>
        </r>
      </text>
    </comment>
    <comment ref="I819" authorId="0">
      <text>
        <r>
          <rPr>
            <b/>
            <sz val="9"/>
            <color indexed="81"/>
            <rFont val="Tahoma"/>
            <family val="2"/>
          </rPr>
          <t>LPA:</t>
        </r>
        <r>
          <rPr>
            <sz val="9"/>
            <color indexed="81"/>
            <rFont val="Tahoma"/>
            <family val="2"/>
          </rPr>
          <t xml:space="preserve">
проверити збир!
</t>
        </r>
      </text>
    </comment>
    <comment ref="I820" authorId="0">
      <text>
        <r>
          <rPr>
            <b/>
            <sz val="9"/>
            <color indexed="81"/>
            <rFont val="Tahoma"/>
            <family val="2"/>
          </rPr>
          <t>LPA:</t>
        </r>
        <r>
          <rPr>
            <sz val="9"/>
            <color indexed="81"/>
            <rFont val="Tahoma"/>
            <family val="2"/>
          </rPr>
          <t xml:space="preserve">
проверити збир!
</t>
        </r>
      </text>
    </comment>
    <comment ref="I821" authorId="0">
      <text>
        <r>
          <rPr>
            <b/>
            <sz val="9"/>
            <color indexed="81"/>
            <rFont val="Tahoma"/>
            <family val="2"/>
          </rPr>
          <t>LPA:</t>
        </r>
        <r>
          <rPr>
            <sz val="9"/>
            <color indexed="81"/>
            <rFont val="Tahoma"/>
            <family val="2"/>
          </rPr>
          <t xml:space="preserve">
проверити збир!
</t>
        </r>
      </text>
    </comment>
    <comment ref="I822" authorId="0">
      <text>
        <r>
          <rPr>
            <b/>
            <sz val="9"/>
            <color indexed="81"/>
            <rFont val="Tahoma"/>
            <family val="2"/>
          </rPr>
          <t>LPA:</t>
        </r>
        <r>
          <rPr>
            <sz val="9"/>
            <color indexed="81"/>
            <rFont val="Tahoma"/>
            <family val="2"/>
          </rPr>
          <t xml:space="preserve">
проверити збир!
</t>
        </r>
      </text>
    </comment>
    <comment ref="I823" authorId="0">
      <text>
        <r>
          <rPr>
            <b/>
            <sz val="9"/>
            <color indexed="81"/>
            <rFont val="Tahoma"/>
            <family val="2"/>
          </rPr>
          <t>LPA:</t>
        </r>
        <r>
          <rPr>
            <sz val="9"/>
            <color indexed="81"/>
            <rFont val="Tahoma"/>
            <family val="2"/>
          </rPr>
          <t xml:space="preserve">
проверити збир!
</t>
        </r>
      </text>
    </comment>
    <comment ref="I824" authorId="0">
      <text>
        <r>
          <rPr>
            <b/>
            <sz val="9"/>
            <color indexed="81"/>
            <rFont val="Tahoma"/>
            <family val="2"/>
          </rPr>
          <t>LPA:</t>
        </r>
        <r>
          <rPr>
            <sz val="9"/>
            <color indexed="81"/>
            <rFont val="Tahoma"/>
            <family val="2"/>
          </rPr>
          <t xml:space="preserve">
проверити збир!
</t>
        </r>
      </text>
    </comment>
    <comment ref="I825" authorId="0">
      <text>
        <r>
          <rPr>
            <b/>
            <sz val="9"/>
            <color indexed="81"/>
            <rFont val="Tahoma"/>
            <family val="2"/>
          </rPr>
          <t>LPA:</t>
        </r>
        <r>
          <rPr>
            <sz val="9"/>
            <color indexed="81"/>
            <rFont val="Tahoma"/>
            <family val="2"/>
          </rPr>
          <t xml:space="preserve">
проверити збир!
</t>
        </r>
      </text>
    </comment>
    <comment ref="I826" authorId="0">
      <text>
        <r>
          <rPr>
            <b/>
            <sz val="9"/>
            <color indexed="81"/>
            <rFont val="Tahoma"/>
            <family val="2"/>
          </rPr>
          <t>LPA:</t>
        </r>
        <r>
          <rPr>
            <sz val="9"/>
            <color indexed="81"/>
            <rFont val="Tahoma"/>
            <family val="2"/>
          </rPr>
          <t xml:space="preserve">
проверити збир!
</t>
        </r>
      </text>
    </comment>
    <comment ref="I827" authorId="0">
      <text>
        <r>
          <rPr>
            <b/>
            <sz val="9"/>
            <color indexed="81"/>
            <rFont val="Tahoma"/>
            <family val="2"/>
          </rPr>
          <t>LPA:</t>
        </r>
        <r>
          <rPr>
            <sz val="9"/>
            <color indexed="81"/>
            <rFont val="Tahoma"/>
            <family val="2"/>
          </rPr>
          <t xml:space="preserve">
проверити збир!
</t>
        </r>
      </text>
    </comment>
    <comment ref="I828" authorId="0">
      <text>
        <r>
          <rPr>
            <b/>
            <sz val="9"/>
            <color indexed="81"/>
            <rFont val="Tahoma"/>
            <family val="2"/>
          </rPr>
          <t>LPA:</t>
        </r>
        <r>
          <rPr>
            <sz val="9"/>
            <color indexed="81"/>
            <rFont val="Tahoma"/>
            <family val="2"/>
          </rPr>
          <t xml:space="preserve">
проверити збир!
</t>
        </r>
      </text>
    </comment>
    <comment ref="H831" authorId="0">
      <text>
        <r>
          <rPr>
            <b/>
            <sz val="9"/>
            <color indexed="81"/>
            <rFont val="Tahoma"/>
            <family val="2"/>
          </rPr>
          <t>LPA:</t>
        </r>
        <r>
          <rPr>
            <sz val="9"/>
            <color indexed="81"/>
            <rFont val="Tahoma"/>
            <family val="2"/>
          </rPr>
          <t xml:space="preserve">
проверити збир!</t>
        </r>
      </text>
    </comment>
    <comment ref="I831" authorId="0">
      <text>
        <r>
          <rPr>
            <b/>
            <sz val="9"/>
            <color indexed="81"/>
            <rFont val="Tahoma"/>
            <family val="2"/>
          </rPr>
          <t>LPA:</t>
        </r>
        <r>
          <rPr>
            <sz val="9"/>
            <color indexed="81"/>
            <rFont val="Tahoma"/>
            <family val="2"/>
          </rPr>
          <t xml:space="preserve">
проверити збир!</t>
        </r>
      </text>
    </comment>
    <comment ref="I832" authorId="0">
      <text>
        <r>
          <rPr>
            <b/>
            <sz val="9"/>
            <color indexed="81"/>
            <rFont val="Tahoma"/>
            <family val="2"/>
          </rPr>
          <t>LPA:</t>
        </r>
        <r>
          <rPr>
            <sz val="9"/>
            <color indexed="81"/>
            <rFont val="Tahoma"/>
            <family val="2"/>
          </rPr>
          <t xml:space="preserve">
проверити збир!
</t>
        </r>
      </text>
    </comment>
    <comment ref="I833" authorId="0">
      <text>
        <r>
          <rPr>
            <b/>
            <sz val="9"/>
            <color indexed="81"/>
            <rFont val="Tahoma"/>
            <family val="2"/>
          </rPr>
          <t>LPA:</t>
        </r>
        <r>
          <rPr>
            <sz val="9"/>
            <color indexed="81"/>
            <rFont val="Tahoma"/>
            <family val="2"/>
          </rPr>
          <t xml:space="preserve">
проверити збир!
</t>
        </r>
      </text>
    </comment>
    <comment ref="I834" authorId="0">
      <text>
        <r>
          <rPr>
            <b/>
            <sz val="9"/>
            <color indexed="81"/>
            <rFont val="Tahoma"/>
            <family val="2"/>
          </rPr>
          <t>LPA:</t>
        </r>
        <r>
          <rPr>
            <sz val="9"/>
            <color indexed="81"/>
            <rFont val="Tahoma"/>
            <family val="2"/>
          </rPr>
          <t xml:space="preserve">
проверити збир!
</t>
        </r>
      </text>
    </comment>
    <comment ref="I835" authorId="0">
      <text>
        <r>
          <rPr>
            <b/>
            <sz val="9"/>
            <color indexed="81"/>
            <rFont val="Tahoma"/>
            <family val="2"/>
          </rPr>
          <t>LPA:</t>
        </r>
        <r>
          <rPr>
            <sz val="9"/>
            <color indexed="81"/>
            <rFont val="Tahoma"/>
            <family val="2"/>
          </rPr>
          <t xml:space="preserve">
проверити збир!
</t>
        </r>
      </text>
    </comment>
    <comment ref="I836" authorId="0">
      <text>
        <r>
          <rPr>
            <b/>
            <sz val="9"/>
            <color indexed="81"/>
            <rFont val="Tahoma"/>
            <family val="2"/>
          </rPr>
          <t>LPA:</t>
        </r>
        <r>
          <rPr>
            <sz val="9"/>
            <color indexed="81"/>
            <rFont val="Tahoma"/>
            <family val="2"/>
          </rPr>
          <t xml:space="preserve">
проверити збир!
</t>
        </r>
      </text>
    </comment>
    <comment ref="I837" authorId="0">
      <text>
        <r>
          <rPr>
            <b/>
            <sz val="9"/>
            <color indexed="81"/>
            <rFont val="Tahoma"/>
            <family val="2"/>
          </rPr>
          <t>LPA:</t>
        </r>
        <r>
          <rPr>
            <sz val="9"/>
            <color indexed="81"/>
            <rFont val="Tahoma"/>
            <family val="2"/>
          </rPr>
          <t xml:space="preserve">
проверити збир!
</t>
        </r>
      </text>
    </comment>
    <comment ref="I838" authorId="0">
      <text>
        <r>
          <rPr>
            <b/>
            <sz val="9"/>
            <color indexed="81"/>
            <rFont val="Tahoma"/>
            <family val="2"/>
          </rPr>
          <t>LPA:</t>
        </r>
        <r>
          <rPr>
            <sz val="9"/>
            <color indexed="81"/>
            <rFont val="Tahoma"/>
            <family val="2"/>
          </rPr>
          <t xml:space="preserve">
проверити збир!
</t>
        </r>
      </text>
    </comment>
    <comment ref="I839" authorId="0">
      <text>
        <r>
          <rPr>
            <b/>
            <sz val="9"/>
            <color indexed="81"/>
            <rFont val="Tahoma"/>
            <family val="2"/>
          </rPr>
          <t>LPA:</t>
        </r>
        <r>
          <rPr>
            <sz val="9"/>
            <color indexed="81"/>
            <rFont val="Tahoma"/>
            <family val="2"/>
          </rPr>
          <t xml:space="preserve">
проверити збир!
</t>
        </r>
      </text>
    </comment>
    <comment ref="I840" authorId="0">
      <text>
        <r>
          <rPr>
            <b/>
            <sz val="9"/>
            <color indexed="81"/>
            <rFont val="Tahoma"/>
            <family val="2"/>
          </rPr>
          <t>LPA:</t>
        </r>
        <r>
          <rPr>
            <sz val="9"/>
            <color indexed="81"/>
            <rFont val="Tahoma"/>
            <family val="2"/>
          </rPr>
          <t xml:space="preserve">
проверити збир!
</t>
        </r>
      </text>
    </comment>
    <comment ref="I841" authorId="0">
      <text>
        <r>
          <rPr>
            <b/>
            <sz val="9"/>
            <color indexed="81"/>
            <rFont val="Tahoma"/>
            <family val="2"/>
          </rPr>
          <t>LPA:</t>
        </r>
        <r>
          <rPr>
            <sz val="9"/>
            <color indexed="81"/>
            <rFont val="Tahoma"/>
            <family val="2"/>
          </rPr>
          <t xml:space="preserve">
проверити збир!
</t>
        </r>
      </text>
    </comment>
    <comment ref="I842" authorId="0">
      <text>
        <r>
          <rPr>
            <b/>
            <sz val="9"/>
            <color indexed="81"/>
            <rFont val="Tahoma"/>
            <family val="2"/>
          </rPr>
          <t>LPA:</t>
        </r>
        <r>
          <rPr>
            <sz val="9"/>
            <color indexed="81"/>
            <rFont val="Tahoma"/>
            <family val="2"/>
          </rPr>
          <t xml:space="preserve">
проверити збир!
</t>
        </r>
      </text>
    </comment>
    <comment ref="I843" authorId="0">
      <text>
        <r>
          <rPr>
            <b/>
            <sz val="9"/>
            <color indexed="81"/>
            <rFont val="Tahoma"/>
            <family val="2"/>
          </rPr>
          <t>LPA:</t>
        </r>
        <r>
          <rPr>
            <sz val="9"/>
            <color indexed="81"/>
            <rFont val="Tahoma"/>
            <family val="2"/>
          </rPr>
          <t xml:space="preserve">
проверити збир!
</t>
        </r>
      </text>
    </comment>
    <comment ref="I844" authorId="0">
      <text>
        <r>
          <rPr>
            <b/>
            <sz val="9"/>
            <color indexed="81"/>
            <rFont val="Tahoma"/>
            <family val="2"/>
          </rPr>
          <t>LPA:</t>
        </r>
        <r>
          <rPr>
            <sz val="9"/>
            <color indexed="81"/>
            <rFont val="Tahoma"/>
            <family val="2"/>
          </rPr>
          <t xml:space="preserve">
проверити збир!
</t>
        </r>
      </text>
    </comment>
    <comment ref="I845" authorId="0">
      <text>
        <r>
          <rPr>
            <b/>
            <sz val="9"/>
            <color indexed="81"/>
            <rFont val="Tahoma"/>
            <family val="2"/>
          </rPr>
          <t>LPA:</t>
        </r>
        <r>
          <rPr>
            <sz val="9"/>
            <color indexed="81"/>
            <rFont val="Tahoma"/>
            <family val="2"/>
          </rPr>
          <t xml:space="preserve">
проверити збир!
</t>
        </r>
      </text>
    </comment>
    <comment ref="I846" authorId="0">
      <text>
        <r>
          <rPr>
            <b/>
            <sz val="9"/>
            <color indexed="81"/>
            <rFont val="Tahoma"/>
            <family val="2"/>
          </rPr>
          <t>LPA:</t>
        </r>
        <r>
          <rPr>
            <sz val="9"/>
            <color indexed="81"/>
            <rFont val="Tahoma"/>
            <family val="2"/>
          </rPr>
          <t xml:space="preserve">
проверити збир!
</t>
        </r>
      </text>
    </comment>
    <comment ref="I859" authorId="0">
      <text>
        <r>
          <rPr>
            <b/>
            <sz val="9"/>
            <color indexed="81"/>
            <rFont val="Tahoma"/>
            <family val="2"/>
          </rPr>
          <t>LPA:</t>
        </r>
        <r>
          <rPr>
            <sz val="9"/>
            <color indexed="81"/>
            <rFont val="Tahoma"/>
            <family val="2"/>
          </rPr>
          <t xml:space="preserve">
проверити збир!
</t>
        </r>
      </text>
    </comment>
    <comment ref="I860" authorId="0">
      <text>
        <r>
          <rPr>
            <b/>
            <sz val="9"/>
            <color indexed="81"/>
            <rFont val="Tahoma"/>
            <family val="2"/>
          </rPr>
          <t>LPA:</t>
        </r>
        <r>
          <rPr>
            <sz val="9"/>
            <color indexed="81"/>
            <rFont val="Tahoma"/>
            <family val="2"/>
          </rPr>
          <t xml:space="preserve">
проверити збир!
</t>
        </r>
      </text>
    </comment>
    <comment ref="I861" authorId="0">
      <text>
        <r>
          <rPr>
            <b/>
            <sz val="9"/>
            <color indexed="81"/>
            <rFont val="Tahoma"/>
            <family val="2"/>
          </rPr>
          <t>LPA:</t>
        </r>
        <r>
          <rPr>
            <sz val="9"/>
            <color indexed="81"/>
            <rFont val="Tahoma"/>
            <family val="2"/>
          </rPr>
          <t xml:space="preserve">
проверити збир!
</t>
        </r>
      </text>
    </comment>
    <comment ref="I862" authorId="0">
      <text>
        <r>
          <rPr>
            <b/>
            <sz val="9"/>
            <color indexed="81"/>
            <rFont val="Tahoma"/>
            <family val="2"/>
          </rPr>
          <t>LPA:</t>
        </r>
        <r>
          <rPr>
            <sz val="9"/>
            <color indexed="81"/>
            <rFont val="Tahoma"/>
            <family val="2"/>
          </rPr>
          <t xml:space="preserve">
проверити збир!
</t>
        </r>
      </text>
    </comment>
    <comment ref="I863" authorId="0">
      <text>
        <r>
          <rPr>
            <b/>
            <sz val="9"/>
            <color indexed="81"/>
            <rFont val="Tahoma"/>
            <family val="2"/>
          </rPr>
          <t>LPA:</t>
        </r>
        <r>
          <rPr>
            <sz val="9"/>
            <color indexed="81"/>
            <rFont val="Tahoma"/>
            <family val="2"/>
          </rPr>
          <t xml:space="preserve">
проверити збир!
</t>
        </r>
      </text>
    </comment>
    <comment ref="I864" authorId="0">
      <text>
        <r>
          <rPr>
            <b/>
            <sz val="9"/>
            <color indexed="81"/>
            <rFont val="Tahoma"/>
            <family val="2"/>
          </rPr>
          <t>LPA:</t>
        </r>
        <r>
          <rPr>
            <sz val="9"/>
            <color indexed="81"/>
            <rFont val="Tahoma"/>
            <family val="2"/>
          </rPr>
          <t xml:space="preserve">
проверити збир!
</t>
        </r>
      </text>
    </comment>
    <comment ref="I865" authorId="0">
      <text>
        <r>
          <rPr>
            <b/>
            <sz val="9"/>
            <color indexed="81"/>
            <rFont val="Tahoma"/>
            <family val="2"/>
          </rPr>
          <t>LPA:</t>
        </r>
        <r>
          <rPr>
            <sz val="9"/>
            <color indexed="81"/>
            <rFont val="Tahoma"/>
            <family val="2"/>
          </rPr>
          <t xml:space="preserve">
проверити збир!
</t>
        </r>
      </text>
    </comment>
    <comment ref="I866" authorId="0">
      <text>
        <r>
          <rPr>
            <b/>
            <sz val="9"/>
            <color indexed="81"/>
            <rFont val="Tahoma"/>
            <family val="2"/>
          </rPr>
          <t>LPA:</t>
        </r>
        <r>
          <rPr>
            <sz val="9"/>
            <color indexed="81"/>
            <rFont val="Tahoma"/>
            <family val="2"/>
          </rPr>
          <t xml:space="preserve">
проверити збир!
</t>
        </r>
      </text>
    </comment>
    <comment ref="I867" authorId="0">
      <text>
        <r>
          <rPr>
            <b/>
            <sz val="9"/>
            <color indexed="81"/>
            <rFont val="Tahoma"/>
            <family val="2"/>
          </rPr>
          <t>LPA:</t>
        </r>
        <r>
          <rPr>
            <sz val="9"/>
            <color indexed="81"/>
            <rFont val="Tahoma"/>
            <family val="2"/>
          </rPr>
          <t xml:space="preserve">
проверити збир!
</t>
        </r>
      </text>
    </comment>
    <comment ref="I868" authorId="0">
      <text>
        <r>
          <rPr>
            <b/>
            <sz val="9"/>
            <color indexed="81"/>
            <rFont val="Tahoma"/>
            <family val="2"/>
          </rPr>
          <t>LPA:</t>
        </r>
        <r>
          <rPr>
            <sz val="9"/>
            <color indexed="81"/>
            <rFont val="Tahoma"/>
            <family val="2"/>
          </rPr>
          <t xml:space="preserve">
проверити збир!
</t>
        </r>
      </text>
    </comment>
    <comment ref="I869" authorId="0">
      <text>
        <r>
          <rPr>
            <b/>
            <sz val="9"/>
            <color indexed="81"/>
            <rFont val="Tahoma"/>
            <family val="2"/>
          </rPr>
          <t>LPA:</t>
        </r>
        <r>
          <rPr>
            <sz val="9"/>
            <color indexed="81"/>
            <rFont val="Tahoma"/>
            <family val="2"/>
          </rPr>
          <t xml:space="preserve">
проверити збир!
</t>
        </r>
      </text>
    </comment>
    <comment ref="I870" authorId="0">
      <text>
        <r>
          <rPr>
            <b/>
            <sz val="9"/>
            <color indexed="81"/>
            <rFont val="Tahoma"/>
            <family val="2"/>
          </rPr>
          <t>LPA:</t>
        </r>
        <r>
          <rPr>
            <sz val="9"/>
            <color indexed="81"/>
            <rFont val="Tahoma"/>
            <family val="2"/>
          </rPr>
          <t xml:space="preserve">
проверити збир!
</t>
        </r>
      </text>
    </comment>
    <comment ref="I871" authorId="0">
      <text>
        <r>
          <rPr>
            <b/>
            <sz val="9"/>
            <color indexed="81"/>
            <rFont val="Tahoma"/>
            <family val="2"/>
          </rPr>
          <t>LPA:</t>
        </r>
        <r>
          <rPr>
            <sz val="9"/>
            <color indexed="81"/>
            <rFont val="Tahoma"/>
            <family val="2"/>
          </rPr>
          <t xml:space="preserve">
проверити збир!
</t>
        </r>
      </text>
    </comment>
    <comment ref="H874" authorId="0">
      <text>
        <r>
          <rPr>
            <b/>
            <sz val="9"/>
            <color indexed="81"/>
            <rFont val="Tahoma"/>
            <family val="2"/>
          </rPr>
          <t>LPA:</t>
        </r>
        <r>
          <rPr>
            <sz val="9"/>
            <color indexed="81"/>
            <rFont val="Tahoma"/>
            <family val="2"/>
          </rPr>
          <t xml:space="preserve">
проверити збир!</t>
        </r>
      </text>
    </comment>
    <comment ref="I874" authorId="0">
      <text>
        <r>
          <rPr>
            <b/>
            <sz val="9"/>
            <color indexed="81"/>
            <rFont val="Tahoma"/>
            <family val="2"/>
          </rPr>
          <t>LPA:</t>
        </r>
        <r>
          <rPr>
            <sz val="9"/>
            <color indexed="81"/>
            <rFont val="Tahoma"/>
            <family val="2"/>
          </rPr>
          <t xml:space="preserve">
проверити збир!</t>
        </r>
      </text>
    </comment>
    <comment ref="I875" authorId="0">
      <text>
        <r>
          <rPr>
            <b/>
            <sz val="9"/>
            <color indexed="81"/>
            <rFont val="Tahoma"/>
            <family val="2"/>
          </rPr>
          <t>LPA:</t>
        </r>
        <r>
          <rPr>
            <sz val="9"/>
            <color indexed="81"/>
            <rFont val="Tahoma"/>
            <family val="2"/>
          </rPr>
          <t xml:space="preserve">
проверити збир!
</t>
        </r>
      </text>
    </comment>
    <comment ref="I876" authorId="0">
      <text>
        <r>
          <rPr>
            <b/>
            <sz val="9"/>
            <color indexed="81"/>
            <rFont val="Tahoma"/>
            <family val="2"/>
          </rPr>
          <t>LPA:</t>
        </r>
        <r>
          <rPr>
            <sz val="9"/>
            <color indexed="81"/>
            <rFont val="Tahoma"/>
            <family val="2"/>
          </rPr>
          <t xml:space="preserve">
проверити збир!
</t>
        </r>
      </text>
    </comment>
    <comment ref="I877" authorId="0">
      <text>
        <r>
          <rPr>
            <b/>
            <sz val="9"/>
            <color indexed="81"/>
            <rFont val="Tahoma"/>
            <family val="2"/>
          </rPr>
          <t>LPA:</t>
        </r>
        <r>
          <rPr>
            <sz val="9"/>
            <color indexed="81"/>
            <rFont val="Tahoma"/>
            <family val="2"/>
          </rPr>
          <t xml:space="preserve">
проверити збир!
</t>
        </r>
      </text>
    </comment>
    <comment ref="I878" authorId="0">
      <text>
        <r>
          <rPr>
            <b/>
            <sz val="9"/>
            <color indexed="81"/>
            <rFont val="Tahoma"/>
            <family val="2"/>
          </rPr>
          <t>LPA:</t>
        </r>
        <r>
          <rPr>
            <sz val="9"/>
            <color indexed="81"/>
            <rFont val="Tahoma"/>
            <family val="2"/>
          </rPr>
          <t xml:space="preserve">
проверити збир!
</t>
        </r>
      </text>
    </comment>
    <comment ref="I879" authorId="0">
      <text>
        <r>
          <rPr>
            <b/>
            <sz val="9"/>
            <color indexed="81"/>
            <rFont val="Tahoma"/>
            <family val="2"/>
          </rPr>
          <t>LPA:</t>
        </r>
        <r>
          <rPr>
            <sz val="9"/>
            <color indexed="81"/>
            <rFont val="Tahoma"/>
            <family val="2"/>
          </rPr>
          <t xml:space="preserve">
проверити збир!
</t>
        </r>
      </text>
    </comment>
    <comment ref="I880" authorId="0">
      <text>
        <r>
          <rPr>
            <b/>
            <sz val="9"/>
            <color indexed="81"/>
            <rFont val="Tahoma"/>
            <family val="2"/>
          </rPr>
          <t>LPA:</t>
        </r>
        <r>
          <rPr>
            <sz val="9"/>
            <color indexed="81"/>
            <rFont val="Tahoma"/>
            <family val="2"/>
          </rPr>
          <t xml:space="preserve">
проверити збир!
</t>
        </r>
      </text>
    </comment>
    <comment ref="I881" authorId="0">
      <text>
        <r>
          <rPr>
            <b/>
            <sz val="9"/>
            <color indexed="81"/>
            <rFont val="Tahoma"/>
            <family val="2"/>
          </rPr>
          <t>LPA:</t>
        </r>
        <r>
          <rPr>
            <sz val="9"/>
            <color indexed="81"/>
            <rFont val="Tahoma"/>
            <family val="2"/>
          </rPr>
          <t xml:space="preserve">
проверити збир!
</t>
        </r>
      </text>
    </comment>
    <comment ref="I882" authorId="0">
      <text>
        <r>
          <rPr>
            <b/>
            <sz val="9"/>
            <color indexed="81"/>
            <rFont val="Tahoma"/>
            <family val="2"/>
          </rPr>
          <t>LPA:</t>
        </r>
        <r>
          <rPr>
            <sz val="9"/>
            <color indexed="81"/>
            <rFont val="Tahoma"/>
            <family val="2"/>
          </rPr>
          <t xml:space="preserve">
проверити збир!
</t>
        </r>
      </text>
    </comment>
    <comment ref="I883" authorId="0">
      <text>
        <r>
          <rPr>
            <b/>
            <sz val="9"/>
            <color indexed="81"/>
            <rFont val="Tahoma"/>
            <family val="2"/>
          </rPr>
          <t>LPA:</t>
        </r>
        <r>
          <rPr>
            <sz val="9"/>
            <color indexed="81"/>
            <rFont val="Tahoma"/>
            <family val="2"/>
          </rPr>
          <t xml:space="preserve">
проверити збир!
</t>
        </r>
      </text>
    </comment>
    <comment ref="I884" authorId="0">
      <text>
        <r>
          <rPr>
            <b/>
            <sz val="9"/>
            <color indexed="81"/>
            <rFont val="Tahoma"/>
            <family val="2"/>
          </rPr>
          <t>LPA:</t>
        </r>
        <r>
          <rPr>
            <sz val="9"/>
            <color indexed="81"/>
            <rFont val="Tahoma"/>
            <family val="2"/>
          </rPr>
          <t xml:space="preserve">
проверити збир!
</t>
        </r>
      </text>
    </comment>
    <comment ref="I885" authorId="0">
      <text>
        <r>
          <rPr>
            <b/>
            <sz val="9"/>
            <color indexed="81"/>
            <rFont val="Tahoma"/>
            <family val="2"/>
          </rPr>
          <t>LPA:</t>
        </r>
        <r>
          <rPr>
            <sz val="9"/>
            <color indexed="81"/>
            <rFont val="Tahoma"/>
            <family val="2"/>
          </rPr>
          <t xml:space="preserve">
проверити збир!
</t>
        </r>
      </text>
    </comment>
    <comment ref="I886" authorId="0">
      <text>
        <r>
          <rPr>
            <b/>
            <sz val="9"/>
            <color indexed="81"/>
            <rFont val="Tahoma"/>
            <family val="2"/>
          </rPr>
          <t>LPA:</t>
        </r>
        <r>
          <rPr>
            <sz val="9"/>
            <color indexed="81"/>
            <rFont val="Tahoma"/>
            <family val="2"/>
          </rPr>
          <t xml:space="preserve">
проверити збир!
</t>
        </r>
      </text>
    </comment>
    <comment ref="I887" authorId="0">
      <text>
        <r>
          <rPr>
            <b/>
            <sz val="9"/>
            <color indexed="81"/>
            <rFont val="Tahoma"/>
            <family val="2"/>
          </rPr>
          <t>LPA:</t>
        </r>
        <r>
          <rPr>
            <sz val="9"/>
            <color indexed="81"/>
            <rFont val="Tahoma"/>
            <family val="2"/>
          </rPr>
          <t xml:space="preserve">
проверити збир!
</t>
        </r>
      </text>
    </comment>
    <comment ref="I888" authorId="0">
      <text>
        <r>
          <rPr>
            <b/>
            <sz val="9"/>
            <color indexed="81"/>
            <rFont val="Tahoma"/>
            <family val="2"/>
          </rPr>
          <t>LPA:</t>
        </r>
        <r>
          <rPr>
            <sz val="9"/>
            <color indexed="81"/>
            <rFont val="Tahoma"/>
            <family val="2"/>
          </rPr>
          <t xml:space="preserve">
проверити збир!
</t>
        </r>
      </text>
    </comment>
    <comment ref="I889" authorId="0">
      <text>
        <r>
          <rPr>
            <b/>
            <sz val="9"/>
            <color indexed="81"/>
            <rFont val="Tahoma"/>
            <family val="2"/>
          </rPr>
          <t>LPA:</t>
        </r>
        <r>
          <rPr>
            <sz val="9"/>
            <color indexed="81"/>
            <rFont val="Tahoma"/>
            <family val="2"/>
          </rPr>
          <t xml:space="preserve">
проверити збир!
</t>
        </r>
      </text>
    </comment>
    <comment ref="H914" authorId="0">
      <text>
        <r>
          <rPr>
            <b/>
            <sz val="9"/>
            <color indexed="81"/>
            <rFont val="Tahoma"/>
            <charset val="1"/>
          </rPr>
          <t>LPA:</t>
        </r>
        <r>
          <rPr>
            <sz val="9"/>
            <color indexed="81"/>
            <rFont val="Tahoma"/>
            <charset val="1"/>
          </rPr>
          <t xml:space="preserve">
суфинансирање пројеката са међународним организацијама</t>
        </r>
      </text>
    </comment>
    <comment ref="H918" authorId="0">
      <text>
        <r>
          <rPr>
            <b/>
            <sz val="9"/>
            <color indexed="81"/>
            <rFont val="Tahoma"/>
            <charset val="1"/>
          </rPr>
          <t>LPA:</t>
        </r>
        <r>
          <rPr>
            <sz val="9"/>
            <color indexed="81"/>
            <rFont val="Tahoma"/>
            <charset val="1"/>
          </rPr>
          <t xml:space="preserve">
ово су позиције из развојног фонда, за опремање индустријске зоне, израду пројектне документације и пројекти у сарадњи са међународним организацијама и републичким органима</t>
        </r>
      </text>
    </comment>
    <comment ref="H919" authorId="0">
      <text>
        <r>
          <rPr>
            <b/>
            <sz val="9"/>
            <color indexed="81"/>
            <rFont val="Tahoma"/>
            <charset val="1"/>
          </rPr>
          <t>LPA:</t>
        </r>
        <r>
          <rPr>
            <sz val="9"/>
            <color indexed="81"/>
            <rFont val="Tahoma"/>
            <charset val="1"/>
          </rPr>
          <t xml:space="preserve">
експропријација за заобилазницу</t>
        </r>
      </text>
    </comment>
    <comment ref="I924" authorId="0">
      <text>
        <r>
          <rPr>
            <b/>
            <sz val="9"/>
            <color indexed="81"/>
            <rFont val="Tahoma"/>
            <family val="2"/>
          </rPr>
          <t>LPA:</t>
        </r>
        <r>
          <rPr>
            <sz val="9"/>
            <color indexed="81"/>
            <rFont val="Tahoma"/>
            <family val="2"/>
          </rPr>
          <t xml:space="preserve">
проверити збир!
</t>
        </r>
      </text>
    </comment>
    <comment ref="I925" authorId="0">
      <text>
        <r>
          <rPr>
            <b/>
            <sz val="9"/>
            <color indexed="81"/>
            <rFont val="Tahoma"/>
            <family val="2"/>
          </rPr>
          <t>LPA:</t>
        </r>
        <r>
          <rPr>
            <sz val="9"/>
            <color indexed="81"/>
            <rFont val="Tahoma"/>
            <family val="2"/>
          </rPr>
          <t xml:space="preserve">
проверити збир!
</t>
        </r>
      </text>
    </comment>
    <comment ref="I926" authorId="0">
      <text>
        <r>
          <rPr>
            <b/>
            <sz val="9"/>
            <color indexed="81"/>
            <rFont val="Tahoma"/>
            <family val="2"/>
          </rPr>
          <t>LPA:</t>
        </r>
        <r>
          <rPr>
            <sz val="9"/>
            <color indexed="81"/>
            <rFont val="Tahoma"/>
            <family val="2"/>
          </rPr>
          <t xml:space="preserve">
проверити збир!
</t>
        </r>
      </text>
    </comment>
    <comment ref="I927" authorId="0">
      <text>
        <r>
          <rPr>
            <b/>
            <sz val="9"/>
            <color indexed="81"/>
            <rFont val="Tahoma"/>
            <family val="2"/>
          </rPr>
          <t>LPA:</t>
        </r>
        <r>
          <rPr>
            <sz val="9"/>
            <color indexed="81"/>
            <rFont val="Tahoma"/>
            <family val="2"/>
          </rPr>
          <t xml:space="preserve">
проверити збир!
</t>
        </r>
      </text>
    </comment>
    <comment ref="I928" authorId="0">
      <text>
        <r>
          <rPr>
            <b/>
            <sz val="9"/>
            <color indexed="81"/>
            <rFont val="Tahoma"/>
            <family val="2"/>
          </rPr>
          <t>LPA:</t>
        </r>
        <r>
          <rPr>
            <sz val="9"/>
            <color indexed="81"/>
            <rFont val="Tahoma"/>
            <family val="2"/>
          </rPr>
          <t xml:space="preserve">
проверити збир!
</t>
        </r>
      </text>
    </comment>
    <comment ref="I929" authorId="0">
      <text>
        <r>
          <rPr>
            <b/>
            <sz val="9"/>
            <color indexed="81"/>
            <rFont val="Tahoma"/>
            <family val="2"/>
          </rPr>
          <t>LPA:</t>
        </r>
        <r>
          <rPr>
            <sz val="9"/>
            <color indexed="81"/>
            <rFont val="Tahoma"/>
            <family val="2"/>
          </rPr>
          <t xml:space="preserve">
проверити збир!
</t>
        </r>
      </text>
    </comment>
    <comment ref="I930" authorId="0">
      <text>
        <r>
          <rPr>
            <b/>
            <sz val="9"/>
            <color indexed="81"/>
            <rFont val="Tahoma"/>
            <family val="2"/>
          </rPr>
          <t>LPA:</t>
        </r>
        <r>
          <rPr>
            <sz val="9"/>
            <color indexed="81"/>
            <rFont val="Tahoma"/>
            <family val="2"/>
          </rPr>
          <t xml:space="preserve">
проверити збир!
</t>
        </r>
      </text>
    </comment>
    <comment ref="I931" authorId="0">
      <text>
        <r>
          <rPr>
            <b/>
            <sz val="9"/>
            <color indexed="81"/>
            <rFont val="Tahoma"/>
            <family val="2"/>
          </rPr>
          <t>LPA:</t>
        </r>
        <r>
          <rPr>
            <sz val="9"/>
            <color indexed="81"/>
            <rFont val="Tahoma"/>
            <family val="2"/>
          </rPr>
          <t xml:space="preserve">
проверити збир!
</t>
        </r>
      </text>
    </comment>
    <comment ref="I932" authorId="0">
      <text>
        <r>
          <rPr>
            <b/>
            <sz val="9"/>
            <color indexed="81"/>
            <rFont val="Tahoma"/>
            <family val="2"/>
          </rPr>
          <t>LPA:</t>
        </r>
        <r>
          <rPr>
            <sz val="9"/>
            <color indexed="81"/>
            <rFont val="Tahoma"/>
            <family val="2"/>
          </rPr>
          <t xml:space="preserve">
проверити збир!
</t>
        </r>
      </text>
    </comment>
    <comment ref="I933" authorId="0">
      <text>
        <r>
          <rPr>
            <b/>
            <sz val="9"/>
            <color indexed="81"/>
            <rFont val="Tahoma"/>
            <family val="2"/>
          </rPr>
          <t>LPA:</t>
        </r>
        <r>
          <rPr>
            <sz val="9"/>
            <color indexed="81"/>
            <rFont val="Tahoma"/>
            <family val="2"/>
          </rPr>
          <t xml:space="preserve">
проверити збир!
</t>
        </r>
      </text>
    </comment>
    <comment ref="I934" authorId="0">
      <text>
        <r>
          <rPr>
            <b/>
            <sz val="9"/>
            <color indexed="81"/>
            <rFont val="Tahoma"/>
            <family val="2"/>
          </rPr>
          <t>LPA:</t>
        </r>
        <r>
          <rPr>
            <sz val="9"/>
            <color indexed="81"/>
            <rFont val="Tahoma"/>
            <family val="2"/>
          </rPr>
          <t xml:space="preserve">
проверити збир!
</t>
        </r>
      </text>
    </comment>
    <comment ref="I935" authorId="0">
      <text>
        <r>
          <rPr>
            <b/>
            <sz val="9"/>
            <color indexed="81"/>
            <rFont val="Tahoma"/>
            <family val="2"/>
          </rPr>
          <t>LPA:</t>
        </r>
        <r>
          <rPr>
            <sz val="9"/>
            <color indexed="81"/>
            <rFont val="Tahoma"/>
            <family val="2"/>
          </rPr>
          <t xml:space="preserve">
проверити збир!
</t>
        </r>
      </text>
    </comment>
    <comment ref="I936" authorId="0">
      <text>
        <r>
          <rPr>
            <b/>
            <sz val="9"/>
            <color indexed="81"/>
            <rFont val="Tahoma"/>
            <family val="2"/>
          </rPr>
          <t>LPA:</t>
        </r>
        <r>
          <rPr>
            <sz val="9"/>
            <color indexed="81"/>
            <rFont val="Tahoma"/>
            <family val="2"/>
          </rPr>
          <t xml:space="preserve">
проверити збир!
</t>
        </r>
      </text>
    </comment>
    <comment ref="H939" authorId="0">
      <text>
        <r>
          <rPr>
            <b/>
            <sz val="9"/>
            <color indexed="81"/>
            <rFont val="Tahoma"/>
            <family val="2"/>
          </rPr>
          <t>LPA:</t>
        </r>
        <r>
          <rPr>
            <sz val="9"/>
            <color indexed="81"/>
            <rFont val="Tahoma"/>
            <family val="2"/>
          </rPr>
          <t xml:space="preserve">
проверити збир!</t>
        </r>
      </text>
    </comment>
    <comment ref="I939" authorId="0">
      <text>
        <r>
          <rPr>
            <b/>
            <sz val="9"/>
            <color indexed="81"/>
            <rFont val="Tahoma"/>
            <family val="2"/>
          </rPr>
          <t>LPA:</t>
        </r>
        <r>
          <rPr>
            <sz val="9"/>
            <color indexed="81"/>
            <rFont val="Tahoma"/>
            <family val="2"/>
          </rPr>
          <t xml:space="preserve">
проверити збир!</t>
        </r>
      </text>
    </comment>
    <comment ref="I940" authorId="0">
      <text>
        <r>
          <rPr>
            <b/>
            <sz val="9"/>
            <color indexed="81"/>
            <rFont val="Tahoma"/>
            <family val="2"/>
          </rPr>
          <t>LPA:</t>
        </r>
        <r>
          <rPr>
            <sz val="9"/>
            <color indexed="81"/>
            <rFont val="Tahoma"/>
            <family val="2"/>
          </rPr>
          <t xml:space="preserve">
проверити збир!
</t>
        </r>
      </text>
    </comment>
    <comment ref="I941" authorId="0">
      <text>
        <r>
          <rPr>
            <b/>
            <sz val="9"/>
            <color indexed="81"/>
            <rFont val="Tahoma"/>
            <family val="2"/>
          </rPr>
          <t>LPA:</t>
        </r>
        <r>
          <rPr>
            <sz val="9"/>
            <color indexed="81"/>
            <rFont val="Tahoma"/>
            <family val="2"/>
          </rPr>
          <t xml:space="preserve">
проверити збир!
</t>
        </r>
      </text>
    </comment>
    <comment ref="I942" authorId="0">
      <text>
        <r>
          <rPr>
            <b/>
            <sz val="9"/>
            <color indexed="81"/>
            <rFont val="Tahoma"/>
            <family val="2"/>
          </rPr>
          <t>LPA:</t>
        </r>
        <r>
          <rPr>
            <sz val="9"/>
            <color indexed="81"/>
            <rFont val="Tahoma"/>
            <family val="2"/>
          </rPr>
          <t xml:space="preserve">
проверити збир!
</t>
        </r>
      </text>
    </comment>
    <comment ref="I943" authorId="0">
      <text>
        <r>
          <rPr>
            <b/>
            <sz val="9"/>
            <color indexed="81"/>
            <rFont val="Tahoma"/>
            <family val="2"/>
          </rPr>
          <t>LPA:</t>
        </r>
        <r>
          <rPr>
            <sz val="9"/>
            <color indexed="81"/>
            <rFont val="Tahoma"/>
            <family val="2"/>
          </rPr>
          <t xml:space="preserve">
проверити збир!
</t>
        </r>
      </text>
    </comment>
    <comment ref="I944" authorId="0">
      <text>
        <r>
          <rPr>
            <b/>
            <sz val="9"/>
            <color indexed="81"/>
            <rFont val="Tahoma"/>
            <family val="2"/>
          </rPr>
          <t>LPA:</t>
        </r>
        <r>
          <rPr>
            <sz val="9"/>
            <color indexed="81"/>
            <rFont val="Tahoma"/>
            <family val="2"/>
          </rPr>
          <t xml:space="preserve">
проверити збир!
</t>
        </r>
      </text>
    </comment>
    <comment ref="I945" authorId="0">
      <text>
        <r>
          <rPr>
            <b/>
            <sz val="9"/>
            <color indexed="81"/>
            <rFont val="Tahoma"/>
            <family val="2"/>
          </rPr>
          <t>LPA:</t>
        </r>
        <r>
          <rPr>
            <sz val="9"/>
            <color indexed="81"/>
            <rFont val="Tahoma"/>
            <family val="2"/>
          </rPr>
          <t xml:space="preserve">
проверити збир!
</t>
        </r>
      </text>
    </comment>
    <comment ref="I946" authorId="0">
      <text>
        <r>
          <rPr>
            <b/>
            <sz val="9"/>
            <color indexed="81"/>
            <rFont val="Tahoma"/>
            <family val="2"/>
          </rPr>
          <t>LPA:</t>
        </r>
        <r>
          <rPr>
            <sz val="9"/>
            <color indexed="81"/>
            <rFont val="Tahoma"/>
            <family val="2"/>
          </rPr>
          <t xml:space="preserve">
проверити збир!
</t>
        </r>
      </text>
    </comment>
    <comment ref="I947" authorId="0">
      <text>
        <r>
          <rPr>
            <b/>
            <sz val="9"/>
            <color indexed="81"/>
            <rFont val="Tahoma"/>
            <family val="2"/>
          </rPr>
          <t>LPA:</t>
        </r>
        <r>
          <rPr>
            <sz val="9"/>
            <color indexed="81"/>
            <rFont val="Tahoma"/>
            <family val="2"/>
          </rPr>
          <t xml:space="preserve">
проверити збир!
</t>
        </r>
      </text>
    </comment>
    <comment ref="I948" authorId="0">
      <text>
        <r>
          <rPr>
            <b/>
            <sz val="9"/>
            <color indexed="81"/>
            <rFont val="Tahoma"/>
            <family val="2"/>
          </rPr>
          <t>LPA:</t>
        </r>
        <r>
          <rPr>
            <sz val="9"/>
            <color indexed="81"/>
            <rFont val="Tahoma"/>
            <family val="2"/>
          </rPr>
          <t xml:space="preserve">
проверити збир!
</t>
        </r>
      </text>
    </comment>
    <comment ref="I949" authorId="0">
      <text>
        <r>
          <rPr>
            <b/>
            <sz val="9"/>
            <color indexed="81"/>
            <rFont val="Tahoma"/>
            <family val="2"/>
          </rPr>
          <t>LPA:</t>
        </r>
        <r>
          <rPr>
            <sz val="9"/>
            <color indexed="81"/>
            <rFont val="Tahoma"/>
            <family val="2"/>
          </rPr>
          <t xml:space="preserve">
проверити збир!
</t>
        </r>
      </text>
    </comment>
    <comment ref="I950" authorId="0">
      <text>
        <r>
          <rPr>
            <b/>
            <sz val="9"/>
            <color indexed="81"/>
            <rFont val="Tahoma"/>
            <family val="2"/>
          </rPr>
          <t>LPA:</t>
        </r>
        <r>
          <rPr>
            <sz val="9"/>
            <color indexed="81"/>
            <rFont val="Tahoma"/>
            <family val="2"/>
          </rPr>
          <t xml:space="preserve">
проверити збир!
</t>
        </r>
      </text>
    </comment>
    <comment ref="I951" authorId="0">
      <text>
        <r>
          <rPr>
            <b/>
            <sz val="9"/>
            <color indexed="81"/>
            <rFont val="Tahoma"/>
            <family val="2"/>
          </rPr>
          <t>LPA:</t>
        </r>
        <r>
          <rPr>
            <sz val="9"/>
            <color indexed="81"/>
            <rFont val="Tahoma"/>
            <family val="2"/>
          </rPr>
          <t xml:space="preserve">
проверити збир!
</t>
        </r>
      </text>
    </comment>
    <comment ref="I952" authorId="0">
      <text>
        <r>
          <rPr>
            <b/>
            <sz val="9"/>
            <color indexed="81"/>
            <rFont val="Tahoma"/>
            <family val="2"/>
          </rPr>
          <t>LPA:</t>
        </r>
        <r>
          <rPr>
            <sz val="9"/>
            <color indexed="81"/>
            <rFont val="Tahoma"/>
            <family val="2"/>
          </rPr>
          <t xml:space="preserve">
проверити збир!
</t>
        </r>
      </text>
    </comment>
    <comment ref="I953" authorId="0">
      <text>
        <r>
          <rPr>
            <b/>
            <sz val="9"/>
            <color indexed="81"/>
            <rFont val="Tahoma"/>
            <family val="2"/>
          </rPr>
          <t>LPA:</t>
        </r>
        <r>
          <rPr>
            <sz val="9"/>
            <color indexed="81"/>
            <rFont val="Tahoma"/>
            <family val="2"/>
          </rPr>
          <t xml:space="preserve">
проверити збир!
</t>
        </r>
      </text>
    </comment>
    <comment ref="I954" authorId="0">
      <text>
        <r>
          <rPr>
            <b/>
            <sz val="9"/>
            <color indexed="81"/>
            <rFont val="Tahoma"/>
            <family val="2"/>
          </rPr>
          <t>LPA:</t>
        </r>
        <r>
          <rPr>
            <sz val="9"/>
            <color indexed="81"/>
            <rFont val="Tahoma"/>
            <family val="2"/>
          </rPr>
          <t xml:space="preserve">
проверити збир!
</t>
        </r>
      </text>
    </comment>
    <comment ref="H1001" authorId="0">
      <text>
        <r>
          <rPr>
            <b/>
            <sz val="9"/>
            <color indexed="81"/>
            <rFont val="Tahoma"/>
            <family val="2"/>
          </rPr>
          <t>LPA:</t>
        </r>
        <r>
          <rPr>
            <sz val="9"/>
            <color indexed="81"/>
            <rFont val="Tahoma"/>
            <family val="2"/>
          </rPr>
          <t xml:space="preserve">
проверити збир!</t>
        </r>
      </text>
    </comment>
    <comment ref="I1001" authorId="0">
      <text>
        <r>
          <rPr>
            <b/>
            <sz val="9"/>
            <color indexed="81"/>
            <rFont val="Tahoma"/>
            <family val="2"/>
          </rPr>
          <t>LPA:</t>
        </r>
        <r>
          <rPr>
            <sz val="9"/>
            <color indexed="81"/>
            <rFont val="Tahoma"/>
            <family val="2"/>
          </rPr>
          <t xml:space="preserve">
проверити збир!
</t>
        </r>
      </text>
    </comment>
    <comment ref="I1002" authorId="0">
      <text>
        <r>
          <rPr>
            <b/>
            <sz val="9"/>
            <color indexed="81"/>
            <rFont val="Tahoma"/>
            <family val="2"/>
          </rPr>
          <t>LPA:</t>
        </r>
        <r>
          <rPr>
            <sz val="9"/>
            <color indexed="81"/>
            <rFont val="Tahoma"/>
            <family val="2"/>
          </rPr>
          <t xml:space="preserve">
проверити збир!
</t>
        </r>
      </text>
    </comment>
    <comment ref="I1003" authorId="0">
      <text>
        <r>
          <rPr>
            <b/>
            <sz val="9"/>
            <color indexed="81"/>
            <rFont val="Tahoma"/>
            <family val="2"/>
          </rPr>
          <t>LPA:</t>
        </r>
        <r>
          <rPr>
            <sz val="9"/>
            <color indexed="81"/>
            <rFont val="Tahoma"/>
            <family val="2"/>
          </rPr>
          <t xml:space="preserve">
проверити збир!
</t>
        </r>
      </text>
    </comment>
    <comment ref="I1004" authorId="0">
      <text>
        <r>
          <rPr>
            <b/>
            <sz val="9"/>
            <color indexed="81"/>
            <rFont val="Tahoma"/>
            <family val="2"/>
          </rPr>
          <t>LPA:</t>
        </r>
        <r>
          <rPr>
            <sz val="9"/>
            <color indexed="81"/>
            <rFont val="Tahoma"/>
            <family val="2"/>
          </rPr>
          <t xml:space="preserve">
проверити збир!
</t>
        </r>
      </text>
    </comment>
    <comment ref="I1005" authorId="0">
      <text>
        <r>
          <rPr>
            <b/>
            <sz val="9"/>
            <color indexed="81"/>
            <rFont val="Tahoma"/>
            <family val="2"/>
          </rPr>
          <t>LPA:</t>
        </r>
        <r>
          <rPr>
            <sz val="9"/>
            <color indexed="81"/>
            <rFont val="Tahoma"/>
            <family val="2"/>
          </rPr>
          <t xml:space="preserve">
проверити збир!
</t>
        </r>
      </text>
    </comment>
    <comment ref="I1006" authorId="0">
      <text>
        <r>
          <rPr>
            <b/>
            <sz val="9"/>
            <color indexed="81"/>
            <rFont val="Tahoma"/>
            <family val="2"/>
          </rPr>
          <t>LPA:</t>
        </r>
        <r>
          <rPr>
            <sz val="9"/>
            <color indexed="81"/>
            <rFont val="Tahoma"/>
            <family val="2"/>
          </rPr>
          <t xml:space="preserve">
проверити збир!
</t>
        </r>
      </text>
    </comment>
    <comment ref="I1007" authorId="0">
      <text>
        <r>
          <rPr>
            <b/>
            <sz val="9"/>
            <color indexed="81"/>
            <rFont val="Tahoma"/>
            <family val="2"/>
          </rPr>
          <t>LPA:</t>
        </r>
        <r>
          <rPr>
            <sz val="9"/>
            <color indexed="81"/>
            <rFont val="Tahoma"/>
            <family val="2"/>
          </rPr>
          <t xml:space="preserve">
проверити збир!
</t>
        </r>
      </text>
    </comment>
    <comment ref="I1008" authorId="0">
      <text>
        <r>
          <rPr>
            <b/>
            <sz val="9"/>
            <color indexed="81"/>
            <rFont val="Tahoma"/>
            <family val="2"/>
          </rPr>
          <t>LPA:</t>
        </r>
        <r>
          <rPr>
            <sz val="9"/>
            <color indexed="81"/>
            <rFont val="Tahoma"/>
            <family val="2"/>
          </rPr>
          <t xml:space="preserve">
проверити збир!
</t>
        </r>
      </text>
    </comment>
    <comment ref="I1009" authorId="0">
      <text>
        <r>
          <rPr>
            <b/>
            <sz val="9"/>
            <color indexed="81"/>
            <rFont val="Tahoma"/>
            <family val="2"/>
          </rPr>
          <t>LPA:</t>
        </r>
        <r>
          <rPr>
            <sz val="9"/>
            <color indexed="81"/>
            <rFont val="Tahoma"/>
            <family val="2"/>
          </rPr>
          <t xml:space="preserve">
проверити збир!
</t>
        </r>
      </text>
    </comment>
    <comment ref="I1010" authorId="0">
      <text>
        <r>
          <rPr>
            <b/>
            <sz val="9"/>
            <color indexed="81"/>
            <rFont val="Tahoma"/>
            <family val="2"/>
          </rPr>
          <t>LPA:</t>
        </r>
        <r>
          <rPr>
            <sz val="9"/>
            <color indexed="81"/>
            <rFont val="Tahoma"/>
            <family val="2"/>
          </rPr>
          <t xml:space="preserve">
проверити збир!
</t>
        </r>
      </text>
    </comment>
    <comment ref="I1011" authorId="0">
      <text>
        <r>
          <rPr>
            <b/>
            <sz val="9"/>
            <color indexed="81"/>
            <rFont val="Tahoma"/>
            <family val="2"/>
          </rPr>
          <t>LPA:</t>
        </r>
        <r>
          <rPr>
            <sz val="9"/>
            <color indexed="81"/>
            <rFont val="Tahoma"/>
            <family val="2"/>
          </rPr>
          <t xml:space="preserve">
проверити збир!
</t>
        </r>
      </text>
    </comment>
    <comment ref="I1012" authorId="0">
      <text>
        <r>
          <rPr>
            <b/>
            <sz val="9"/>
            <color indexed="81"/>
            <rFont val="Tahoma"/>
            <family val="2"/>
          </rPr>
          <t>LPA:</t>
        </r>
        <r>
          <rPr>
            <sz val="9"/>
            <color indexed="81"/>
            <rFont val="Tahoma"/>
            <family val="2"/>
          </rPr>
          <t xml:space="preserve">
проверити збир!
</t>
        </r>
      </text>
    </comment>
    <comment ref="I1013" authorId="0">
      <text>
        <r>
          <rPr>
            <b/>
            <sz val="9"/>
            <color indexed="81"/>
            <rFont val="Tahoma"/>
            <family val="2"/>
          </rPr>
          <t>LPA:</t>
        </r>
        <r>
          <rPr>
            <sz val="9"/>
            <color indexed="81"/>
            <rFont val="Tahoma"/>
            <family val="2"/>
          </rPr>
          <t xml:space="preserve">
проверити збир!
</t>
        </r>
      </text>
    </comment>
    <comment ref="I1014" authorId="0">
      <text>
        <r>
          <rPr>
            <b/>
            <sz val="9"/>
            <color indexed="81"/>
            <rFont val="Tahoma"/>
            <family val="2"/>
          </rPr>
          <t>LPA:</t>
        </r>
        <r>
          <rPr>
            <sz val="9"/>
            <color indexed="81"/>
            <rFont val="Tahoma"/>
            <family val="2"/>
          </rPr>
          <t xml:space="preserve">
проверити збир!
</t>
        </r>
      </text>
    </comment>
    <comment ref="I1015" authorId="0">
      <text>
        <r>
          <rPr>
            <b/>
            <sz val="9"/>
            <color indexed="81"/>
            <rFont val="Tahoma"/>
            <family val="2"/>
          </rPr>
          <t>LPA:</t>
        </r>
        <r>
          <rPr>
            <sz val="9"/>
            <color indexed="81"/>
            <rFont val="Tahoma"/>
            <family val="2"/>
          </rPr>
          <t xml:space="preserve">
проверити збир!
</t>
        </r>
      </text>
    </comment>
    <comment ref="I1016" authorId="0">
      <text>
        <r>
          <rPr>
            <b/>
            <sz val="9"/>
            <color indexed="81"/>
            <rFont val="Tahoma"/>
            <family val="2"/>
          </rPr>
          <t>LPA:</t>
        </r>
        <r>
          <rPr>
            <sz val="9"/>
            <color indexed="81"/>
            <rFont val="Tahoma"/>
            <family val="2"/>
          </rPr>
          <t xml:space="preserve">
проверити збир!
</t>
        </r>
      </text>
    </comment>
    <comment ref="I1087" authorId="0">
      <text>
        <r>
          <rPr>
            <b/>
            <sz val="9"/>
            <color indexed="81"/>
            <rFont val="Tahoma"/>
            <family val="2"/>
          </rPr>
          <t>LPA:</t>
        </r>
        <r>
          <rPr>
            <sz val="9"/>
            <color indexed="81"/>
            <rFont val="Tahoma"/>
            <family val="2"/>
          </rPr>
          <t xml:space="preserve">
проверити збир!
</t>
        </r>
      </text>
    </comment>
    <comment ref="I1088" authorId="0">
      <text>
        <r>
          <rPr>
            <b/>
            <sz val="9"/>
            <color indexed="81"/>
            <rFont val="Tahoma"/>
            <family val="2"/>
          </rPr>
          <t>LPA:</t>
        </r>
        <r>
          <rPr>
            <sz val="9"/>
            <color indexed="81"/>
            <rFont val="Tahoma"/>
            <family val="2"/>
          </rPr>
          <t xml:space="preserve">
проверити збир!
</t>
        </r>
      </text>
    </comment>
    <comment ref="I1089" authorId="0">
      <text>
        <r>
          <rPr>
            <b/>
            <sz val="9"/>
            <color indexed="81"/>
            <rFont val="Tahoma"/>
            <family val="2"/>
          </rPr>
          <t>LPA:</t>
        </r>
        <r>
          <rPr>
            <sz val="9"/>
            <color indexed="81"/>
            <rFont val="Tahoma"/>
            <family val="2"/>
          </rPr>
          <t xml:space="preserve">
проверити збир!
</t>
        </r>
      </text>
    </comment>
    <comment ref="I1090" authorId="0">
      <text>
        <r>
          <rPr>
            <b/>
            <sz val="9"/>
            <color indexed="81"/>
            <rFont val="Tahoma"/>
            <family val="2"/>
          </rPr>
          <t>LPA:</t>
        </r>
        <r>
          <rPr>
            <sz val="9"/>
            <color indexed="81"/>
            <rFont val="Tahoma"/>
            <family val="2"/>
          </rPr>
          <t xml:space="preserve">
проверити збир!
</t>
        </r>
      </text>
    </comment>
    <comment ref="I1091" authorId="0">
      <text>
        <r>
          <rPr>
            <b/>
            <sz val="9"/>
            <color indexed="81"/>
            <rFont val="Tahoma"/>
            <family val="2"/>
          </rPr>
          <t>LPA:</t>
        </r>
        <r>
          <rPr>
            <sz val="9"/>
            <color indexed="81"/>
            <rFont val="Tahoma"/>
            <family val="2"/>
          </rPr>
          <t xml:space="preserve">
проверити збир!
</t>
        </r>
      </text>
    </comment>
    <comment ref="I1092" authorId="0">
      <text>
        <r>
          <rPr>
            <b/>
            <sz val="9"/>
            <color indexed="81"/>
            <rFont val="Tahoma"/>
            <family val="2"/>
          </rPr>
          <t>LPA:</t>
        </r>
        <r>
          <rPr>
            <sz val="9"/>
            <color indexed="81"/>
            <rFont val="Tahoma"/>
            <family val="2"/>
          </rPr>
          <t xml:space="preserve">
проверити збир!
</t>
        </r>
      </text>
    </comment>
    <comment ref="I1093" authorId="0">
      <text>
        <r>
          <rPr>
            <b/>
            <sz val="9"/>
            <color indexed="81"/>
            <rFont val="Tahoma"/>
            <family val="2"/>
          </rPr>
          <t>LPA:</t>
        </r>
        <r>
          <rPr>
            <sz val="9"/>
            <color indexed="81"/>
            <rFont val="Tahoma"/>
            <family val="2"/>
          </rPr>
          <t xml:space="preserve">
проверити збир!
</t>
        </r>
      </text>
    </comment>
    <comment ref="I1094" authorId="0">
      <text>
        <r>
          <rPr>
            <b/>
            <sz val="9"/>
            <color indexed="81"/>
            <rFont val="Tahoma"/>
            <family val="2"/>
          </rPr>
          <t>LPA:</t>
        </r>
        <r>
          <rPr>
            <sz val="9"/>
            <color indexed="81"/>
            <rFont val="Tahoma"/>
            <family val="2"/>
          </rPr>
          <t xml:space="preserve">
проверити збир!
</t>
        </r>
      </text>
    </comment>
    <comment ref="I1095" authorId="0">
      <text>
        <r>
          <rPr>
            <b/>
            <sz val="9"/>
            <color indexed="81"/>
            <rFont val="Tahoma"/>
            <family val="2"/>
          </rPr>
          <t>LPA:</t>
        </r>
        <r>
          <rPr>
            <sz val="9"/>
            <color indexed="81"/>
            <rFont val="Tahoma"/>
            <family val="2"/>
          </rPr>
          <t xml:space="preserve">
проверити збир!
</t>
        </r>
      </text>
    </comment>
    <comment ref="I1096" authorId="0">
      <text>
        <r>
          <rPr>
            <b/>
            <sz val="9"/>
            <color indexed="81"/>
            <rFont val="Tahoma"/>
            <family val="2"/>
          </rPr>
          <t>LPA:</t>
        </r>
        <r>
          <rPr>
            <sz val="9"/>
            <color indexed="81"/>
            <rFont val="Tahoma"/>
            <family val="2"/>
          </rPr>
          <t xml:space="preserve">
проверити збир!
</t>
        </r>
      </text>
    </comment>
    <comment ref="I1097" authorId="0">
      <text>
        <r>
          <rPr>
            <b/>
            <sz val="9"/>
            <color indexed="81"/>
            <rFont val="Tahoma"/>
            <family val="2"/>
          </rPr>
          <t>LPA:</t>
        </r>
        <r>
          <rPr>
            <sz val="9"/>
            <color indexed="81"/>
            <rFont val="Tahoma"/>
            <family val="2"/>
          </rPr>
          <t xml:space="preserve">
проверити збир!
</t>
        </r>
      </text>
    </comment>
    <comment ref="I1098" authorId="0">
      <text>
        <r>
          <rPr>
            <b/>
            <sz val="9"/>
            <color indexed="81"/>
            <rFont val="Tahoma"/>
            <family val="2"/>
          </rPr>
          <t>LPA:</t>
        </r>
        <r>
          <rPr>
            <sz val="9"/>
            <color indexed="81"/>
            <rFont val="Tahoma"/>
            <family val="2"/>
          </rPr>
          <t xml:space="preserve">
проверити збир!
</t>
        </r>
      </text>
    </comment>
    <comment ref="I1099" authorId="0">
      <text>
        <r>
          <rPr>
            <b/>
            <sz val="9"/>
            <color indexed="81"/>
            <rFont val="Tahoma"/>
            <family val="2"/>
          </rPr>
          <t>LPA:</t>
        </r>
        <r>
          <rPr>
            <sz val="9"/>
            <color indexed="81"/>
            <rFont val="Tahoma"/>
            <family val="2"/>
          </rPr>
          <t xml:space="preserve">
проверити збир!
</t>
        </r>
      </text>
    </comment>
    <comment ref="H1102" authorId="0">
      <text>
        <r>
          <rPr>
            <b/>
            <sz val="9"/>
            <color indexed="81"/>
            <rFont val="Tahoma"/>
            <family val="2"/>
          </rPr>
          <t>LPA:</t>
        </r>
        <r>
          <rPr>
            <sz val="9"/>
            <color indexed="81"/>
            <rFont val="Tahoma"/>
            <family val="2"/>
          </rPr>
          <t xml:space="preserve">
проверити збир!</t>
        </r>
      </text>
    </comment>
    <comment ref="I1102" authorId="0">
      <text>
        <r>
          <rPr>
            <b/>
            <sz val="9"/>
            <color indexed="81"/>
            <rFont val="Tahoma"/>
            <family val="2"/>
          </rPr>
          <t>LPA:</t>
        </r>
        <r>
          <rPr>
            <sz val="9"/>
            <color indexed="81"/>
            <rFont val="Tahoma"/>
            <family val="2"/>
          </rPr>
          <t xml:space="preserve">
проверити збир!</t>
        </r>
      </text>
    </comment>
    <comment ref="I1103" authorId="0">
      <text>
        <r>
          <rPr>
            <b/>
            <sz val="9"/>
            <color indexed="81"/>
            <rFont val="Tahoma"/>
            <family val="2"/>
          </rPr>
          <t>LPA:</t>
        </r>
        <r>
          <rPr>
            <sz val="9"/>
            <color indexed="81"/>
            <rFont val="Tahoma"/>
            <family val="2"/>
          </rPr>
          <t xml:space="preserve">
проверити збир!
</t>
        </r>
      </text>
    </comment>
    <comment ref="I1104" authorId="0">
      <text>
        <r>
          <rPr>
            <b/>
            <sz val="9"/>
            <color indexed="81"/>
            <rFont val="Tahoma"/>
            <family val="2"/>
          </rPr>
          <t>LPA:</t>
        </r>
        <r>
          <rPr>
            <sz val="9"/>
            <color indexed="81"/>
            <rFont val="Tahoma"/>
            <family val="2"/>
          </rPr>
          <t xml:space="preserve">
проверити збир!
</t>
        </r>
      </text>
    </comment>
    <comment ref="I1105" authorId="0">
      <text>
        <r>
          <rPr>
            <b/>
            <sz val="9"/>
            <color indexed="81"/>
            <rFont val="Tahoma"/>
            <family val="2"/>
          </rPr>
          <t>LPA:</t>
        </r>
        <r>
          <rPr>
            <sz val="9"/>
            <color indexed="81"/>
            <rFont val="Tahoma"/>
            <family val="2"/>
          </rPr>
          <t xml:space="preserve">
проверити збир!
</t>
        </r>
      </text>
    </comment>
    <comment ref="I1106" authorId="0">
      <text>
        <r>
          <rPr>
            <b/>
            <sz val="9"/>
            <color indexed="81"/>
            <rFont val="Tahoma"/>
            <family val="2"/>
          </rPr>
          <t>LPA:</t>
        </r>
        <r>
          <rPr>
            <sz val="9"/>
            <color indexed="81"/>
            <rFont val="Tahoma"/>
            <family val="2"/>
          </rPr>
          <t xml:space="preserve">
проверити збир!
</t>
        </r>
      </text>
    </comment>
    <comment ref="I1107" authorId="0">
      <text>
        <r>
          <rPr>
            <b/>
            <sz val="9"/>
            <color indexed="81"/>
            <rFont val="Tahoma"/>
            <family val="2"/>
          </rPr>
          <t>LPA:</t>
        </r>
        <r>
          <rPr>
            <sz val="9"/>
            <color indexed="81"/>
            <rFont val="Tahoma"/>
            <family val="2"/>
          </rPr>
          <t xml:space="preserve">
проверити збир!
</t>
        </r>
      </text>
    </comment>
    <comment ref="I1108" authorId="0">
      <text>
        <r>
          <rPr>
            <b/>
            <sz val="9"/>
            <color indexed="81"/>
            <rFont val="Tahoma"/>
            <family val="2"/>
          </rPr>
          <t>LPA:</t>
        </r>
        <r>
          <rPr>
            <sz val="9"/>
            <color indexed="81"/>
            <rFont val="Tahoma"/>
            <family val="2"/>
          </rPr>
          <t xml:space="preserve">
проверити збир!
</t>
        </r>
      </text>
    </comment>
    <comment ref="I1109" authorId="0">
      <text>
        <r>
          <rPr>
            <b/>
            <sz val="9"/>
            <color indexed="81"/>
            <rFont val="Tahoma"/>
            <family val="2"/>
          </rPr>
          <t>LPA:</t>
        </r>
        <r>
          <rPr>
            <sz val="9"/>
            <color indexed="81"/>
            <rFont val="Tahoma"/>
            <family val="2"/>
          </rPr>
          <t xml:space="preserve">
проверити збир!
</t>
        </r>
      </text>
    </comment>
    <comment ref="I1110" authorId="0">
      <text>
        <r>
          <rPr>
            <b/>
            <sz val="9"/>
            <color indexed="81"/>
            <rFont val="Tahoma"/>
            <family val="2"/>
          </rPr>
          <t>LPA:</t>
        </r>
        <r>
          <rPr>
            <sz val="9"/>
            <color indexed="81"/>
            <rFont val="Tahoma"/>
            <family val="2"/>
          </rPr>
          <t xml:space="preserve">
проверити збир!
</t>
        </r>
      </text>
    </comment>
    <comment ref="I1111" authorId="0">
      <text>
        <r>
          <rPr>
            <b/>
            <sz val="9"/>
            <color indexed="81"/>
            <rFont val="Tahoma"/>
            <family val="2"/>
          </rPr>
          <t>LPA:</t>
        </r>
        <r>
          <rPr>
            <sz val="9"/>
            <color indexed="81"/>
            <rFont val="Tahoma"/>
            <family val="2"/>
          </rPr>
          <t xml:space="preserve">
проверити збир!
</t>
        </r>
      </text>
    </comment>
    <comment ref="I1112" authorId="0">
      <text>
        <r>
          <rPr>
            <b/>
            <sz val="9"/>
            <color indexed="81"/>
            <rFont val="Tahoma"/>
            <family val="2"/>
          </rPr>
          <t>LPA:</t>
        </r>
        <r>
          <rPr>
            <sz val="9"/>
            <color indexed="81"/>
            <rFont val="Tahoma"/>
            <family val="2"/>
          </rPr>
          <t xml:space="preserve">
проверити збир!
</t>
        </r>
      </text>
    </comment>
    <comment ref="I1113" authorId="0">
      <text>
        <r>
          <rPr>
            <b/>
            <sz val="9"/>
            <color indexed="81"/>
            <rFont val="Tahoma"/>
            <family val="2"/>
          </rPr>
          <t>LPA:</t>
        </r>
        <r>
          <rPr>
            <sz val="9"/>
            <color indexed="81"/>
            <rFont val="Tahoma"/>
            <family val="2"/>
          </rPr>
          <t xml:space="preserve">
проверити збир!
</t>
        </r>
      </text>
    </comment>
    <comment ref="I1114" authorId="0">
      <text>
        <r>
          <rPr>
            <b/>
            <sz val="9"/>
            <color indexed="81"/>
            <rFont val="Tahoma"/>
            <family val="2"/>
          </rPr>
          <t>LPA:</t>
        </r>
        <r>
          <rPr>
            <sz val="9"/>
            <color indexed="81"/>
            <rFont val="Tahoma"/>
            <family val="2"/>
          </rPr>
          <t xml:space="preserve">
проверити збир!
</t>
        </r>
      </text>
    </comment>
    <comment ref="I1115" authorId="0">
      <text>
        <r>
          <rPr>
            <b/>
            <sz val="9"/>
            <color indexed="81"/>
            <rFont val="Tahoma"/>
            <family val="2"/>
          </rPr>
          <t>LPA:</t>
        </r>
        <r>
          <rPr>
            <sz val="9"/>
            <color indexed="81"/>
            <rFont val="Tahoma"/>
            <family val="2"/>
          </rPr>
          <t xml:space="preserve">
проверити збир!
</t>
        </r>
      </text>
    </comment>
    <comment ref="I1116" authorId="0">
      <text>
        <r>
          <rPr>
            <b/>
            <sz val="9"/>
            <color indexed="81"/>
            <rFont val="Tahoma"/>
            <family val="2"/>
          </rPr>
          <t>LPA:</t>
        </r>
        <r>
          <rPr>
            <sz val="9"/>
            <color indexed="81"/>
            <rFont val="Tahoma"/>
            <family val="2"/>
          </rPr>
          <t xml:space="preserve">
проверити збир!
</t>
        </r>
      </text>
    </comment>
    <comment ref="I1117" authorId="0">
      <text>
        <r>
          <rPr>
            <b/>
            <sz val="9"/>
            <color indexed="81"/>
            <rFont val="Tahoma"/>
            <family val="2"/>
          </rPr>
          <t>LPA:</t>
        </r>
        <r>
          <rPr>
            <sz val="9"/>
            <color indexed="81"/>
            <rFont val="Tahoma"/>
            <family val="2"/>
          </rPr>
          <t xml:space="preserve">
проверити збир!
</t>
        </r>
      </text>
    </comment>
    <comment ref="I1186" authorId="0">
      <text>
        <r>
          <rPr>
            <b/>
            <sz val="9"/>
            <color indexed="81"/>
            <rFont val="Tahoma"/>
            <family val="2"/>
          </rPr>
          <t>LPA:</t>
        </r>
        <r>
          <rPr>
            <sz val="9"/>
            <color indexed="81"/>
            <rFont val="Tahoma"/>
            <family val="2"/>
          </rPr>
          <t xml:space="preserve">
проверити збир!
</t>
        </r>
      </text>
    </comment>
    <comment ref="I1187" authorId="0">
      <text>
        <r>
          <rPr>
            <b/>
            <sz val="9"/>
            <color indexed="81"/>
            <rFont val="Tahoma"/>
            <family val="2"/>
          </rPr>
          <t>LPA:</t>
        </r>
        <r>
          <rPr>
            <sz val="9"/>
            <color indexed="81"/>
            <rFont val="Tahoma"/>
            <family val="2"/>
          </rPr>
          <t xml:space="preserve">
проверити збир!
</t>
        </r>
      </text>
    </comment>
    <comment ref="I1188" authorId="0">
      <text>
        <r>
          <rPr>
            <b/>
            <sz val="9"/>
            <color indexed="81"/>
            <rFont val="Tahoma"/>
            <family val="2"/>
          </rPr>
          <t>LPA:</t>
        </r>
        <r>
          <rPr>
            <sz val="9"/>
            <color indexed="81"/>
            <rFont val="Tahoma"/>
            <family val="2"/>
          </rPr>
          <t xml:space="preserve">
проверити збир!
</t>
        </r>
      </text>
    </comment>
    <comment ref="I1189" authorId="0">
      <text>
        <r>
          <rPr>
            <b/>
            <sz val="9"/>
            <color indexed="81"/>
            <rFont val="Tahoma"/>
            <family val="2"/>
          </rPr>
          <t>LPA:</t>
        </r>
        <r>
          <rPr>
            <sz val="9"/>
            <color indexed="81"/>
            <rFont val="Tahoma"/>
            <family val="2"/>
          </rPr>
          <t xml:space="preserve">
проверити збир!
</t>
        </r>
      </text>
    </comment>
    <comment ref="I1190" authorId="0">
      <text>
        <r>
          <rPr>
            <b/>
            <sz val="9"/>
            <color indexed="81"/>
            <rFont val="Tahoma"/>
            <family val="2"/>
          </rPr>
          <t>LPA:</t>
        </r>
        <r>
          <rPr>
            <sz val="9"/>
            <color indexed="81"/>
            <rFont val="Tahoma"/>
            <family val="2"/>
          </rPr>
          <t xml:space="preserve">
проверити збир!
</t>
        </r>
      </text>
    </comment>
    <comment ref="I1191" authorId="0">
      <text>
        <r>
          <rPr>
            <b/>
            <sz val="9"/>
            <color indexed="81"/>
            <rFont val="Tahoma"/>
            <family val="2"/>
          </rPr>
          <t>LPA:</t>
        </r>
        <r>
          <rPr>
            <sz val="9"/>
            <color indexed="81"/>
            <rFont val="Tahoma"/>
            <family val="2"/>
          </rPr>
          <t xml:space="preserve">
проверити збир!
</t>
        </r>
      </text>
    </comment>
    <comment ref="I1192" authorId="0">
      <text>
        <r>
          <rPr>
            <b/>
            <sz val="9"/>
            <color indexed="81"/>
            <rFont val="Tahoma"/>
            <family val="2"/>
          </rPr>
          <t>LPA:</t>
        </r>
        <r>
          <rPr>
            <sz val="9"/>
            <color indexed="81"/>
            <rFont val="Tahoma"/>
            <family val="2"/>
          </rPr>
          <t xml:space="preserve">
проверити збир!
</t>
        </r>
      </text>
    </comment>
    <comment ref="I1193" authorId="0">
      <text>
        <r>
          <rPr>
            <b/>
            <sz val="9"/>
            <color indexed="81"/>
            <rFont val="Tahoma"/>
            <family val="2"/>
          </rPr>
          <t>LPA:</t>
        </r>
        <r>
          <rPr>
            <sz val="9"/>
            <color indexed="81"/>
            <rFont val="Tahoma"/>
            <family val="2"/>
          </rPr>
          <t xml:space="preserve">
проверити збир!
</t>
        </r>
      </text>
    </comment>
    <comment ref="I1194" authorId="0">
      <text>
        <r>
          <rPr>
            <b/>
            <sz val="9"/>
            <color indexed="81"/>
            <rFont val="Tahoma"/>
            <family val="2"/>
          </rPr>
          <t>LPA:</t>
        </r>
        <r>
          <rPr>
            <sz val="9"/>
            <color indexed="81"/>
            <rFont val="Tahoma"/>
            <family val="2"/>
          </rPr>
          <t xml:space="preserve">
проверити збир!
</t>
        </r>
      </text>
    </comment>
    <comment ref="I1195" authorId="0">
      <text>
        <r>
          <rPr>
            <b/>
            <sz val="9"/>
            <color indexed="81"/>
            <rFont val="Tahoma"/>
            <family val="2"/>
          </rPr>
          <t>LPA:</t>
        </r>
        <r>
          <rPr>
            <sz val="9"/>
            <color indexed="81"/>
            <rFont val="Tahoma"/>
            <family val="2"/>
          </rPr>
          <t xml:space="preserve">
проверити збир!
</t>
        </r>
      </text>
    </comment>
    <comment ref="I1196" authorId="0">
      <text>
        <r>
          <rPr>
            <b/>
            <sz val="9"/>
            <color indexed="81"/>
            <rFont val="Tahoma"/>
            <family val="2"/>
          </rPr>
          <t>LPA:</t>
        </r>
        <r>
          <rPr>
            <sz val="9"/>
            <color indexed="81"/>
            <rFont val="Tahoma"/>
            <family val="2"/>
          </rPr>
          <t xml:space="preserve">
проверити збир!
</t>
        </r>
      </text>
    </comment>
    <comment ref="I1197" authorId="0">
      <text>
        <r>
          <rPr>
            <b/>
            <sz val="9"/>
            <color indexed="81"/>
            <rFont val="Tahoma"/>
            <family val="2"/>
          </rPr>
          <t>LPA:</t>
        </r>
        <r>
          <rPr>
            <sz val="9"/>
            <color indexed="81"/>
            <rFont val="Tahoma"/>
            <family val="2"/>
          </rPr>
          <t xml:space="preserve">
проверити збир!
</t>
        </r>
      </text>
    </comment>
    <comment ref="I1198" authorId="0">
      <text>
        <r>
          <rPr>
            <b/>
            <sz val="9"/>
            <color indexed="81"/>
            <rFont val="Tahoma"/>
            <family val="2"/>
          </rPr>
          <t>LPA:</t>
        </r>
        <r>
          <rPr>
            <sz val="9"/>
            <color indexed="81"/>
            <rFont val="Tahoma"/>
            <family val="2"/>
          </rPr>
          <t xml:space="preserve">
проверити збир!
</t>
        </r>
      </text>
    </comment>
    <comment ref="H1201" authorId="0">
      <text>
        <r>
          <rPr>
            <b/>
            <sz val="9"/>
            <color indexed="81"/>
            <rFont val="Tahoma"/>
            <family val="2"/>
          </rPr>
          <t>LPA:</t>
        </r>
        <r>
          <rPr>
            <sz val="9"/>
            <color indexed="81"/>
            <rFont val="Tahoma"/>
            <family val="2"/>
          </rPr>
          <t xml:space="preserve">
проверити збир!</t>
        </r>
      </text>
    </comment>
    <comment ref="I1201" authorId="0">
      <text>
        <r>
          <rPr>
            <b/>
            <sz val="9"/>
            <color indexed="81"/>
            <rFont val="Tahoma"/>
            <family val="2"/>
          </rPr>
          <t>LPA:</t>
        </r>
        <r>
          <rPr>
            <sz val="9"/>
            <color indexed="81"/>
            <rFont val="Tahoma"/>
            <family val="2"/>
          </rPr>
          <t xml:space="preserve">
проверити збир!</t>
        </r>
      </text>
    </comment>
    <comment ref="I1202" authorId="0">
      <text>
        <r>
          <rPr>
            <b/>
            <sz val="9"/>
            <color indexed="81"/>
            <rFont val="Tahoma"/>
            <family val="2"/>
          </rPr>
          <t>LPA:</t>
        </r>
        <r>
          <rPr>
            <sz val="9"/>
            <color indexed="81"/>
            <rFont val="Tahoma"/>
            <family val="2"/>
          </rPr>
          <t xml:space="preserve">
проверити збир!
</t>
        </r>
      </text>
    </comment>
    <comment ref="I1203" authorId="0">
      <text>
        <r>
          <rPr>
            <b/>
            <sz val="9"/>
            <color indexed="81"/>
            <rFont val="Tahoma"/>
            <family val="2"/>
          </rPr>
          <t>LPA:</t>
        </r>
        <r>
          <rPr>
            <sz val="9"/>
            <color indexed="81"/>
            <rFont val="Tahoma"/>
            <family val="2"/>
          </rPr>
          <t xml:space="preserve">
проверити збир!
</t>
        </r>
      </text>
    </comment>
    <comment ref="I1204" authorId="0">
      <text>
        <r>
          <rPr>
            <b/>
            <sz val="9"/>
            <color indexed="81"/>
            <rFont val="Tahoma"/>
            <family val="2"/>
          </rPr>
          <t>LPA:</t>
        </r>
        <r>
          <rPr>
            <sz val="9"/>
            <color indexed="81"/>
            <rFont val="Tahoma"/>
            <family val="2"/>
          </rPr>
          <t xml:space="preserve">
проверити збир!
</t>
        </r>
      </text>
    </comment>
    <comment ref="I1205" authorId="0">
      <text>
        <r>
          <rPr>
            <b/>
            <sz val="9"/>
            <color indexed="81"/>
            <rFont val="Tahoma"/>
            <family val="2"/>
          </rPr>
          <t>LPA:</t>
        </r>
        <r>
          <rPr>
            <sz val="9"/>
            <color indexed="81"/>
            <rFont val="Tahoma"/>
            <family val="2"/>
          </rPr>
          <t xml:space="preserve">
проверити збир!
</t>
        </r>
      </text>
    </comment>
    <comment ref="I1206" authorId="0">
      <text>
        <r>
          <rPr>
            <b/>
            <sz val="9"/>
            <color indexed="81"/>
            <rFont val="Tahoma"/>
            <family val="2"/>
          </rPr>
          <t>LPA:</t>
        </r>
        <r>
          <rPr>
            <sz val="9"/>
            <color indexed="81"/>
            <rFont val="Tahoma"/>
            <family val="2"/>
          </rPr>
          <t xml:space="preserve">
проверити збир!
</t>
        </r>
      </text>
    </comment>
    <comment ref="I1207" authorId="0">
      <text>
        <r>
          <rPr>
            <b/>
            <sz val="9"/>
            <color indexed="81"/>
            <rFont val="Tahoma"/>
            <family val="2"/>
          </rPr>
          <t>LPA:</t>
        </r>
        <r>
          <rPr>
            <sz val="9"/>
            <color indexed="81"/>
            <rFont val="Tahoma"/>
            <family val="2"/>
          </rPr>
          <t xml:space="preserve">
проверити збир!
</t>
        </r>
      </text>
    </comment>
    <comment ref="I1208" authorId="0">
      <text>
        <r>
          <rPr>
            <b/>
            <sz val="9"/>
            <color indexed="81"/>
            <rFont val="Tahoma"/>
            <family val="2"/>
          </rPr>
          <t>LPA:</t>
        </r>
        <r>
          <rPr>
            <sz val="9"/>
            <color indexed="81"/>
            <rFont val="Tahoma"/>
            <family val="2"/>
          </rPr>
          <t xml:space="preserve">
проверити збир!
</t>
        </r>
      </text>
    </comment>
    <comment ref="I1209" authorId="0">
      <text>
        <r>
          <rPr>
            <b/>
            <sz val="9"/>
            <color indexed="81"/>
            <rFont val="Tahoma"/>
            <family val="2"/>
          </rPr>
          <t>LPA:</t>
        </r>
        <r>
          <rPr>
            <sz val="9"/>
            <color indexed="81"/>
            <rFont val="Tahoma"/>
            <family val="2"/>
          </rPr>
          <t xml:space="preserve">
проверити збир!
</t>
        </r>
      </text>
    </comment>
    <comment ref="I1210" authorId="0">
      <text>
        <r>
          <rPr>
            <b/>
            <sz val="9"/>
            <color indexed="81"/>
            <rFont val="Tahoma"/>
            <family val="2"/>
          </rPr>
          <t>LPA:</t>
        </r>
        <r>
          <rPr>
            <sz val="9"/>
            <color indexed="81"/>
            <rFont val="Tahoma"/>
            <family val="2"/>
          </rPr>
          <t xml:space="preserve">
проверити збир!
</t>
        </r>
      </text>
    </comment>
    <comment ref="I1211" authorId="0">
      <text>
        <r>
          <rPr>
            <b/>
            <sz val="9"/>
            <color indexed="81"/>
            <rFont val="Tahoma"/>
            <family val="2"/>
          </rPr>
          <t>LPA:</t>
        </r>
        <r>
          <rPr>
            <sz val="9"/>
            <color indexed="81"/>
            <rFont val="Tahoma"/>
            <family val="2"/>
          </rPr>
          <t xml:space="preserve">
проверити збир!
</t>
        </r>
      </text>
    </comment>
    <comment ref="I1212" authorId="0">
      <text>
        <r>
          <rPr>
            <b/>
            <sz val="9"/>
            <color indexed="81"/>
            <rFont val="Tahoma"/>
            <family val="2"/>
          </rPr>
          <t>LPA:</t>
        </r>
        <r>
          <rPr>
            <sz val="9"/>
            <color indexed="81"/>
            <rFont val="Tahoma"/>
            <family val="2"/>
          </rPr>
          <t xml:space="preserve">
проверити збир!
</t>
        </r>
      </text>
    </comment>
    <comment ref="I1213" authorId="0">
      <text>
        <r>
          <rPr>
            <b/>
            <sz val="9"/>
            <color indexed="81"/>
            <rFont val="Tahoma"/>
            <family val="2"/>
          </rPr>
          <t>LPA:</t>
        </r>
        <r>
          <rPr>
            <sz val="9"/>
            <color indexed="81"/>
            <rFont val="Tahoma"/>
            <family val="2"/>
          </rPr>
          <t xml:space="preserve">
проверити збир!
</t>
        </r>
      </text>
    </comment>
    <comment ref="I1214" authorId="0">
      <text>
        <r>
          <rPr>
            <b/>
            <sz val="9"/>
            <color indexed="81"/>
            <rFont val="Tahoma"/>
            <family val="2"/>
          </rPr>
          <t>LPA:</t>
        </r>
        <r>
          <rPr>
            <sz val="9"/>
            <color indexed="81"/>
            <rFont val="Tahoma"/>
            <family val="2"/>
          </rPr>
          <t xml:space="preserve">
проверити збир!
</t>
        </r>
      </text>
    </comment>
    <comment ref="I1215" authorId="0">
      <text>
        <r>
          <rPr>
            <b/>
            <sz val="9"/>
            <color indexed="81"/>
            <rFont val="Tahoma"/>
            <family val="2"/>
          </rPr>
          <t>LPA:</t>
        </r>
        <r>
          <rPr>
            <sz val="9"/>
            <color indexed="81"/>
            <rFont val="Tahoma"/>
            <family val="2"/>
          </rPr>
          <t xml:space="preserve">
проверити збир!
</t>
        </r>
      </text>
    </comment>
    <comment ref="I1216" authorId="0">
      <text>
        <r>
          <rPr>
            <b/>
            <sz val="9"/>
            <color indexed="81"/>
            <rFont val="Tahoma"/>
            <family val="2"/>
          </rPr>
          <t>LPA:</t>
        </r>
        <r>
          <rPr>
            <sz val="9"/>
            <color indexed="81"/>
            <rFont val="Tahoma"/>
            <family val="2"/>
          </rPr>
          <t xml:space="preserve">
проверити збир!
</t>
        </r>
      </text>
    </comment>
    <comment ref="I1284" authorId="0">
      <text>
        <r>
          <rPr>
            <b/>
            <sz val="9"/>
            <color indexed="81"/>
            <rFont val="Tahoma"/>
            <family val="2"/>
          </rPr>
          <t>LPA:</t>
        </r>
        <r>
          <rPr>
            <sz val="9"/>
            <color indexed="81"/>
            <rFont val="Tahoma"/>
            <family val="2"/>
          </rPr>
          <t xml:space="preserve">
проверити збир!
</t>
        </r>
      </text>
    </comment>
    <comment ref="I1285" authorId="0">
      <text>
        <r>
          <rPr>
            <b/>
            <sz val="9"/>
            <color indexed="81"/>
            <rFont val="Tahoma"/>
            <family val="2"/>
          </rPr>
          <t>LPA:</t>
        </r>
        <r>
          <rPr>
            <sz val="9"/>
            <color indexed="81"/>
            <rFont val="Tahoma"/>
            <family val="2"/>
          </rPr>
          <t xml:space="preserve">
проверити збир!
</t>
        </r>
      </text>
    </comment>
    <comment ref="I1286" authorId="0">
      <text>
        <r>
          <rPr>
            <b/>
            <sz val="9"/>
            <color indexed="81"/>
            <rFont val="Tahoma"/>
            <family val="2"/>
          </rPr>
          <t>LPA:</t>
        </r>
        <r>
          <rPr>
            <sz val="9"/>
            <color indexed="81"/>
            <rFont val="Tahoma"/>
            <family val="2"/>
          </rPr>
          <t xml:space="preserve">
проверити збир!
</t>
        </r>
      </text>
    </comment>
    <comment ref="I1287" authorId="0">
      <text>
        <r>
          <rPr>
            <b/>
            <sz val="9"/>
            <color indexed="81"/>
            <rFont val="Tahoma"/>
            <family val="2"/>
          </rPr>
          <t>LPA:</t>
        </r>
        <r>
          <rPr>
            <sz val="9"/>
            <color indexed="81"/>
            <rFont val="Tahoma"/>
            <family val="2"/>
          </rPr>
          <t xml:space="preserve">
проверити збир!
</t>
        </r>
      </text>
    </comment>
    <comment ref="I1288" authorId="0">
      <text>
        <r>
          <rPr>
            <b/>
            <sz val="9"/>
            <color indexed="81"/>
            <rFont val="Tahoma"/>
            <family val="2"/>
          </rPr>
          <t>LPA:</t>
        </r>
        <r>
          <rPr>
            <sz val="9"/>
            <color indexed="81"/>
            <rFont val="Tahoma"/>
            <family val="2"/>
          </rPr>
          <t xml:space="preserve">
проверити збир!
</t>
        </r>
      </text>
    </comment>
    <comment ref="I1289" authorId="0">
      <text>
        <r>
          <rPr>
            <b/>
            <sz val="9"/>
            <color indexed="81"/>
            <rFont val="Tahoma"/>
            <family val="2"/>
          </rPr>
          <t>LPA:</t>
        </r>
        <r>
          <rPr>
            <sz val="9"/>
            <color indexed="81"/>
            <rFont val="Tahoma"/>
            <family val="2"/>
          </rPr>
          <t xml:space="preserve">
проверити збир!
</t>
        </r>
      </text>
    </comment>
    <comment ref="I1290" authorId="0">
      <text>
        <r>
          <rPr>
            <b/>
            <sz val="9"/>
            <color indexed="81"/>
            <rFont val="Tahoma"/>
            <family val="2"/>
          </rPr>
          <t>LPA:</t>
        </r>
        <r>
          <rPr>
            <sz val="9"/>
            <color indexed="81"/>
            <rFont val="Tahoma"/>
            <family val="2"/>
          </rPr>
          <t xml:space="preserve">
проверити збир!
</t>
        </r>
      </text>
    </comment>
    <comment ref="I1291" authorId="0">
      <text>
        <r>
          <rPr>
            <b/>
            <sz val="9"/>
            <color indexed="81"/>
            <rFont val="Tahoma"/>
            <family val="2"/>
          </rPr>
          <t>LPA:</t>
        </r>
        <r>
          <rPr>
            <sz val="9"/>
            <color indexed="81"/>
            <rFont val="Tahoma"/>
            <family val="2"/>
          </rPr>
          <t xml:space="preserve">
проверити збир!
</t>
        </r>
      </text>
    </comment>
    <comment ref="I1292" authorId="0">
      <text>
        <r>
          <rPr>
            <b/>
            <sz val="9"/>
            <color indexed="81"/>
            <rFont val="Tahoma"/>
            <family val="2"/>
          </rPr>
          <t>LPA:</t>
        </r>
        <r>
          <rPr>
            <sz val="9"/>
            <color indexed="81"/>
            <rFont val="Tahoma"/>
            <family val="2"/>
          </rPr>
          <t xml:space="preserve">
проверити збир!
</t>
        </r>
      </text>
    </comment>
    <comment ref="I1293" authorId="0">
      <text>
        <r>
          <rPr>
            <b/>
            <sz val="9"/>
            <color indexed="81"/>
            <rFont val="Tahoma"/>
            <family val="2"/>
          </rPr>
          <t>LPA:</t>
        </r>
        <r>
          <rPr>
            <sz val="9"/>
            <color indexed="81"/>
            <rFont val="Tahoma"/>
            <family val="2"/>
          </rPr>
          <t xml:space="preserve">
проверити збир!
</t>
        </r>
      </text>
    </comment>
    <comment ref="I1294" authorId="0">
      <text>
        <r>
          <rPr>
            <b/>
            <sz val="9"/>
            <color indexed="81"/>
            <rFont val="Tahoma"/>
            <family val="2"/>
          </rPr>
          <t>LPA:</t>
        </r>
        <r>
          <rPr>
            <sz val="9"/>
            <color indexed="81"/>
            <rFont val="Tahoma"/>
            <family val="2"/>
          </rPr>
          <t xml:space="preserve">
проверити збир!
</t>
        </r>
      </text>
    </comment>
    <comment ref="I1295" authorId="0">
      <text>
        <r>
          <rPr>
            <b/>
            <sz val="9"/>
            <color indexed="81"/>
            <rFont val="Tahoma"/>
            <family val="2"/>
          </rPr>
          <t>LPA:</t>
        </r>
        <r>
          <rPr>
            <sz val="9"/>
            <color indexed="81"/>
            <rFont val="Tahoma"/>
            <family val="2"/>
          </rPr>
          <t xml:space="preserve">
проверити збир!
</t>
        </r>
      </text>
    </comment>
    <comment ref="I1296" authorId="0">
      <text>
        <r>
          <rPr>
            <b/>
            <sz val="9"/>
            <color indexed="81"/>
            <rFont val="Tahoma"/>
            <family val="2"/>
          </rPr>
          <t>LPA:</t>
        </r>
        <r>
          <rPr>
            <sz val="9"/>
            <color indexed="81"/>
            <rFont val="Tahoma"/>
            <family val="2"/>
          </rPr>
          <t xml:space="preserve">
проверити збир!
</t>
        </r>
      </text>
    </comment>
    <comment ref="H1299" authorId="0">
      <text>
        <r>
          <rPr>
            <b/>
            <sz val="9"/>
            <color indexed="81"/>
            <rFont val="Tahoma"/>
            <family val="2"/>
          </rPr>
          <t>LPA:</t>
        </r>
        <r>
          <rPr>
            <sz val="9"/>
            <color indexed="81"/>
            <rFont val="Tahoma"/>
            <family val="2"/>
          </rPr>
          <t xml:space="preserve">
проверити збир!</t>
        </r>
      </text>
    </comment>
    <comment ref="I1299" authorId="0">
      <text>
        <r>
          <rPr>
            <b/>
            <sz val="9"/>
            <color indexed="81"/>
            <rFont val="Tahoma"/>
            <family val="2"/>
          </rPr>
          <t>LPA:</t>
        </r>
        <r>
          <rPr>
            <sz val="9"/>
            <color indexed="81"/>
            <rFont val="Tahoma"/>
            <family val="2"/>
          </rPr>
          <t xml:space="preserve">
проверити збир!</t>
        </r>
      </text>
    </comment>
    <comment ref="I1300" authorId="0">
      <text>
        <r>
          <rPr>
            <b/>
            <sz val="9"/>
            <color indexed="81"/>
            <rFont val="Tahoma"/>
            <family val="2"/>
          </rPr>
          <t>LPA:</t>
        </r>
        <r>
          <rPr>
            <sz val="9"/>
            <color indexed="81"/>
            <rFont val="Tahoma"/>
            <family val="2"/>
          </rPr>
          <t xml:space="preserve">
проверити збир!
</t>
        </r>
      </text>
    </comment>
    <comment ref="I1301" authorId="0">
      <text>
        <r>
          <rPr>
            <b/>
            <sz val="9"/>
            <color indexed="81"/>
            <rFont val="Tahoma"/>
            <family val="2"/>
          </rPr>
          <t>LPA:</t>
        </r>
        <r>
          <rPr>
            <sz val="9"/>
            <color indexed="81"/>
            <rFont val="Tahoma"/>
            <family val="2"/>
          </rPr>
          <t xml:space="preserve">
проверити збир!
</t>
        </r>
      </text>
    </comment>
    <comment ref="I1302" authorId="0">
      <text>
        <r>
          <rPr>
            <b/>
            <sz val="9"/>
            <color indexed="81"/>
            <rFont val="Tahoma"/>
            <family val="2"/>
          </rPr>
          <t>LPA:</t>
        </r>
        <r>
          <rPr>
            <sz val="9"/>
            <color indexed="81"/>
            <rFont val="Tahoma"/>
            <family val="2"/>
          </rPr>
          <t xml:space="preserve">
проверити збир!
</t>
        </r>
      </text>
    </comment>
    <comment ref="I1303" authorId="0">
      <text>
        <r>
          <rPr>
            <b/>
            <sz val="9"/>
            <color indexed="81"/>
            <rFont val="Tahoma"/>
            <family val="2"/>
          </rPr>
          <t>LPA:</t>
        </r>
        <r>
          <rPr>
            <sz val="9"/>
            <color indexed="81"/>
            <rFont val="Tahoma"/>
            <family val="2"/>
          </rPr>
          <t xml:space="preserve">
проверити збир!
</t>
        </r>
      </text>
    </comment>
    <comment ref="I1304" authorId="0">
      <text>
        <r>
          <rPr>
            <b/>
            <sz val="9"/>
            <color indexed="81"/>
            <rFont val="Tahoma"/>
            <family val="2"/>
          </rPr>
          <t>LPA:</t>
        </r>
        <r>
          <rPr>
            <sz val="9"/>
            <color indexed="81"/>
            <rFont val="Tahoma"/>
            <family val="2"/>
          </rPr>
          <t xml:space="preserve">
проверити збир!
</t>
        </r>
      </text>
    </comment>
    <comment ref="I1305" authorId="0">
      <text>
        <r>
          <rPr>
            <b/>
            <sz val="9"/>
            <color indexed="81"/>
            <rFont val="Tahoma"/>
            <family val="2"/>
          </rPr>
          <t>LPA:</t>
        </r>
        <r>
          <rPr>
            <sz val="9"/>
            <color indexed="81"/>
            <rFont val="Tahoma"/>
            <family val="2"/>
          </rPr>
          <t xml:space="preserve">
проверити збир!
</t>
        </r>
      </text>
    </comment>
    <comment ref="I1306" authorId="0">
      <text>
        <r>
          <rPr>
            <b/>
            <sz val="9"/>
            <color indexed="81"/>
            <rFont val="Tahoma"/>
            <family val="2"/>
          </rPr>
          <t>LPA:</t>
        </r>
        <r>
          <rPr>
            <sz val="9"/>
            <color indexed="81"/>
            <rFont val="Tahoma"/>
            <family val="2"/>
          </rPr>
          <t xml:space="preserve">
проверити збир!
</t>
        </r>
      </text>
    </comment>
    <comment ref="I1307" authorId="0">
      <text>
        <r>
          <rPr>
            <b/>
            <sz val="9"/>
            <color indexed="81"/>
            <rFont val="Tahoma"/>
            <family val="2"/>
          </rPr>
          <t>LPA:</t>
        </r>
        <r>
          <rPr>
            <sz val="9"/>
            <color indexed="81"/>
            <rFont val="Tahoma"/>
            <family val="2"/>
          </rPr>
          <t xml:space="preserve">
проверити збир!
</t>
        </r>
      </text>
    </comment>
    <comment ref="I1308" authorId="0">
      <text>
        <r>
          <rPr>
            <b/>
            <sz val="9"/>
            <color indexed="81"/>
            <rFont val="Tahoma"/>
            <family val="2"/>
          </rPr>
          <t>LPA:</t>
        </r>
        <r>
          <rPr>
            <sz val="9"/>
            <color indexed="81"/>
            <rFont val="Tahoma"/>
            <family val="2"/>
          </rPr>
          <t xml:space="preserve">
проверити збир!
</t>
        </r>
      </text>
    </comment>
    <comment ref="I1309" authorId="0">
      <text>
        <r>
          <rPr>
            <b/>
            <sz val="9"/>
            <color indexed="81"/>
            <rFont val="Tahoma"/>
            <family val="2"/>
          </rPr>
          <t>LPA:</t>
        </r>
        <r>
          <rPr>
            <sz val="9"/>
            <color indexed="81"/>
            <rFont val="Tahoma"/>
            <family val="2"/>
          </rPr>
          <t xml:space="preserve">
проверити збир!
</t>
        </r>
      </text>
    </comment>
    <comment ref="I1310" authorId="0">
      <text>
        <r>
          <rPr>
            <b/>
            <sz val="9"/>
            <color indexed="81"/>
            <rFont val="Tahoma"/>
            <family val="2"/>
          </rPr>
          <t>LPA:</t>
        </r>
        <r>
          <rPr>
            <sz val="9"/>
            <color indexed="81"/>
            <rFont val="Tahoma"/>
            <family val="2"/>
          </rPr>
          <t xml:space="preserve">
проверити збир!
</t>
        </r>
      </text>
    </comment>
    <comment ref="I1311" authorId="0">
      <text>
        <r>
          <rPr>
            <b/>
            <sz val="9"/>
            <color indexed="81"/>
            <rFont val="Tahoma"/>
            <family val="2"/>
          </rPr>
          <t>LPA:</t>
        </r>
        <r>
          <rPr>
            <sz val="9"/>
            <color indexed="81"/>
            <rFont val="Tahoma"/>
            <family val="2"/>
          </rPr>
          <t xml:space="preserve">
проверити збир!
</t>
        </r>
      </text>
    </comment>
    <comment ref="I1312" authorId="0">
      <text>
        <r>
          <rPr>
            <b/>
            <sz val="9"/>
            <color indexed="81"/>
            <rFont val="Tahoma"/>
            <family val="2"/>
          </rPr>
          <t>LPA:</t>
        </r>
        <r>
          <rPr>
            <sz val="9"/>
            <color indexed="81"/>
            <rFont val="Tahoma"/>
            <family val="2"/>
          </rPr>
          <t xml:space="preserve">
проверити збир!
</t>
        </r>
      </text>
    </comment>
    <comment ref="I1313" authorId="0">
      <text>
        <r>
          <rPr>
            <b/>
            <sz val="9"/>
            <color indexed="81"/>
            <rFont val="Tahoma"/>
            <family val="2"/>
          </rPr>
          <t>LPA:</t>
        </r>
        <r>
          <rPr>
            <sz val="9"/>
            <color indexed="81"/>
            <rFont val="Tahoma"/>
            <family val="2"/>
          </rPr>
          <t xml:space="preserve">
проверити збир!
</t>
        </r>
      </text>
    </comment>
    <comment ref="I1314" authorId="0">
      <text>
        <r>
          <rPr>
            <b/>
            <sz val="9"/>
            <color indexed="81"/>
            <rFont val="Tahoma"/>
            <family val="2"/>
          </rPr>
          <t>LPA:</t>
        </r>
        <r>
          <rPr>
            <sz val="9"/>
            <color indexed="81"/>
            <rFont val="Tahoma"/>
            <family val="2"/>
          </rPr>
          <t xml:space="preserve">
проверити збир!
</t>
        </r>
      </text>
    </comment>
    <comment ref="I1383" authorId="0">
      <text>
        <r>
          <rPr>
            <b/>
            <sz val="9"/>
            <color indexed="81"/>
            <rFont val="Tahoma"/>
            <family val="2"/>
          </rPr>
          <t>LPA:</t>
        </r>
        <r>
          <rPr>
            <sz val="9"/>
            <color indexed="81"/>
            <rFont val="Tahoma"/>
            <family val="2"/>
          </rPr>
          <t xml:space="preserve">
проверити збир!
</t>
        </r>
      </text>
    </comment>
    <comment ref="I1384" authorId="0">
      <text>
        <r>
          <rPr>
            <b/>
            <sz val="9"/>
            <color indexed="81"/>
            <rFont val="Tahoma"/>
            <family val="2"/>
          </rPr>
          <t>LPA:</t>
        </r>
        <r>
          <rPr>
            <sz val="9"/>
            <color indexed="81"/>
            <rFont val="Tahoma"/>
            <family val="2"/>
          </rPr>
          <t xml:space="preserve">
проверити збир!
</t>
        </r>
      </text>
    </comment>
    <comment ref="I1385" authorId="0">
      <text>
        <r>
          <rPr>
            <b/>
            <sz val="9"/>
            <color indexed="81"/>
            <rFont val="Tahoma"/>
            <family val="2"/>
          </rPr>
          <t>LPA:</t>
        </r>
        <r>
          <rPr>
            <sz val="9"/>
            <color indexed="81"/>
            <rFont val="Tahoma"/>
            <family val="2"/>
          </rPr>
          <t xml:space="preserve">
проверити збир!
</t>
        </r>
      </text>
    </comment>
    <comment ref="I1386" authorId="0">
      <text>
        <r>
          <rPr>
            <b/>
            <sz val="9"/>
            <color indexed="81"/>
            <rFont val="Tahoma"/>
            <family val="2"/>
          </rPr>
          <t>LPA:</t>
        </r>
        <r>
          <rPr>
            <sz val="9"/>
            <color indexed="81"/>
            <rFont val="Tahoma"/>
            <family val="2"/>
          </rPr>
          <t xml:space="preserve">
проверити збир!
</t>
        </r>
      </text>
    </comment>
    <comment ref="I1387" authorId="0">
      <text>
        <r>
          <rPr>
            <b/>
            <sz val="9"/>
            <color indexed="81"/>
            <rFont val="Tahoma"/>
            <family val="2"/>
          </rPr>
          <t>LPA:</t>
        </r>
        <r>
          <rPr>
            <sz val="9"/>
            <color indexed="81"/>
            <rFont val="Tahoma"/>
            <family val="2"/>
          </rPr>
          <t xml:space="preserve">
проверити збир!
</t>
        </r>
      </text>
    </comment>
    <comment ref="I1388" authorId="0">
      <text>
        <r>
          <rPr>
            <b/>
            <sz val="9"/>
            <color indexed="81"/>
            <rFont val="Tahoma"/>
            <family val="2"/>
          </rPr>
          <t>LPA:</t>
        </r>
        <r>
          <rPr>
            <sz val="9"/>
            <color indexed="81"/>
            <rFont val="Tahoma"/>
            <family val="2"/>
          </rPr>
          <t xml:space="preserve">
проверити збир!
</t>
        </r>
      </text>
    </comment>
    <comment ref="I1389" authorId="0">
      <text>
        <r>
          <rPr>
            <b/>
            <sz val="9"/>
            <color indexed="81"/>
            <rFont val="Tahoma"/>
            <family val="2"/>
          </rPr>
          <t>LPA:</t>
        </r>
        <r>
          <rPr>
            <sz val="9"/>
            <color indexed="81"/>
            <rFont val="Tahoma"/>
            <family val="2"/>
          </rPr>
          <t xml:space="preserve">
проверити збир!
</t>
        </r>
      </text>
    </comment>
    <comment ref="I1390" authorId="0">
      <text>
        <r>
          <rPr>
            <b/>
            <sz val="9"/>
            <color indexed="81"/>
            <rFont val="Tahoma"/>
            <family val="2"/>
          </rPr>
          <t>LPA:</t>
        </r>
        <r>
          <rPr>
            <sz val="9"/>
            <color indexed="81"/>
            <rFont val="Tahoma"/>
            <family val="2"/>
          </rPr>
          <t xml:space="preserve">
проверити збир!
</t>
        </r>
      </text>
    </comment>
    <comment ref="I1391" authorId="0">
      <text>
        <r>
          <rPr>
            <b/>
            <sz val="9"/>
            <color indexed="81"/>
            <rFont val="Tahoma"/>
            <family val="2"/>
          </rPr>
          <t>LPA:</t>
        </r>
        <r>
          <rPr>
            <sz val="9"/>
            <color indexed="81"/>
            <rFont val="Tahoma"/>
            <family val="2"/>
          </rPr>
          <t xml:space="preserve">
проверити збир!
</t>
        </r>
      </text>
    </comment>
    <comment ref="I1392" authorId="0">
      <text>
        <r>
          <rPr>
            <b/>
            <sz val="9"/>
            <color indexed="81"/>
            <rFont val="Tahoma"/>
            <family val="2"/>
          </rPr>
          <t>LPA:</t>
        </r>
        <r>
          <rPr>
            <sz val="9"/>
            <color indexed="81"/>
            <rFont val="Tahoma"/>
            <family val="2"/>
          </rPr>
          <t xml:space="preserve">
проверити збир!
</t>
        </r>
      </text>
    </comment>
    <comment ref="I1393" authorId="0">
      <text>
        <r>
          <rPr>
            <b/>
            <sz val="9"/>
            <color indexed="81"/>
            <rFont val="Tahoma"/>
            <family val="2"/>
          </rPr>
          <t>LPA:</t>
        </r>
        <r>
          <rPr>
            <sz val="9"/>
            <color indexed="81"/>
            <rFont val="Tahoma"/>
            <family val="2"/>
          </rPr>
          <t xml:space="preserve">
проверити збир!
</t>
        </r>
      </text>
    </comment>
    <comment ref="I1394" authorId="0">
      <text>
        <r>
          <rPr>
            <b/>
            <sz val="9"/>
            <color indexed="81"/>
            <rFont val="Tahoma"/>
            <family val="2"/>
          </rPr>
          <t>LPA:</t>
        </r>
        <r>
          <rPr>
            <sz val="9"/>
            <color indexed="81"/>
            <rFont val="Tahoma"/>
            <family val="2"/>
          </rPr>
          <t xml:space="preserve">
проверити збир!
</t>
        </r>
      </text>
    </comment>
    <comment ref="I1395" authorId="0">
      <text>
        <r>
          <rPr>
            <b/>
            <sz val="9"/>
            <color indexed="81"/>
            <rFont val="Tahoma"/>
            <family val="2"/>
          </rPr>
          <t>LPA:</t>
        </r>
        <r>
          <rPr>
            <sz val="9"/>
            <color indexed="81"/>
            <rFont val="Tahoma"/>
            <family val="2"/>
          </rPr>
          <t xml:space="preserve">
проверити збир!
</t>
        </r>
      </text>
    </comment>
    <comment ref="H1398" authorId="0">
      <text>
        <r>
          <rPr>
            <b/>
            <sz val="9"/>
            <color indexed="81"/>
            <rFont val="Tahoma"/>
            <family val="2"/>
          </rPr>
          <t>LPA:</t>
        </r>
        <r>
          <rPr>
            <sz val="9"/>
            <color indexed="81"/>
            <rFont val="Tahoma"/>
            <family val="2"/>
          </rPr>
          <t xml:space="preserve">
проверити збир!</t>
        </r>
      </text>
    </comment>
    <comment ref="I1398" authorId="0">
      <text>
        <r>
          <rPr>
            <b/>
            <sz val="9"/>
            <color indexed="81"/>
            <rFont val="Tahoma"/>
            <family val="2"/>
          </rPr>
          <t>LPA:</t>
        </r>
        <r>
          <rPr>
            <sz val="9"/>
            <color indexed="81"/>
            <rFont val="Tahoma"/>
            <family val="2"/>
          </rPr>
          <t xml:space="preserve">
проверити збир!</t>
        </r>
      </text>
    </comment>
    <comment ref="I1399" authorId="0">
      <text>
        <r>
          <rPr>
            <b/>
            <sz val="9"/>
            <color indexed="81"/>
            <rFont val="Tahoma"/>
            <family val="2"/>
          </rPr>
          <t>LPA:</t>
        </r>
        <r>
          <rPr>
            <sz val="9"/>
            <color indexed="81"/>
            <rFont val="Tahoma"/>
            <family val="2"/>
          </rPr>
          <t xml:space="preserve">
проверити збир!
</t>
        </r>
      </text>
    </comment>
    <comment ref="I1400" authorId="0">
      <text>
        <r>
          <rPr>
            <b/>
            <sz val="9"/>
            <color indexed="81"/>
            <rFont val="Tahoma"/>
            <family val="2"/>
          </rPr>
          <t>LPA:</t>
        </r>
        <r>
          <rPr>
            <sz val="9"/>
            <color indexed="81"/>
            <rFont val="Tahoma"/>
            <family val="2"/>
          </rPr>
          <t xml:space="preserve">
проверити збир!
</t>
        </r>
      </text>
    </comment>
    <comment ref="I1401" authorId="0">
      <text>
        <r>
          <rPr>
            <b/>
            <sz val="9"/>
            <color indexed="81"/>
            <rFont val="Tahoma"/>
            <family val="2"/>
          </rPr>
          <t>LPA:</t>
        </r>
        <r>
          <rPr>
            <sz val="9"/>
            <color indexed="81"/>
            <rFont val="Tahoma"/>
            <family val="2"/>
          </rPr>
          <t xml:space="preserve">
проверити збир!
</t>
        </r>
      </text>
    </comment>
    <comment ref="I1402" authorId="0">
      <text>
        <r>
          <rPr>
            <b/>
            <sz val="9"/>
            <color indexed="81"/>
            <rFont val="Tahoma"/>
            <family val="2"/>
          </rPr>
          <t>LPA:</t>
        </r>
        <r>
          <rPr>
            <sz val="9"/>
            <color indexed="81"/>
            <rFont val="Tahoma"/>
            <family val="2"/>
          </rPr>
          <t xml:space="preserve">
проверити збир!
</t>
        </r>
      </text>
    </comment>
    <comment ref="I1403" authorId="0">
      <text>
        <r>
          <rPr>
            <b/>
            <sz val="9"/>
            <color indexed="81"/>
            <rFont val="Tahoma"/>
            <family val="2"/>
          </rPr>
          <t>LPA:</t>
        </r>
        <r>
          <rPr>
            <sz val="9"/>
            <color indexed="81"/>
            <rFont val="Tahoma"/>
            <family val="2"/>
          </rPr>
          <t xml:space="preserve">
проверити збир!
</t>
        </r>
      </text>
    </comment>
    <comment ref="I1404" authorId="0">
      <text>
        <r>
          <rPr>
            <b/>
            <sz val="9"/>
            <color indexed="81"/>
            <rFont val="Tahoma"/>
            <family val="2"/>
          </rPr>
          <t>LPA:</t>
        </r>
        <r>
          <rPr>
            <sz val="9"/>
            <color indexed="81"/>
            <rFont val="Tahoma"/>
            <family val="2"/>
          </rPr>
          <t xml:space="preserve">
проверити збир!
</t>
        </r>
      </text>
    </comment>
    <comment ref="I1405" authorId="0">
      <text>
        <r>
          <rPr>
            <b/>
            <sz val="9"/>
            <color indexed="81"/>
            <rFont val="Tahoma"/>
            <family val="2"/>
          </rPr>
          <t>LPA:</t>
        </r>
        <r>
          <rPr>
            <sz val="9"/>
            <color indexed="81"/>
            <rFont val="Tahoma"/>
            <family val="2"/>
          </rPr>
          <t xml:space="preserve">
проверити збир!
</t>
        </r>
      </text>
    </comment>
    <comment ref="I1406" authorId="0">
      <text>
        <r>
          <rPr>
            <b/>
            <sz val="9"/>
            <color indexed="81"/>
            <rFont val="Tahoma"/>
            <family val="2"/>
          </rPr>
          <t>LPA:</t>
        </r>
        <r>
          <rPr>
            <sz val="9"/>
            <color indexed="81"/>
            <rFont val="Tahoma"/>
            <family val="2"/>
          </rPr>
          <t xml:space="preserve">
проверити збир!
</t>
        </r>
      </text>
    </comment>
    <comment ref="I1407" authorId="0">
      <text>
        <r>
          <rPr>
            <b/>
            <sz val="9"/>
            <color indexed="81"/>
            <rFont val="Tahoma"/>
            <family val="2"/>
          </rPr>
          <t>LPA:</t>
        </r>
        <r>
          <rPr>
            <sz val="9"/>
            <color indexed="81"/>
            <rFont val="Tahoma"/>
            <family val="2"/>
          </rPr>
          <t xml:space="preserve">
проверити збир!
</t>
        </r>
      </text>
    </comment>
    <comment ref="I1408" authorId="0">
      <text>
        <r>
          <rPr>
            <b/>
            <sz val="9"/>
            <color indexed="81"/>
            <rFont val="Tahoma"/>
            <family val="2"/>
          </rPr>
          <t>LPA:</t>
        </r>
        <r>
          <rPr>
            <sz val="9"/>
            <color indexed="81"/>
            <rFont val="Tahoma"/>
            <family val="2"/>
          </rPr>
          <t xml:space="preserve">
проверити збир!
</t>
        </r>
      </text>
    </comment>
    <comment ref="I1409" authorId="0">
      <text>
        <r>
          <rPr>
            <b/>
            <sz val="9"/>
            <color indexed="81"/>
            <rFont val="Tahoma"/>
            <family val="2"/>
          </rPr>
          <t>LPA:</t>
        </r>
        <r>
          <rPr>
            <sz val="9"/>
            <color indexed="81"/>
            <rFont val="Tahoma"/>
            <family val="2"/>
          </rPr>
          <t xml:space="preserve">
проверити збир!
</t>
        </r>
      </text>
    </comment>
    <comment ref="I1410" authorId="0">
      <text>
        <r>
          <rPr>
            <b/>
            <sz val="9"/>
            <color indexed="81"/>
            <rFont val="Tahoma"/>
            <family val="2"/>
          </rPr>
          <t>LPA:</t>
        </r>
        <r>
          <rPr>
            <sz val="9"/>
            <color indexed="81"/>
            <rFont val="Tahoma"/>
            <family val="2"/>
          </rPr>
          <t xml:space="preserve">
проверити збир!
</t>
        </r>
      </text>
    </comment>
    <comment ref="I1411" authorId="0">
      <text>
        <r>
          <rPr>
            <b/>
            <sz val="9"/>
            <color indexed="81"/>
            <rFont val="Tahoma"/>
            <family val="2"/>
          </rPr>
          <t>LPA:</t>
        </r>
        <r>
          <rPr>
            <sz val="9"/>
            <color indexed="81"/>
            <rFont val="Tahoma"/>
            <family val="2"/>
          </rPr>
          <t xml:space="preserve">
проверити збир!
</t>
        </r>
      </text>
    </comment>
    <comment ref="I1412" authorId="0">
      <text>
        <r>
          <rPr>
            <b/>
            <sz val="9"/>
            <color indexed="81"/>
            <rFont val="Tahoma"/>
            <family val="2"/>
          </rPr>
          <t>LPA:</t>
        </r>
        <r>
          <rPr>
            <sz val="9"/>
            <color indexed="81"/>
            <rFont val="Tahoma"/>
            <family val="2"/>
          </rPr>
          <t xml:space="preserve">
проверити збир!
</t>
        </r>
      </text>
    </comment>
    <comment ref="I1413" authorId="0">
      <text>
        <r>
          <rPr>
            <b/>
            <sz val="9"/>
            <color indexed="81"/>
            <rFont val="Tahoma"/>
            <family val="2"/>
          </rPr>
          <t>LPA:</t>
        </r>
        <r>
          <rPr>
            <sz val="9"/>
            <color indexed="81"/>
            <rFont val="Tahoma"/>
            <family val="2"/>
          </rPr>
          <t xml:space="preserve">
проверити збир!
</t>
        </r>
      </text>
    </comment>
    <comment ref="I1482" authorId="0">
      <text>
        <r>
          <rPr>
            <b/>
            <sz val="9"/>
            <color indexed="81"/>
            <rFont val="Tahoma"/>
            <family val="2"/>
          </rPr>
          <t>LPA:</t>
        </r>
        <r>
          <rPr>
            <sz val="9"/>
            <color indexed="81"/>
            <rFont val="Tahoma"/>
            <family val="2"/>
          </rPr>
          <t xml:space="preserve">
проверити збир!
</t>
        </r>
      </text>
    </comment>
    <comment ref="I1483" authorId="0">
      <text>
        <r>
          <rPr>
            <b/>
            <sz val="9"/>
            <color indexed="81"/>
            <rFont val="Tahoma"/>
            <family val="2"/>
          </rPr>
          <t>LPA:</t>
        </r>
        <r>
          <rPr>
            <sz val="9"/>
            <color indexed="81"/>
            <rFont val="Tahoma"/>
            <family val="2"/>
          </rPr>
          <t xml:space="preserve">
проверити збир!
</t>
        </r>
      </text>
    </comment>
    <comment ref="I1484" authorId="0">
      <text>
        <r>
          <rPr>
            <b/>
            <sz val="9"/>
            <color indexed="81"/>
            <rFont val="Tahoma"/>
            <family val="2"/>
          </rPr>
          <t>LPA:</t>
        </r>
        <r>
          <rPr>
            <sz val="9"/>
            <color indexed="81"/>
            <rFont val="Tahoma"/>
            <family val="2"/>
          </rPr>
          <t xml:space="preserve">
проверити збир!
</t>
        </r>
      </text>
    </comment>
    <comment ref="I1485" authorId="0">
      <text>
        <r>
          <rPr>
            <b/>
            <sz val="9"/>
            <color indexed="81"/>
            <rFont val="Tahoma"/>
            <family val="2"/>
          </rPr>
          <t>LPA:</t>
        </r>
        <r>
          <rPr>
            <sz val="9"/>
            <color indexed="81"/>
            <rFont val="Tahoma"/>
            <family val="2"/>
          </rPr>
          <t xml:space="preserve">
проверити збир!
</t>
        </r>
      </text>
    </comment>
    <comment ref="I1486" authorId="0">
      <text>
        <r>
          <rPr>
            <b/>
            <sz val="9"/>
            <color indexed="81"/>
            <rFont val="Tahoma"/>
            <family val="2"/>
          </rPr>
          <t>LPA:</t>
        </r>
        <r>
          <rPr>
            <sz val="9"/>
            <color indexed="81"/>
            <rFont val="Tahoma"/>
            <family val="2"/>
          </rPr>
          <t xml:space="preserve">
проверити збир!
</t>
        </r>
      </text>
    </comment>
    <comment ref="I1487" authorId="0">
      <text>
        <r>
          <rPr>
            <b/>
            <sz val="9"/>
            <color indexed="81"/>
            <rFont val="Tahoma"/>
            <family val="2"/>
          </rPr>
          <t>LPA:</t>
        </r>
        <r>
          <rPr>
            <sz val="9"/>
            <color indexed="81"/>
            <rFont val="Tahoma"/>
            <family val="2"/>
          </rPr>
          <t xml:space="preserve">
проверити збир!
</t>
        </r>
      </text>
    </comment>
    <comment ref="I1488" authorId="0">
      <text>
        <r>
          <rPr>
            <b/>
            <sz val="9"/>
            <color indexed="81"/>
            <rFont val="Tahoma"/>
            <family val="2"/>
          </rPr>
          <t>LPA:</t>
        </r>
        <r>
          <rPr>
            <sz val="9"/>
            <color indexed="81"/>
            <rFont val="Tahoma"/>
            <family val="2"/>
          </rPr>
          <t xml:space="preserve">
проверити збир!
</t>
        </r>
      </text>
    </comment>
    <comment ref="I1489" authorId="0">
      <text>
        <r>
          <rPr>
            <b/>
            <sz val="9"/>
            <color indexed="81"/>
            <rFont val="Tahoma"/>
            <family val="2"/>
          </rPr>
          <t>LPA:</t>
        </r>
        <r>
          <rPr>
            <sz val="9"/>
            <color indexed="81"/>
            <rFont val="Tahoma"/>
            <family val="2"/>
          </rPr>
          <t xml:space="preserve">
проверити збир!
</t>
        </r>
      </text>
    </comment>
    <comment ref="I1490" authorId="0">
      <text>
        <r>
          <rPr>
            <b/>
            <sz val="9"/>
            <color indexed="81"/>
            <rFont val="Tahoma"/>
            <family val="2"/>
          </rPr>
          <t>LPA:</t>
        </r>
        <r>
          <rPr>
            <sz val="9"/>
            <color indexed="81"/>
            <rFont val="Tahoma"/>
            <family val="2"/>
          </rPr>
          <t xml:space="preserve">
проверити збир!
</t>
        </r>
      </text>
    </comment>
    <comment ref="I1491" authorId="0">
      <text>
        <r>
          <rPr>
            <b/>
            <sz val="9"/>
            <color indexed="81"/>
            <rFont val="Tahoma"/>
            <family val="2"/>
          </rPr>
          <t>LPA:</t>
        </r>
        <r>
          <rPr>
            <sz val="9"/>
            <color indexed="81"/>
            <rFont val="Tahoma"/>
            <family val="2"/>
          </rPr>
          <t xml:space="preserve">
проверити збир!
</t>
        </r>
      </text>
    </comment>
    <comment ref="I1492" authorId="0">
      <text>
        <r>
          <rPr>
            <b/>
            <sz val="9"/>
            <color indexed="81"/>
            <rFont val="Tahoma"/>
            <family val="2"/>
          </rPr>
          <t>LPA:</t>
        </r>
        <r>
          <rPr>
            <sz val="9"/>
            <color indexed="81"/>
            <rFont val="Tahoma"/>
            <family val="2"/>
          </rPr>
          <t xml:space="preserve">
проверити збир!
</t>
        </r>
      </text>
    </comment>
    <comment ref="I1493" authorId="0">
      <text>
        <r>
          <rPr>
            <b/>
            <sz val="9"/>
            <color indexed="81"/>
            <rFont val="Tahoma"/>
            <family val="2"/>
          </rPr>
          <t>LPA:</t>
        </r>
        <r>
          <rPr>
            <sz val="9"/>
            <color indexed="81"/>
            <rFont val="Tahoma"/>
            <family val="2"/>
          </rPr>
          <t xml:space="preserve">
проверити збир!
</t>
        </r>
      </text>
    </comment>
    <comment ref="I1494" authorId="0">
      <text>
        <r>
          <rPr>
            <b/>
            <sz val="9"/>
            <color indexed="81"/>
            <rFont val="Tahoma"/>
            <family val="2"/>
          </rPr>
          <t>LPA:</t>
        </r>
        <r>
          <rPr>
            <sz val="9"/>
            <color indexed="81"/>
            <rFont val="Tahoma"/>
            <family val="2"/>
          </rPr>
          <t xml:space="preserve">
проверити збир!
</t>
        </r>
      </text>
    </comment>
    <comment ref="H1497" authorId="0">
      <text>
        <r>
          <rPr>
            <b/>
            <sz val="9"/>
            <color indexed="81"/>
            <rFont val="Tahoma"/>
            <family val="2"/>
          </rPr>
          <t>LPA:</t>
        </r>
        <r>
          <rPr>
            <sz val="9"/>
            <color indexed="81"/>
            <rFont val="Tahoma"/>
            <family val="2"/>
          </rPr>
          <t xml:space="preserve">
проверити збир!</t>
        </r>
      </text>
    </comment>
    <comment ref="I1497" authorId="0">
      <text>
        <r>
          <rPr>
            <b/>
            <sz val="9"/>
            <color indexed="81"/>
            <rFont val="Tahoma"/>
            <family val="2"/>
          </rPr>
          <t>LPA:</t>
        </r>
        <r>
          <rPr>
            <sz val="9"/>
            <color indexed="81"/>
            <rFont val="Tahoma"/>
            <family val="2"/>
          </rPr>
          <t xml:space="preserve">
проверити збир!</t>
        </r>
      </text>
    </comment>
    <comment ref="I1498" authorId="0">
      <text>
        <r>
          <rPr>
            <b/>
            <sz val="9"/>
            <color indexed="81"/>
            <rFont val="Tahoma"/>
            <family val="2"/>
          </rPr>
          <t>LPA:</t>
        </r>
        <r>
          <rPr>
            <sz val="9"/>
            <color indexed="81"/>
            <rFont val="Tahoma"/>
            <family val="2"/>
          </rPr>
          <t xml:space="preserve">
проверити збир!
</t>
        </r>
      </text>
    </comment>
    <comment ref="I1499" authorId="0">
      <text>
        <r>
          <rPr>
            <b/>
            <sz val="9"/>
            <color indexed="81"/>
            <rFont val="Tahoma"/>
            <family val="2"/>
          </rPr>
          <t>LPA:</t>
        </r>
        <r>
          <rPr>
            <sz val="9"/>
            <color indexed="81"/>
            <rFont val="Tahoma"/>
            <family val="2"/>
          </rPr>
          <t xml:space="preserve">
проверити збир!
</t>
        </r>
      </text>
    </comment>
    <comment ref="I1500" authorId="0">
      <text>
        <r>
          <rPr>
            <b/>
            <sz val="9"/>
            <color indexed="81"/>
            <rFont val="Tahoma"/>
            <family val="2"/>
          </rPr>
          <t>LPA:</t>
        </r>
        <r>
          <rPr>
            <sz val="9"/>
            <color indexed="81"/>
            <rFont val="Tahoma"/>
            <family val="2"/>
          </rPr>
          <t xml:space="preserve">
проверити збир!
</t>
        </r>
      </text>
    </comment>
    <comment ref="I1501" authorId="0">
      <text>
        <r>
          <rPr>
            <b/>
            <sz val="9"/>
            <color indexed="81"/>
            <rFont val="Tahoma"/>
            <family val="2"/>
          </rPr>
          <t>LPA:</t>
        </r>
        <r>
          <rPr>
            <sz val="9"/>
            <color indexed="81"/>
            <rFont val="Tahoma"/>
            <family val="2"/>
          </rPr>
          <t xml:space="preserve">
проверити збир!
</t>
        </r>
      </text>
    </comment>
    <comment ref="I1502" authorId="0">
      <text>
        <r>
          <rPr>
            <b/>
            <sz val="9"/>
            <color indexed="81"/>
            <rFont val="Tahoma"/>
            <family val="2"/>
          </rPr>
          <t>LPA:</t>
        </r>
        <r>
          <rPr>
            <sz val="9"/>
            <color indexed="81"/>
            <rFont val="Tahoma"/>
            <family val="2"/>
          </rPr>
          <t xml:space="preserve">
проверити збир!
</t>
        </r>
      </text>
    </comment>
    <comment ref="I1503" authorId="0">
      <text>
        <r>
          <rPr>
            <b/>
            <sz val="9"/>
            <color indexed="81"/>
            <rFont val="Tahoma"/>
            <family val="2"/>
          </rPr>
          <t>LPA:</t>
        </r>
        <r>
          <rPr>
            <sz val="9"/>
            <color indexed="81"/>
            <rFont val="Tahoma"/>
            <family val="2"/>
          </rPr>
          <t xml:space="preserve">
проверити збир!
</t>
        </r>
      </text>
    </comment>
    <comment ref="I1504" authorId="0">
      <text>
        <r>
          <rPr>
            <b/>
            <sz val="9"/>
            <color indexed="81"/>
            <rFont val="Tahoma"/>
            <family val="2"/>
          </rPr>
          <t>LPA:</t>
        </r>
        <r>
          <rPr>
            <sz val="9"/>
            <color indexed="81"/>
            <rFont val="Tahoma"/>
            <family val="2"/>
          </rPr>
          <t xml:space="preserve">
проверити збир!
</t>
        </r>
      </text>
    </comment>
    <comment ref="I1505" authorId="0">
      <text>
        <r>
          <rPr>
            <b/>
            <sz val="9"/>
            <color indexed="81"/>
            <rFont val="Tahoma"/>
            <family val="2"/>
          </rPr>
          <t>LPA:</t>
        </r>
        <r>
          <rPr>
            <sz val="9"/>
            <color indexed="81"/>
            <rFont val="Tahoma"/>
            <family val="2"/>
          </rPr>
          <t xml:space="preserve">
проверити збир!
</t>
        </r>
      </text>
    </comment>
    <comment ref="I1506" authorId="0">
      <text>
        <r>
          <rPr>
            <b/>
            <sz val="9"/>
            <color indexed="81"/>
            <rFont val="Tahoma"/>
            <family val="2"/>
          </rPr>
          <t>LPA:</t>
        </r>
        <r>
          <rPr>
            <sz val="9"/>
            <color indexed="81"/>
            <rFont val="Tahoma"/>
            <family val="2"/>
          </rPr>
          <t xml:space="preserve">
проверити збир!
</t>
        </r>
      </text>
    </comment>
    <comment ref="I1507" authorId="0">
      <text>
        <r>
          <rPr>
            <b/>
            <sz val="9"/>
            <color indexed="81"/>
            <rFont val="Tahoma"/>
            <family val="2"/>
          </rPr>
          <t>LPA:</t>
        </r>
        <r>
          <rPr>
            <sz val="9"/>
            <color indexed="81"/>
            <rFont val="Tahoma"/>
            <family val="2"/>
          </rPr>
          <t xml:space="preserve">
проверити збир!
</t>
        </r>
      </text>
    </comment>
    <comment ref="I1508" authorId="0">
      <text>
        <r>
          <rPr>
            <b/>
            <sz val="9"/>
            <color indexed="81"/>
            <rFont val="Tahoma"/>
            <family val="2"/>
          </rPr>
          <t>LPA:</t>
        </r>
        <r>
          <rPr>
            <sz val="9"/>
            <color indexed="81"/>
            <rFont val="Tahoma"/>
            <family val="2"/>
          </rPr>
          <t xml:space="preserve">
проверити збир!
</t>
        </r>
      </text>
    </comment>
    <comment ref="I1509" authorId="0">
      <text>
        <r>
          <rPr>
            <b/>
            <sz val="9"/>
            <color indexed="81"/>
            <rFont val="Tahoma"/>
            <family val="2"/>
          </rPr>
          <t>LPA:</t>
        </r>
        <r>
          <rPr>
            <sz val="9"/>
            <color indexed="81"/>
            <rFont val="Tahoma"/>
            <family val="2"/>
          </rPr>
          <t xml:space="preserve">
проверити збир!
</t>
        </r>
      </text>
    </comment>
    <comment ref="I1510" authorId="0">
      <text>
        <r>
          <rPr>
            <b/>
            <sz val="9"/>
            <color indexed="81"/>
            <rFont val="Tahoma"/>
            <family val="2"/>
          </rPr>
          <t>LPA:</t>
        </r>
        <r>
          <rPr>
            <sz val="9"/>
            <color indexed="81"/>
            <rFont val="Tahoma"/>
            <family val="2"/>
          </rPr>
          <t xml:space="preserve">
проверити збир!
</t>
        </r>
      </text>
    </comment>
    <comment ref="I1511" authorId="0">
      <text>
        <r>
          <rPr>
            <b/>
            <sz val="9"/>
            <color indexed="81"/>
            <rFont val="Tahoma"/>
            <family val="2"/>
          </rPr>
          <t>LPA:</t>
        </r>
        <r>
          <rPr>
            <sz val="9"/>
            <color indexed="81"/>
            <rFont val="Tahoma"/>
            <family val="2"/>
          </rPr>
          <t xml:space="preserve">
проверити збир!
</t>
        </r>
      </text>
    </comment>
    <comment ref="I1512" authorId="0">
      <text>
        <r>
          <rPr>
            <b/>
            <sz val="9"/>
            <color indexed="81"/>
            <rFont val="Tahoma"/>
            <family val="2"/>
          </rPr>
          <t>LPA:</t>
        </r>
        <r>
          <rPr>
            <sz val="9"/>
            <color indexed="81"/>
            <rFont val="Tahoma"/>
            <family val="2"/>
          </rPr>
          <t xml:space="preserve">
проверити збир!
</t>
        </r>
      </text>
    </comment>
    <comment ref="I1581" authorId="0">
      <text>
        <r>
          <rPr>
            <b/>
            <sz val="9"/>
            <color indexed="81"/>
            <rFont val="Tahoma"/>
            <family val="2"/>
          </rPr>
          <t>LPA:</t>
        </r>
        <r>
          <rPr>
            <sz val="9"/>
            <color indexed="81"/>
            <rFont val="Tahoma"/>
            <family val="2"/>
          </rPr>
          <t xml:space="preserve">
проверити збир!
</t>
        </r>
      </text>
    </comment>
    <comment ref="I1582" authorId="0">
      <text>
        <r>
          <rPr>
            <b/>
            <sz val="9"/>
            <color indexed="81"/>
            <rFont val="Tahoma"/>
            <family val="2"/>
          </rPr>
          <t>LPA:</t>
        </r>
        <r>
          <rPr>
            <sz val="9"/>
            <color indexed="81"/>
            <rFont val="Tahoma"/>
            <family val="2"/>
          </rPr>
          <t xml:space="preserve">
проверити збир!
</t>
        </r>
      </text>
    </comment>
    <comment ref="I1583" authorId="0">
      <text>
        <r>
          <rPr>
            <b/>
            <sz val="9"/>
            <color indexed="81"/>
            <rFont val="Tahoma"/>
            <family val="2"/>
          </rPr>
          <t>LPA:</t>
        </r>
        <r>
          <rPr>
            <sz val="9"/>
            <color indexed="81"/>
            <rFont val="Tahoma"/>
            <family val="2"/>
          </rPr>
          <t xml:space="preserve">
проверити збир!
</t>
        </r>
      </text>
    </comment>
    <comment ref="I1584" authorId="0">
      <text>
        <r>
          <rPr>
            <b/>
            <sz val="9"/>
            <color indexed="81"/>
            <rFont val="Tahoma"/>
            <family val="2"/>
          </rPr>
          <t>LPA:</t>
        </r>
        <r>
          <rPr>
            <sz val="9"/>
            <color indexed="81"/>
            <rFont val="Tahoma"/>
            <family val="2"/>
          </rPr>
          <t xml:space="preserve">
проверити збир!
</t>
        </r>
      </text>
    </comment>
    <comment ref="I1585" authorId="0">
      <text>
        <r>
          <rPr>
            <b/>
            <sz val="9"/>
            <color indexed="81"/>
            <rFont val="Tahoma"/>
            <family val="2"/>
          </rPr>
          <t>LPA:</t>
        </r>
        <r>
          <rPr>
            <sz val="9"/>
            <color indexed="81"/>
            <rFont val="Tahoma"/>
            <family val="2"/>
          </rPr>
          <t xml:space="preserve">
проверити збир!
</t>
        </r>
      </text>
    </comment>
    <comment ref="I1586" authorId="0">
      <text>
        <r>
          <rPr>
            <b/>
            <sz val="9"/>
            <color indexed="81"/>
            <rFont val="Tahoma"/>
            <family val="2"/>
          </rPr>
          <t>LPA:</t>
        </r>
        <r>
          <rPr>
            <sz val="9"/>
            <color indexed="81"/>
            <rFont val="Tahoma"/>
            <family val="2"/>
          </rPr>
          <t xml:space="preserve">
проверити збир!
</t>
        </r>
      </text>
    </comment>
    <comment ref="I1587" authorId="0">
      <text>
        <r>
          <rPr>
            <b/>
            <sz val="9"/>
            <color indexed="81"/>
            <rFont val="Tahoma"/>
            <family val="2"/>
          </rPr>
          <t>LPA:</t>
        </r>
        <r>
          <rPr>
            <sz val="9"/>
            <color indexed="81"/>
            <rFont val="Tahoma"/>
            <family val="2"/>
          </rPr>
          <t xml:space="preserve">
проверити збир!
</t>
        </r>
      </text>
    </comment>
    <comment ref="I1588" authorId="0">
      <text>
        <r>
          <rPr>
            <b/>
            <sz val="9"/>
            <color indexed="81"/>
            <rFont val="Tahoma"/>
            <family val="2"/>
          </rPr>
          <t>LPA:</t>
        </r>
        <r>
          <rPr>
            <sz val="9"/>
            <color indexed="81"/>
            <rFont val="Tahoma"/>
            <family val="2"/>
          </rPr>
          <t xml:space="preserve">
проверити збир!
</t>
        </r>
      </text>
    </comment>
    <comment ref="I1589" authorId="0">
      <text>
        <r>
          <rPr>
            <b/>
            <sz val="9"/>
            <color indexed="81"/>
            <rFont val="Tahoma"/>
            <family val="2"/>
          </rPr>
          <t>LPA:</t>
        </r>
        <r>
          <rPr>
            <sz val="9"/>
            <color indexed="81"/>
            <rFont val="Tahoma"/>
            <family val="2"/>
          </rPr>
          <t xml:space="preserve">
проверити збир!
</t>
        </r>
      </text>
    </comment>
    <comment ref="I1590" authorId="0">
      <text>
        <r>
          <rPr>
            <b/>
            <sz val="9"/>
            <color indexed="81"/>
            <rFont val="Tahoma"/>
            <family val="2"/>
          </rPr>
          <t>LPA:</t>
        </r>
        <r>
          <rPr>
            <sz val="9"/>
            <color indexed="81"/>
            <rFont val="Tahoma"/>
            <family val="2"/>
          </rPr>
          <t xml:space="preserve">
проверити збир!
</t>
        </r>
      </text>
    </comment>
    <comment ref="I1591" authorId="0">
      <text>
        <r>
          <rPr>
            <b/>
            <sz val="9"/>
            <color indexed="81"/>
            <rFont val="Tahoma"/>
            <family val="2"/>
          </rPr>
          <t>LPA:</t>
        </r>
        <r>
          <rPr>
            <sz val="9"/>
            <color indexed="81"/>
            <rFont val="Tahoma"/>
            <family val="2"/>
          </rPr>
          <t xml:space="preserve">
проверити збир!
</t>
        </r>
      </text>
    </comment>
    <comment ref="I1592" authorId="0">
      <text>
        <r>
          <rPr>
            <b/>
            <sz val="9"/>
            <color indexed="81"/>
            <rFont val="Tahoma"/>
            <family val="2"/>
          </rPr>
          <t>LPA:</t>
        </r>
        <r>
          <rPr>
            <sz val="9"/>
            <color indexed="81"/>
            <rFont val="Tahoma"/>
            <family val="2"/>
          </rPr>
          <t xml:space="preserve">
проверити збир!
</t>
        </r>
      </text>
    </comment>
    <comment ref="I1593" authorId="0">
      <text>
        <r>
          <rPr>
            <b/>
            <sz val="9"/>
            <color indexed="81"/>
            <rFont val="Tahoma"/>
            <family val="2"/>
          </rPr>
          <t>LPA:</t>
        </r>
        <r>
          <rPr>
            <sz val="9"/>
            <color indexed="81"/>
            <rFont val="Tahoma"/>
            <family val="2"/>
          </rPr>
          <t xml:space="preserve">
проверити збир!
</t>
        </r>
      </text>
    </comment>
    <comment ref="H1596" authorId="0">
      <text>
        <r>
          <rPr>
            <b/>
            <sz val="9"/>
            <color indexed="81"/>
            <rFont val="Tahoma"/>
            <family val="2"/>
          </rPr>
          <t>LPA:</t>
        </r>
        <r>
          <rPr>
            <sz val="9"/>
            <color indexed="81"/>
            <rFont val="Tahoma"/>
            <family val="2"/>
          </rPr>
          <t xml:space="preserve">
проверити збир!</t>
        </r>
      </text>
    </comment>
    <comment ref="I1596" authorId="0">
      <text>
        <r>
          <rPr>
            <b/>
            <sz val="9"/>
            <color indexed="81"/>
            <rFont val="Tahoma"/>
            <family val="2"/>
          </rPr>
          <t>LPA:</t>
        </r>
        <r>
          <rPr>
            <sz val="9"/>
            <color indexed="81"/>
            <rFont val="Tahoma"/>
            <family val="2"/>
          </rPr>
          <t xml:space="preserve">
проверити збир!</t>
        </r>
      </text>
    </comment>
    <comment ref="I1597" authorId="0">
      <text>
        <r>
          <rPr>
            <b/>
            <sz val="9"/>
            <color indexed="81"/>
            <rFont val="Tahoma"/>
            <family val="2"/>
          </rPr>
          <t>LPA:</t>
        </r>
        <r>
          <rPr>
            <sz val="9"/>
            <color indexed="81"/>
            <rFont val="Tahoma"/>
            <family val="2"/>
          </rPr>
          <t xml:space="preserve">
проверити збир!
</t>
        </r>
      </text>
    </comment>
    <comment ref="I1598" authorId="0">
      <text>
        <r>
          <rPr>
            <b/>
            <sz val="9"/>
            <color indexed="81"/>
            <rFont val="Tahoma"/>
            <family val="2"/>
          </rPr>
          <t>LPA:</t>
        </r>
        <r>
          <rPr>
            <sz val="9"/>
            <color indexed="81"/>
            <rFont val="Tahoma"/>
            <family val="2"/>
          </rPr>
          <t xml:space="preserve">
проверити збир!
</t>
        </r>
      </text>
    </comment>
    <comment ref="I1599" authorId="0">
      <text>
        <r>
          <rPr>
            <b/>
            <sz val="9"/>
            <color indexed="81"/>
            <rFont val="Tahoma"/>
            <family val="2"/>
          </rPr>
          <t>LPA:</t>
        </r>
        <r>
          <rPr>
            <sz val="9"/>
            <color indexed="81"/>
            <rFont val="Tahoma"/>
            <family val="2"/>
          </rPr>
          <t xml:space="preserve">
проверити збир!
</t>
        </r>
      </text>
    </comment>
    <comment ref="I1600" authorId="0">
      <text>
        <r>
          <rPr>
            <b/>
            <sz val="9"/>
            <color indexed="81"/>
            <rFont val="Tahoma"/>
            <family val="2"/>
          </rPr>
          <t>LPA:</t>
        </r>
        <r>
          <rPr>
            <sz val="9"/>
            <color indexed="81"/>
            <rFont val="Tahoma"/>
            <family val="2"/>
          </rPr>
          <t xml:space="preserve">
проверити збир!
</t>
        </r>
      </text>
    </comment>
    <comment ref="I1601" authorId="0">
      <text>
        <r>
          <rPr>
            <b/>
            <sz val="9"/>
            <color indexed="81"/>
            <rFont val="Tahoma"/>
            <family val="2"/>
          </rPr>
          <t>LPA:</t>
        </r>
        <r>
          <rPr>
            <sz val="9"/>
            <color indexed="81"/>
            <rFont val="Tahoma"/>
            <family val="2"/>
          </rPr>
          <t xml:space="preserve">
проверити збир!
</t>
        </r>
      </text>
    </comment>
    <comment ref="I1602" authorId="0">
      <text>
        <r>
          <rPr>
            <b/>
            <sz val="9"/>
            <color indexed="81"/>
            <rFont val="Tahoma"/>
            <family val="2"/>
          </rPr>
          <t>LPA:</t>
        </r>
        <r>
          <rPr>
            <sz val="9"/>
            <color indexed="81"/>
            <rFont val="Tahoma"/>
            <family val="2"/>
          </rPr>
          <t xml:space="preserve">
проверити збир!
</t>
        </r>
      </text>
    </comment>
    <comment ref="I1603" authorId="0">
      <text>
        <r>
          <rPr>
            <b/>
            <sz val="9"/>
            <color indexed="81"/>
            <rFont val="Tahoma"/>
            <family val="2"/>
          </rPr>
          <t>LPA:</t>
        </r>
        <r>
          <rPr>
            <sz val="9"/>
            <color indexed="81"/>
            <rFont val="Tahoma"/>
            <family val="2"/>
          </rPr>
          <t xml:space="preserve">
проверити збир!
</t>
        </r>
      </text>
    </comment>
    <comment ref="I1604" authorId="0">
      <text>
        <r>
          <rPr>
            <b/>
            <sz val="9"/>
            <color indexed="81"/>
            <rFont val="Tahoma"/>
            <family val="2"/>
          </rPr>
          <t>LPA:</t>
        </r>
        <r>
          <rPr>
            <sz val="9"/>
            <color indexed="81"/>
            <rFont val="Tahoma"/>
            <family val="2"/>
          </rPr>
          <t xml:space="preserve">
проверити збир!
</t>
        </r>
      </text>
    </comment>
    <comment ref="I1605" authorId="0">
      <text>
        <r>
          <rPr>
            <b/>
            <sz val="9"/>
            <color indexed="81"/>
            <rFont val="Tahoma"/>
            <family val="2"/>
          </rPr>
          <t>LPA:</t>
        </r>
        <r>
          <rPr>
            <sz val="9"/>
            <color indexed="81"/>
            <rFont val="Tahoma"/>
            <family val="2"/>
          </rPr>
          <t xml:space="preserve">
проверити збир!
</t>
        </r>
      </text>
    </comment>
    <comment ref="I1606" authorId="0">
      <text>
        <r>
          <rPr>
            <b/>
            <sz val="9"/>
            <color indexed="81"/>
            <rFont val="Tahoma"/>
            <family val="2"/>
          </rPr>
          <t>LPA:</t>
        </r>
        <r>
          <rPr>
            <sz val="9"/>
            <color indexed="81"/>
            <rFont val="Tahoma"/>
            <family val="2"/>
          </rPr>
          <t xml:space="preserve">
проверити збир!
</t>
        </r>
      </text>
    </comment>
    <comment ref="I1607" authorId="0">
      <text>
        <r>
          <rPr>
            <b/>
            <sz val="9"/>
            <color indexed="81"/>
            <rFont val="Tahoma"/>
            <family val="2"/>
          </rPr>
          <t>LPA:</t>
        </r>
        <r>
          <rPr>
            <sz val="9"/>
            <color indexed="81"/>
            <rFont val="Tahoma"/>
            <family val="2"/>
          </rPr>
          <t xml:space="preserve">
проверити збир!
</t>
        </r>
      </text>
    </comment>
    <comment ref="I1608" authorId="0">
      <text>
        <r>
          <rPr>
            <b/>
            <sz val="9"/>
            <color indexed="81"/>
            <rFont val="Tahoma"/>
            <family val="2"/>
          </rPr>
          <t>LPA:</t>
        </r>
        <r>
          <rPr>
            <sz val="9"/>
            <color indexed="81"/>
            <rFont val="Tahoma"/>
            <family val="2"/>
          </rPr>
          <t xml:space="preserve">
проверити збир!
</t>
        </r>
      </text>
    </comment>
    <comment ref="I1609" authorId="0">
      <text>
        <r>
          <rPr>
            <b/>
            <sz val="9"/>
            <color indexed="81"/>
            <rFont val="Tahoma"/>
            <family val="2"/>
          </rPr>
          <t>LPA:</t>
        </r>
        <r>
          <rPr>
            <sz val="9"/>
            <color indexed="81"/>
            <rFont val="Tahoma"/>
            <family val="2"/>
          </rPr>
          <t xml:space="preserve">
проверити збир!
</t>
        </r>
      </text>
    </comment>
    <comment ref="I1610" authorId="0">
      <text>
        <r>
          <rPr>
            <b/>
            <sz val="9"/>
            <color indexed="81"/>
            <rFont val="Tahoma"/>
            <family val="2"/>
          </rPr>
          <t>LPA:</t>
        </r>
        <r>
          <rPr>
            <sz val="9"/>
            <color indexed="81"/>
            <rFont val="Tahoma"/>
            <family val="2"/>
          </rPr>
          <t xml:space="preserve">
проверити збир!
</t>
        </r>
      </text>
    </comment>
    <comment ref="I1611" authorId="0">
      <text>
        <r>
          <rPr>
            <b/>
            <sz val="9"/>
            <color indexed="81"/>
            <rFont val="Tahoma"/>
            <family val="2"/>
          </rPr>
          <t>LPA:</t>
        </r>
        <r>
          <rPr>
            <sz val="9"/>
            <color indexed="81"/>
            <rFont val="Tahoma"/>
            <family val="2"/>
          </rPr>
          <t xml:space="preserve">
проверити збир!
</t>
        </r>
      </text>
    </comment>
    <comment ref="I1680" authorId="0">
      <text>
        <r>
          <rPr>
            <b/>
            <sz val="9"/>
            <color indexed="81"/>
            <rFont val="Tahoma"/>
            <family val="2"/>
          </rPr>
          <t>LPA:</t>
        </r>
        <r>
          <rPr>
            <sz val="9"/>
            <color indexed="81"/>
            <rFont val="Tahoma"/>
            <family val="2"/>
          </rPr>
          <t xml:space="preserve">
проверити збир!
</t>
        </r>
      </text>
    </comment>
    <comment ref="I1681" authorId="0">
      <text>
        <r>
          <rPr>
            <b/>
            <sz val="9"/>
            <color indexed="81"/>
            <rFont val="Tahoma"/>
            <family val="2"/>
          </rPr>
          <t>LPA:</t>
        </r>
        <r>
          <rPr>
            <sz val="9"/>
            <color indexed="81"/>
            <rFont val="Tahoma"/>
            <family val="2"/>
          </rPr>
          <t xml:space="preserve">
проверити збир!
</t>
        </r>
      </text>
    </comment>
    <comment ref="I1682" authorId="0">
      <text>
        <r>
          <rPr>
            <b/>
            <sz val="9"/>
            <color indexed="81"/>
            <rFont val="Tahoma"/>
            <family val="2"/>
          </rPr>
          <t>LPA:</t>
        </r>
        <r>
          <rPr>
            <sz val="9"/>
            <color indexed="81"/>
            <rFont val="Tahoma"/>
            <family val="2"/>
          </rPr>
          <t xml:space="preserve">
проверити збир!
</t>
        </r>
      </text>
    </comment>
    <comment ref="I1683" authorId="0">
      <text>
        <r>
          <rPr>
            <b/>
            <sz val="9"/>
            <color indexed="81"/>
            <rFont val="Tahoma"/>
            <family val="2"/>
          </rPr>
          <t>LPA:</t>
        </r>
        <r>
          <rPr>
            <sz val="9"/>
            <color indexed="81"/>
            <rFont val="Tahoma"/>
            <family val="2"/>
          </rPr>
          <t xml:space="preserve">
проверити збир!
</t>
        </r>
      </text>
    </comment>
    <comment ref="I1684" authorId="0">
      <text>
        <r>
          <rPr>
            <b/>
            <sz val="9"/>
            <color indexed="81"/>
            <rFont val="Tahoma"/>
            <family val="2"/>
          </rPr>
          <t>LPA:</t>
        </r>
        <r>
          <rPr>
            <sz val="9"/>
            <color indexed="81"/>
            <rFont val="Tahoma"/>
            <family val="2"/>
          </rPr>
          <t xml:space="preserve">
проверити збир!
</t>
        </r>
      </text>
    </comment>
    <comment ref="I1685" authorId="0">
      <text>
        <r>
          <rPr>
            <b/>
            <sz val="9"/>
            <color indexed="81"/>
            <rFont val="Tahoma"/>
            <family val="2"/>
          </rPr>
          <t>LPA:</t>
        </r>
        <r>
          <rPr>
            <sz val="9"/>
            <color indexed="81"/>
            <rFont val="Tahoma"/>
            <family val="2"/>
          </rPr>
          <t xml:space="preserve">
проверити збир!
</t>
        </r>
      </text>
    </comment>
    <comment ref="I1686" authorId="0">
      <text>
        <r>
          <rPr>
            <b/>
            <sz val="9"/>
            <color indexed="81"/>
            <rFont val="Tahoma"/>
            <family val="2"/>
          </rPr>
          <t>LPA:</t>
        </r>
        <r>
          <rPr>
            <sz val="9"/>
            <color indexed="81"/>
            <rFont val="Tahoma"/>
            <family val="2"/>
          </rPr>
          <t xml:space="preserve">
проверити збир!
</t>
        </r>
      </text>
    </comment>
    <comment ref="I1687" authorId="0">
      <text>
        <r>
          <rPr>
            <b/>
            <sz val="9"/>
            <color indexed="81"/>
            <rFont val="Tahoma"/>
            <family val="2"/>
          </rPr>
          <t>LPA:</t>
        </r>
        <r>
          <rPr>
            <sz val="9"/>
            <color indexed="81"/>
            <rFont val="Tahoma"/>
            <family val="2"/>
          </rPr>
          <t xml:space="preserve">
проверити збир!
</t>
        </r>
      </text>
    </comment>
    <comment ref="I1688" authorId="0">
      <text>
        <r>
          <rPr>
            <b/>
            <sz val="9"/>
            <color indexed="81"/>
            <rFont val="Tahoma"/>
            <family val="2"/>
          </rPr>
          <t>LPA:</t>
        </r>
        <r>
          <rPr>
            <sz val="9"/>
            <color indexed="81"/>
            <rFont val="Tahoma"/>
            <family val="2"/>
          </rPr>
          <t xml:space="preserve">
проверити збир!
</t>
        </r>
      </text>
    </comment>
    <comment ref="I1689" authorId="0">
      <text>
        <r>
          <rPr>
            <b/>
            <sz val="9"/>
            <color indexed="81"/>
            <rFont val="Tahoma"/>
            <family val="2"/>
          </rPr>
          <t>LPA:</t>
        </r>
        <r>
          <rPr>
            <sz val="9"/>
            <color indexed="81"/>
            <rFont val="Tahoma"/>
            <family val="2"/>
          </rPr>
          <t xml:space="preserve">
проверити збир!
</t>
        </r>
      </text>
    </comment>
    <comment ref="I1690" authorId="0">
      <text>
        <r>
          <rPr>
            <b/>
            <sz val="9"/>
            <color indexed="81"/>
            <rFont val="Tahoma"/>
            <family val="2"/>
          </rPr>
          <t>LPA:</t>
        </r>
        <r>
          <rPr>
            <sz val="9"/>
            <color indexed="81"/>
            <rFont val="Tahoma"/>
            <family val="2"/>
          </rPr>
          <t xml:space="preserve">
проверити збир!
</t>
        </r>
      </text>
    </comment>
    <comment ref="I1691" authorId="0">
      <text>
        <r>
          <rPr>
            <b/>
            <sz val="9"/>
            <color indexed="81"/>
            <rFont val="Tahoma"/>
            <family val="2"/>
          </rPr>
          <t>LPA:</t>
        </r>
        <r>
          <rPr>
            <sz val="9"/>
            <color indexed="81"/>
            <rFont val="Tahoma"/>
            <family val="2"/>
          </rPr>
          <t xml:space="preserve">
проверити збир!
</t>
        </r>
      </text>
    </comment>
    <comment ref="I1692" authorId="0">
      <text>
        <r>
          <rPr>
            <b/>
            <sz val="9"/>
            <color indexed="81"/>
            <rFont val="Tahoma"/>
            <family val="2"/>
          </rPr>
          <t>LPA:</t>
        </r>
        <r>
          <rPr>
            <sz val="9"/>
            <color indexed="81"/>
            <rFont val="Tahoma"/>
            <family val="2"/>
          </rPr>
          <t xml:space="preserve">
проверити збир!
</t>
        </r>
      </text>
    </comment>
    <comment ref="H1695" authorId="0">
      <text>
        <r>
          <rPr>
            <b/>
            <sz val="9"/>
            <color indexed="81"/>
            <rFont val="Tahoma"/>
            <family val="2"/>
          </rPr>
          <t>LPA:</t>
        </r>
        <r>
          <rPr>
            <sz val="9"/>
            <color indexed="81"/>
            <rFont val="Tahoma"/>
            <family val="2"/>
          </rPr>
          <t xml:space="preserve">
проверити збир!</t>
        </r>
      </text>
    </comment>
    <comment ref="I1695" authorId="0">
      <text>
        <r>
          <rPr>
            <b/>
            <sz val="9"/>
            <color indexed="81"/>
            <rFont val="Tahoma"/>
            <family val="2"/>
          </rPr>
          <t>LPA:</t>
        </r>
        <r>
          <rPr>
            <sz val="9"/>
            <color indexed="81"/>
            <rFont val="Tahoma"/>
            <family val="2"/>
          </rPr>
          <t xml:space="preserve">
проверити збир!</t>
        </r>
      </text>
    </comment>
    <comment ref="I1696" authorId="0">
      <text>
        <r>
          <rPr>
            <b/>
            <sz val="9"/>
            <color indexed="81"/>
            <rFont val="Tahoma"/>
            <family val="2"/>
          </rPr>
          <t>LPA:</t>
        </r>
        <r>
          <rPr>
            <sz val="9"/>
            <color indexed="81"/>
            <rFont val="Tahoma"/>
            <family val="2"/>
          </rPr>
          <t xml:space="preserve">
проверити збир!
</t>
        </r>
      </text>
    </comment>
    <comment ref="I1697" authorId="0">
      <text>
        <r>
          <rPr>
            <b/>
            <sz val="9"/>
            <color indexed="81"/>
            <rFont val="Tahoma"/>
            <family val="2"/>
          </rPr>
          <t>LPA:</t>
        </r>
        <r>
          <rPr>
            <sz val="9"/>
            <color indexed="81"/>
            <rFont val="Tahoma"/>
            <family val="2"/>
          </rPr>
          <t xml:space="preserve">
проверити збир!
</t>
        </r>
      </text>
    </comment>
    <comment ref="I1698" authorId="0">
      <text>
        <r>
          <rPr>
            <b/>
            <sz val="9"/>
            <color indexed="81"/>
            <rFont val="Tahoma"/>
            <family val="2"/>
          </rPr>
          <t>LPA:</t>
        </r>
        <r>
          <rPr>
            <sz val="9"/>
            <color indexed="81"/>
            <rFont val="Tahoma"/>
            <family val="2"/>
          </rPr>
          <t xml:space="preserve">
проверити збир!
</t>
        </r>
      </text>
    </comment>
    <comment ref="I1699" authorId="0">
      <text>
        <r>
          <rPr>
            <b/>
            <sz val="9"/>
            <color indexed="81"/>
            <rFont val="Tahoma"/>
            <family val="2"/>
          </rPr>
          <t>LPA:</t>
        </r>
        <r>
          <rPr>
            <sz val="9"/>
            <color indexed="81"/>
            <rFont val="Tahoma"/>
            <family val="2"/>
          </rPr>
          <t xml:space="preserve">
проверити збир!
</t>
        </r>
      </text>
    </comment>
    <comment ref="I1700" authorId="0">
      <text>
        <r>
          <rPr>
            <b/>
            <sz val="9"/>
            <color indexed="81"/>
            <rFont val="Tahoma"/>
            <family val="2"/>
          </rPr>
          <t>LPA:</t>
        </r>
        <r>
          <rPr>
            <sz val="9"/>
            <color indexed="81"/>
            <rFont val="Tahoma"/>
            <family val="2"/>
          </rPr>
          <t xml:space="preserve">
проверити збир!
</t>
        </r>
      </text>
    </comment>
    <comment ref="I1701" authorId="0">
      <text>
        <r>
          <rPr>
            <b/>
            <sz val="9"/>
            <color indexed="81"/>
            <rFont val="Tahoma"/>
            <family val="2"/>
          </rPr>
          <t>LPA:</t>
        </r>
        <r>
          <rPr>
            <sz val="9"/>
            <color indexed="81"/>
            <rFont val="Tahoma"/>
            <family val="2"/>
          </rPr>
          <t xml:space="preserve">
проверити збир!
</t>
        </r>
      </text>
    </comment>
    <comment ref="I1702" authorId="0">
      <text>
        <r>
          <rPr>
            <b/>
            <sz val="9"/>
            <color indexed="81"/>
            <rFont val="Tahoma"/>
            <family val="2"/>
          </rPr>
          <t>LPA:</t>
        </r>
        <r>
          <rPr>
            <sz val="9"/>
            <color indexed="81"/>
            <rFont val="Tahoma"/>
            <family val="2"/>
          </rPr>
          <t xml:space="preserve">
проверити збир!
</t>
        </r>
      </text>
    </comment>
    <comment ref="I1703" authorId="0">
      <text>
        <r>
          <rPr>
            <b/>
            <sz val="9"/>
            <color indexed="81"/>
            <rFont val="Tahoma"/>
            <family val="2"/>
          </rPr>
          <t>LPA:</t>
        </r>
        <r>
          <rPr>
            <sz val="9"/>
            <color indexed="81"/>
            <rFont val="Tahoma"/>
            <family val="2"/>
          </rPr>
          <t xml:space="preserve">
проверити збир!
</t>
        </r>
      </text>
    </comment>
    <comment ref="I1704" authorId="0">
      <text>
        <r>
          <rPr>
            <b/>
            <sz val="9"/>
            <color indexed="81"/>
            <rFont val="Tahoma"/>
            <family val="2"/>
          </rPr>
          <t>LPA:</t>
        </r>
        <r>
          <rPr>
            <sz val="9"/>
            <color indexed="81"/>
            <rFont val="Tahoma"/>
            <family val="2"/>
          </rPr>
          <t xml:space="preserve">
проверити збир!
</t>
        </r>
      </text>
    </comment>
    <comment ref="I1705" authorId="0">
      <text>
        <r>
          <rPr>
            <b/>
            <sz val="9"/>
            <color indexed="81"/>
            <rFont val="Tahoma"/>
            <family val="2"/>
          </rPr>
          <t>LPA:</t>
        </r>
        <r>
          <rPr>
            <sz val="9"/>
            <color indexed="81"/>
            <rFont val="Tahoma"/>
            <family val="2"/>
          </rPr>
          <t xml:space="preserve">
проверити збир!
</t>
        </r>
      </text>
    </comment>
    <comment ref="I1706" authorId="0">
      <text>
        <r>
          <rPr>
            <b/>
            <sz val="9"/>
            <color indexed="81"/>
            <rFont val="Tahoma"/>
            <family val="2"/>
          </rPr>
          <t>LPA:</t>
        </r>
        <r>
          <rPr>
            <sz val="9"/>
            <color indexed="81"/>
            <rFont val="Tahoma"/>
            <family val="2"/>
          </rPr>
          <t xml:space="preserve">
проверити збир!
</t>
        </r>
      </text>
    </comment>
    <comment ref="I1707" authorId="0">
      <text>
        <r>
          <rPr>
            <b/>
            <sz val="9"/>
            <color indexed="81"/>
            <rFont val="Tahoma"/>
            <family val="2"/>
          </rPr>
          <t>LPA:</t>
        </r>
        <r>
          <rPr>
            <sz val="9"/>
            <color indexed="81"/>
            <rFont val="Tahoma"/>
            <family val="2"/>
          </rPr>
          <t xml:space="preserve">
проверити збир!
</t>
        </r>
      </text>
    </comment>
    <comment ref="I1708" authorId="0">
      <text>
        <r>
          <rPr>
            <b/>
            <sz val="9"/>
            <color indexed="81"/>
            <rFont val="Tahoma"/>
            <family val="2"/>
          </rPr>
          <t>LPA:</t>
        </r>
        <r>
          <rPr>
            <sz val="9"/>
            <color indexed="81"/>
            <rFont val="Tahoma"/>
            <family val="2"/>
          </rPr>
          <t xml:space="preserve">
проверити збир!
</t>
        </r>
      </text>
    </comment>
    <comment ref="I1709" authorId="0">
      <text>
        <r>
          <rPr>
            <b/>
            <sz val="9"/>
            <color indexed="81"/>
            <rFont val="Tahoma"/>
            <family val="2"/>
          </rPr>
          <t>LPA:</t>
        </r>
        <r>
          <rPr>
            <sz val="9"/>
            <color indexed="81"/>
            <rFont val="Tahoma"/>
            <family val="2"/>
          </rPr>
          <t xml:space="preserve">
проверити збир!
</t>
        </r>
      </text>
    </comment>
    <comment ref="I1710" authorId="0">
      <text>
        <r>
          <rPr>
            <b/>
            <sz val="9"/>
            <color indexed="81"/>
            <rFont val="Tahoma"/>
            <family val="2"/>
          </rPr>
          <t>LPA:</t>
        </r>
        <r>
          <rPr>
            <sz val="9"/>
            <color indexed="81"/>
            <rFont val="Tahoma"/>
            <family val="2"/>
          </rPr>
          <t xml:space="preserve">
проверити збир!
</t>
        </r>
      </text>
    </comment>
    <comment ref="I1779" authorId="0">
      <text>
        <r>
          <rPr>
            <b/>
            <sz val="9"/>
            <color indexed="81"/>
            <rFont val="Tahoma"/>
            <family val="2"/>
          </rPr>
          <t>LPA:</t>
        </r>
        <r>
          <rPr>
            <sz val="9"/>
            <color indexed="81"/>
            <rFont val="Tahoma"/>
            <family val="2"/>
          </rPr>
          <t xml:space="preserve">
проверити збир!
</t>
        </r>
      </text>
    </comment>
    <comment ref="I1780" authorId="0">
      <text>
        <r>
          <rPr>
            <b/>
            <sz val="9"/>
            <color indexed="81"/>
            <rFont val="Tahoma"/>
            <family val="2"/>
          </rPr>
          <t>LPA:</t>
        </r>
        <r>
          <rPr>
            <sz val="9"/>
            <color indexed="81"/>
            <rFont val="Tahoma"/>
            <family val="2"/>
          </rPr>
          <t xml:space="preserve">
проверити збир!
</t>
        </r>
      </text>
    </comment>
    <comment ref="I1781" authorId="0">
      <text>
        <r>
          <rPr>
            <b/>
            <sz val="9"/>
            <color indexed="81"/>
            <rFont val="Tahoma"/>
            <family val="2"/>
          </rPr>
          <t>LPA:</t>
        </r>
        <r>
          <rPr>
            <sz val="9"/>
            <color indexed="81"/>
            <rFont val="Tahoma"/>
            <family val="2"/>
          </rPr>
          <t xml:space="preserve">
проверити збир!
</t>
        </r>
      </text>
    </comment>
    <comment ref="I1782" authorId="0">
      <text>
        <r>
          <rPr>
            <b/>
            <sz val="9"/>
            <color indexed="81"/>
            <rFont val="Tahoma"/>
            <family val="2"/>
          </rPr>
          <t>LPA:</t>
        </r>
        <r>
          <rPr>
            <sz val="9"/>
            <color indexed="81"/>
            <rFont val="Tahoma"/>
            <family val="2"/>
          </rPr>
          <t xml:space="preserve">
проверити збир!
</t>
        </r>
      </text>
    </comment>
    <comment ref="I1783" authorId="0">
      <text>
        <r>
          <rPr>
            <b/>
            <sz val="9"/>
            <color indexed="81"/>
            <rFont val="Tahoma"/>
            <family val="2"/>
          </rPr>
          <t>LPA:</t>
        </r>
        <r>
          <rPr>
            <sz val="9"/>
            <color indexed="81"/>
            <rFont val="Tahoma"/>
            <family val="2"/>
          </rPr>
          <t xml:space="preserve">
проверити збир!
</t>
        </r>
      </text>
    </comment>
    <comment ref="I1784" authorId="0">
      <text>
        <r>
          <rPr>
            <b/>
            <sz val="9"/>
            <color indexed="81"/>
            <rFont val="Tahoma"/>
            <family val="2"/>
          </rPr>
          <t>LPA:</t>
        </r>
        <r>
          <rPr>
            <sz val="9"/>
            <color indexed="81"/>
            <rFont val="Tahoma"/>
            <family val="2"/>
          </rPr>
          <t xml:space="preserve">
проверити збир!
</t>
        </r>
      </text>
    </comment>
    <comment ref="I1785" authorId="0">
      <text>
        <r>
          <rPr>
            <b/>
            <sz val="9"/>
            <color indexed="81"/>
            <rFont val="Tahoma"/>
            <family val="2"/>
          </rPr>
          <t>LPA:</t>
        </r>
        <r>
          <rPr>
            <sz val="9"/>
            <color indexed="81"/>
            <rFont val="Tahoma"/>
            <family val="2"/>
          </rPr>
          <t xml:space="preserve">
проверити збир!
</t>
        </r>
      </text>
    </comment>
    <comment ref="I1786" authorId="0">
      <text>
        <r>
          <rPr>
            <b/>
            <sz val="9"/>
            <color indexed="81"/>
            <rFont val="Tahoma"/>
            <family val="2"/>
          </rPr>
          <t>LPA:</t>
        </r>
        <r>
          <rPr>
            <sz val="9"/>
            <color indexed="81"/>
            <rFont val="Tahoma"/>
            <family val="2"/>
          </rPr>
          <t xml:space="preserve">
проверити збир!
</t>
        </r>
      </text>
    </comment>
    <comment ref="I1787" authorId="0">
      <text>
        <r>
          <rPr>
            <b/>
            <sz val="9"/>
            <color indexed="81"/>
            <rFont val="Tahoma"/>
            <family val="2"/>
          </rPr>
          <t>LPA:</t>
        </r>
        <r>
          <rPr>
            <sz val="9"/>
            <color indexed="81"/>
            <rFont val="Tahoma"/>
            <family val="2"/>
          </rPr>
          <t xml:space="preserve">
проверити збир!
</t>
        </r>
      </text>
    </comment>
    <comment ref="I1788" authorId="0">
      <text>
        <r>
          <rPr>
            <b/>
            <sz val="9"/>
            <color indexed="81"/>
            <rFont val="Tahoma"/>
            <family val="2"/>
          </rPr>
          <t>LPA:</t>
        </r>
        <r>
          <rPr>
            <sz val="9"/>
            <color indexed="81"/>
            <rFont val="Tahoma"/>
            <family val="2"/>
          </rPr>
          <t xml:space="preserve">
проверити збир!
</t>
        </r>
      </text>
    </comment>
    <comment ref="I1789" authorId="0">
      <text>
        <r>
          <rPr>
            <b/>
            <sz val="9"/>
            <color indexed="81"/>
            <rFont val="Tahoma"/>
            <family val="2"/>
          </rPr>
          <t>LPA:</t>
        </r>
        <r>
          <rPr>
            <sz val="9"/>
            <color indexed="81"/>
            <rFont val="Tahoma"/>
            <family val="2"/>
          </rPr>
          <t xml:space="preserve">
проверити збир!
</t>
        </r>
      </text>
    </comment>
    <comment ref="I1790" authorId="0">
      <text>
        <r>
          <rPr>
            <b/>
            <sz val="9"/>
            <color indexed="81"/>
            <rFont val="Tahoma"/>
            <family val="2"/>
          </rPr>
          <t>LPA:</t>
        </r>
        <r>
          <rPr>
            <sz val="9"/>
            <color indexed="81"/>
            <rFont val="Tahoma"/>
            <family val="2"/>
          </rPr>
          <t xml:space="preserve">
проверити збир!
</t>
        </r>
      </text>
    </comment>
    <comment ref="I1791" authorId="0">
      <text>
        <r>
          <rPr>
            <b/>
            <sz val="9"/>
            <color indexed="81"/>
            <rFont val="Tahoma"/>
            <family val="2"/>
          </rPr>
          <t>LPA:</t>
        </r>
        <r>
          <rPr>
            <sz val="9"/>
            <color indexed="81"/>
            <rFont val="Tahoma"/>
            <family val="2"/>
          </rPr>
          <t xml:space="preserve">
проверити збир!
</t>
        </r>
      </text>
    </comment>
    <comment ref="H1794" authorId="0">
      <text>
        <r>
          <rPr>
            <b/>
            <sz val="9"/>
            <color indexed="81"/>
            <rFont val="Tahoma"/>
            <family val="2"/>
          </rPr>
          <t>LPA:</t>
        </r>
        <r>
          <rPr>
            <sz val="9"/>
            <color indexed="81"/>
            <rFont val="Tahoma"/>
            <family val="2"/>
          </rPr>
          <t xml:space="preserve">
проверити збир!</t>
        </r>
      </text>
    </comment>
    <comment ref="I1794" authorId="0">
      <text>
        <r>
          <rPr>
            <b/>
            <sz val="9"/>
            <color indexed="81"/>
            <rFont val="Tahoma"/>
            <family val="2"/>
          </rPr>
          <t>LPA:</t>
        </r>
        <r>
          <rPr>
            <sz val="9"/>
            <color indexed="81"/>
            <rFont val="Tahoma"/>
            <family val="2"/>
          </rPr>
          <t xml:space="preserve">
проверити збир!</t>
        </r>
      </text>
    </comment>
    <comment ref="I1795" authorId="0">
      <text>
        <r>
          <rPr>
            <b/>
            <sz val="9"/>
            <color indexed="81"/>
            <rFont val="Tahoma"/>
            <family val="2"/>
          </rPr>
          <t>LPA:</t>
        </r>
        <r>
          <rPr>
            <sz val="9"/>
            <color indexed="81"/>
            <rFont val="Tahoma"/>
            <family val="2"/>
          </rPr>
          <t xml:space="preserve">
проверити збир!
</t>
        </r>
      </text>
    </comment>
    <comment ref="I1796" authorId="0">
      <text>
        <r>
          <rPr>
            <b/>
            <sz val="9"/>
            <color indexed="81"/>
            <rFont val="Tahoma"/>
            <family val="2"/>
          </rPr>
          <t>LPA:</t>
        </r>
        <r>
          <rPr>
            <sz val="9"/>
            <color indexed="81"/>
            <rFont val="Tahoma"/>
            <family val="2"/>
          </rPr>
          <t xml:space="preserve">
проверити збир!
</t>
        </r>
      </text>
    </comment>
    <comment ref="I1797" authorId="0">
      <text>
        <r>
          <rPr>
            <b/>
            <sz val="9"/>
            <color indexed="81"/>
            <rFont val="Tahoma"/>
            <family val="2"/>
          </rPr>
          <t>LPA:</t>
        </r>
        <r>
          <rPr>
            <sz val="9"/>
            <color indexed="81"/>
            <rFont val="Tahoma"/>
            <family val="2"/>
          </rPr>
          <t xml:space="preserve">
проверити збир!
</t>
        </r>
      </text>
    </comment>
    <comment ref="I1798" authorId="0">
      <text>
        <r>
          <rPr>
            <b/>
            <sz val="9"/>
            <color indexed="81"/>
            <rFont val="Tahoma"/>
            <family val="2"/>
          </rPr>
          <t>LPA:</t>
        </r>
        <r>
          <rPr>
            <sz val="9"/>
            <color indexed="81"/>
            <rFont val="Tahoma"/>
            <family val="2"/>
          </rPr>
          <t xml:space="preserve">
проверити збир!
</t>
        </r>
      </text>
    </comment>
    <comment ref="I1799" authorId="0">
      <text>
        <r>
          <rPr>
            <b/>
            <sz val="9"/>
            <color indexed="81"/>
            <rFont val="Tahoma"/>
            <family val="2"/>
          </rPr>
          <t>LPA:</t>
        </r>
        <r>
          <rPr>
            <sz val="9"/>
            <color indexed="81"/>
            <rFont val="Tahoma"/>
            <family val="2"/>
          </rPr>
          <t xml:space="preserve">
проверити збир!
</t>
        </r>
      </text>
    </comment>
    <comment ref="I1800" authorId="0">
      <text>
        <r>
          <rPr>
            <b/>
            <sz val="9"/>
            <color indexed="81"/>
            <rFont val="Tahoma"/>
            <family val="2"/>
          </rPr>
          <t>LPA:</t>
        </r>
        <r>
          <rPr>
            <sz val="9"/>
            <color indexed="81"/>
            <rFont val="Tahoma"/>
            <family val="2"/>
          </rPr>
          <t xml:space="preserve">
проверити збир!
</t>
        </r>
      </text>
    </comment>
    <comment ref="I1801" authorId="0">
      <text>
        <r>
          <rPr>
            <b/>
            <sz val="9"/>
            <color indexed="81"/>
            <rFont val="Tahoma"/>
            <family val="2"/>
          </rPr>
          <t>LPA:</t>
        </r>
        <r>
          <rPr>
            <sz val="9"/>
            <color indexed="81"/>
            <rFont val="Tahoma"/>
            <family val="2"/>
          </rPr>
          <t xml:space="preserve">
проверити збир!
</t>
        </r>
      </text>
    </comment>
    <comment ref="I1802" authorId="0">
      <text>
        <r>
          <rPr>
            <b/>
            <sz val="9"/>
            <color indexed="81"/>
            <rFont val="Tahoma"/>
            <family val="2"/>
          </rPr>
          <t>LPA:</t>
        </r>
        <r>
          <rPr>
            <sz val="9"/>
            <color indexed="81"/>
            <rFont val="Tahoma"/>
            <family val="2"/>
          </rPr>
          <t xml:space="preserve">
проверити збир!
</t>
        </r>
      </text>
    </comment>
    <comment ref="I1803" authorId="0">
      <text>
        <r>
          <rPr>
            <b/>
            <sz val="9"/>
            <color indexed="81"/>
            <rFont val="Tahoma"/>
            <family val="2"/>
          </rPr>
          <t>LPA:</t>
        </r>
        <r>
          <rPr>
            <sz val="9"/>
            <color indexed="81"/>
            <rFont val="Tahoma"/>
            <family val="2"/>
          </rPr>
          <t xml:space="preserve">
проверити збир!
</t>
        </r>
      </text>
    </comment>
    <comment ref="I1804" authorId="0">
      <text>
        <r>
          <rPr>
            <b/>
            <sz val="9"/>
            <color indexed="81"/>
            <rFont val="Tahoma"/>
            <family val="2"/>
          </rPr>
          <t>LPA:</t>
        </r>
        <r>
          <rPr>
            <sz val="9"/>
            <color indexed="81"/>
            <rFont val="Tahoma"/>
            <family val="2"/>
          </rPr>
          <t xml:space="preserve">
проверити збир!
</t>
        </r>
      </text>
    </comment>
    <comment ref="I1805" authorId="0">
      <text>
        <r>
          <rPr>
            <b/>
            <sz val="9"/>
            <color indexed="81"/>
            <rFont val="Tahoma"/>
            <family val="2"/>
          </rPr>
          <t>LPA:</t>
        </r>
        <r>
          <rPr>
            <sz val="9"/>
            <color indexed="81"/>
            <rFont val="Tahoma"/>
            <family val="2"/>
          </rPr>
          <t xml:space="preserve">
проверити збир!
</t>
        </r>
      </text>
    </comment>
    <comment ref="I1806" authorId="0">
      <text>
        <r>
          <rPr>
            <b/>
            <sz val="9"/>
            <color indexed="81"/>
            <rFont val="Tahoma"/>
            <family val="2"/>
          </rPr>
          <t>LPA:</t>
        </r>
        <r>
          <rPr>
            <sz val="9"/>
            <color indexed="81"/>
            <rFont val="Tahoma"/>
            <family val="2"/>
          </rPr>
          <t xml:space="preserve">
проверити збир!
</t>
        </r>
      </text>
    </comment>
    <comment ref="I1807" authorId="0">
      <text>
        <r>
          <rPr>
            <b/>
            <sz val="9"/>
            <color indexed="81"/>
            <rFont val="Tahoma"/>
            <family val="2"/>
          </rPr>
          <t>LPA:</t>
        </r>
        <r>
          <rPr>
            <sz val="9"/>
            <color indexed="81"/>
            <rFont val="Tahoma"/>
            <family val="2"/>
          </rPr>
          <t xml:space="preserve">
проверити збир!
</t>
        </r>
      </text>
    </comment>
    <comment ref="I1808" authorId="0">
      <text>
        <r>
          <rPr>
            <b/>
            <sz val="9"/>
            <color indexed="81"/>
            <rFont val="Tahoma"/>
            <family val="2"/>
          </rPr>
          <t>LPA:</t>
        </r>
        <r>
          <rPr>
            <sz val="9"/>
            <color indexed="81"/>
            <rFont val="Tahoma"/>
            <family val="2"/>
          </rPr>
          <t xml:space="preserve">
проверити збир!
</t>
        </r>
      </text>
    </comment>
    <comment ref="I1809" authorId="0">
      <text>
        <r>
          <rPr>
            <b/>
            <sz val="9"/>
            <color indexed="81"/>
            <rFont val="Tahoma"/>
            <family val="2"/>
          </rPr>
          <t>LPA:</t>
        </r>
        <r>
          <rPr>
            <sz val="9"/>
            <color indexed="81"/>
            <rFont val="Tahoma"/>
            <family val="2"/>
          </rPr>
          <t xml:space="preserve">
проверити збир!
</t>
        </r>
      </text>
    </comment>
    <comment ref="I1878" authorId="0">
      <text>
        <r>
          <rPr>
            <b/>
            <sz val="9"/>
            <color indexed="81"/>
            <rFont val="Tahoma"/>
            <family val="2"/>
          </rPr>
          <t>LPA:</t>
        </r>
        <r>
          <rPr>
            <sz val="9"/>
            <color indexed="81"/>
            <rFont val="Tahoma"/>
            <family val="2"/>
          </rPr>
          <t xml:space="preserve">
проверити збир!
</t>
        </r>
      </text>
    </comment>
    <comment ref="I1879" authorId="0">
      <text>
        <r>
          <rPr>
            <b/>
            <sz val="9"/>
            <color indexed="81"/>
            <rFont val="Tahoma"/>
            <family val="2"/>
          </rPr>
          <t>LPA:</t>
        </r>
        <r>
          <rPr>
            <sz val="9"/>
            <color indexed="81"/>
            <rFont val="Tahoma"/>
            <family val="2"/>
          </rPr>
          <t xml:space="preserve">
проверити збир!
</t>
        </r>
      </text>
    </comment>
    <comment ref="I1880" authorId="0">
      <text>
        <r>
          <rPr>
            <b/>
            <sz val="9"/>
            <color indexed="81"/>
            <rFont val="Tahoma"/>
            <family val="2"/>
          </rPr>
          <t>LPA:</t>
        </r>
        <r>
          <rPr>
            <sz val="9"/>
            <color indexed="81"/>
            <rFont val="Tahoma"/>
            <family val="2"/>
          </rPr>
          <t xml:space="preserve">
проверити збир!
</t>
        </r>
      </text>
    </comment>
    <comment ref="I1881" authorId="0">
      <text>
        <r>
          <rPr>
            <b/>
            <sz val="9"/>
            <color indexed="81"/>
            <rFont val="Tahoma"/>
            <family val="2"/>
          </rPr>
          <t>LPA:</t>
        </r>
        <r>
          <rPr>
            <sz val="9"/>
            <color indexed="81"/>
            <rFont val="Tahoma"/>
            <family val="2"/>
          </rPr>
          <t xml:space="preserve">
проверити збир!
</t>
        </r>
      </text>
    </comment>
    <comment ref="I1882" authorId="0">
      <text>
        <r>
          <rPr>
            <b/>
            <sz val="9"/>
            <color indexed="81"/>
            <rFont val="Tahoma"/>
            <family val="2"/>
          </rPr>
          <t>LPA:</t>
        </r>
        <r>
          <rPr>
            <sz val="9"/>
            <color indexed="81"/>
            <rFont val="Tahoma"/>
            <family val="2"/>
          </rPr>
          <t xml:space="preserve">
проверити збир!
</t>
        </r>
      </text>
    </comment>
    <comment ref="I1883" authorId="0">
      <text>
        <r>
          <rPr>
            <b/>
            <sz val="9"/>
            <color indexed="81"/>
            <rFont val="Tahoma"/>
            <family val="2"/>
          </rPr>
          <t>LPA:</t>
        </r>
        <r>
          <rPr>
            <sz val="9"/>
            <color indexed="81"/>
            <rFont val="Tahoma"/>
            <family val="2"/>
          </rPr>
          <t xml:space="preserve">
проверити збир!
</t>
        </r>
      </text>
    </comment>
    <comment ref="I1884" authorId="0">
      <text>
        <r>
          <rPr>
            <b/>
            <sz val="9"/>
            <color indexed="81"/>
            <rFont val="Tahoma"/>
            <family val="2"/>
          </rPr>
          <t>LPA:</t>
        </r>
        <r>
          <rPr>
            <sz val="9"/>
            <color indexed="81"/>
            <rFont val="Tahoma"/>
            <family val="2"/>
          </rPr>
          <t xml:space="preserve">
проверити збир!
</t>
        </r>
      </text>
    </comment>
    <comment ref="I1885" authorId="0">
      <text>
        <r>
          <rPr>
            <b/>
            <sz val="9"/>
            <color indexed="81"/>
            <rFont val="Tahoma"/>
            <family val="2"/>
          </rPr>
          <t>LPA:</t>
        </r>
        <r>
          <rPr>
            <sz val="9"/>
            <color indexed="81"/>
            <rFont val="Tahoma"/>
            <family val="2"/>
          </rPr>
          <t xml:space="preserve">
проверити збир!
</t>
        </r>
      </text>
    </comment>
    <comment ref="I1886" authorId="0">
      <text>
        <r>
          <rPr>
            <b/>
            <sz val="9"/>
            <color indexed="81"/>
            <rFont val="Tahoma"/>
            <family val="2"/>
          </rPr>
          <t>LPA:</t>
        </r>
        <r>
          <rPr>
            <sz val="9"/>
            <color indexed="81"/>
            <rFont val="Tahoma"/>
            <family val="2"/>
          </rPr>
          <t xml:space="preserve">
проверити збир!
</t>
        </r>
      </text>
    </comment>
    <comment ref="I1887" authorId="0">
      <text>
        <r>
          <rPr>
            <b/>
            <sz val="9"/>
            <color indexed="81"/>
            <rFont val="Tahoma"/>
            <family val="2"/>
          </rPr>
          <t>LPA:</t>
        </r>
        <r>
          <rPr>
            <sz val="9"/>
            <color indexed="81"/>
            <rFont val="Tahoma"/>
            <family val="2"/>
          </rPr>
          <t xml:space="preserve">
проверити збир!
</t>
        </r>
      </text>
    </comment>
    <comment ref="I1888" authorId="0">
      <text>
        <r>
          <rPr>
            <b/>
            <sz val="9"/>
            <color indexed="81"/>
            <rFont val="Tahoma"/>
            <family val="2"/>
          </rPr>
          <t>LPA:</t>
        </r>
        <r>
          <rPr>
            <sz val="9"/>
            <color indexed="81"/>
            <rFont val="Tahoma"/>
            <family val="2"/>
          </rPr>
          <t xml:space="preserve">
проверити збир!
</t>
        </r>
      </text>
    </comment>
    <comment ref="I1889" authorId="0">
      <text>
        <r>
          <rPr>
            <b/>
            <sz val="9"/>
            <color indexed="81"/>
            <rFont val="Tahoma"/>
            <family val="2"/>
          </rPr>
          <t>LPA:</t>
        </r>
        <r>
          <rPr>
            <sz val="9"/>
            <color indexed="81"/>
            <rFont val="Tahoma"/>
            <family val="2"/>
          </rPr>
          <t xml:space="preserve">
проверити збир!
</t>
        </r>
      </text>
    </comment>
    <comment ref="I1890" authorId="0">
      <text>
        <r>
          <rPr>
            <b/>
            <sz val="9"/>
            <color indexed="81"/>
            <rFont val="Tahoma"/>
            <family val="2"/>
          </rPr>
          <t>LPA:</t>
        </r>
        <r>
          <rPr>
            <sz val="9"/>
            <color indexed="81"/>
            <rFont val="Tahoma"/>
            <family val="2"/>
          </rPr>
          <t xml:space="preserve">
проверити збир!
</t>
        </r>
      </text>
    </comment>
    <comment ref="H1893" authorId="0">
      <text>
        <r>
          <rPr>
            <b/>
            <sz val="9"/>
            <color indexed="81"/>
            <rFont val="Tahoma"/>
            <family val="2"/>
          </rPr>
          <t>LPA:</t>
        </r>
        <r>
          <rPr>
            <sz val="9"/>
            <color indexed="81"/>
            <rFont val="Tahoma"/>
            <family val="2"/>
          </rPr>
          <t xml:space="preserve">
проверити збир!</t>
        </r>
      </text>
    </comment>
    <comment ref="I1893" authorId="0">
      <text>
        <r>
          <rPr>
            <b/>
            <sz val="9"/>
            <color indexed="81"/>
            <rFont val="Tahoma"/>
            <family val="2"/>
          </rPr>
          <t>LPA:</t>
        </r>
        <r>
          <rPr>
            <sz val="9"/>
            <color indexed="81"/>
            <rFont val="Tahoma"/>
            <family val="2"/>
          </rPr>
          <t xml:space="preserve">
проверити збир!</t>
        </r>
      </text>
    </comment>
    <comment ref="I1894" authorId="0">
      <text>
        <r>
          <rPr>
            <b/>
            <sz val="9"/>
            <color indexed="81"/>
            <rFont val="Tahoma"/>
            <family val="2"/>
          </rPr>
          <t>LPA:</t>
        </r>
        <r>
          <rPr>
            <sz val="9"/>
            <color indexed="81"/>
            <rFont val="Tahoma"/>
            <family val="2"/>
          </rPr>
          <t xml:space="preserve">
проверити збир!
</t>
        </r>
      </text>
    </comment>
    <comment ref="I1895" authorId="0">
      <text>
        <r>
          <rPr>
            <b/>
            <sz val="9"/>
            <color indexed="81"/>
            <rFont val="Tahoma"/>
            <family val="2"/>
          </rPr>
          <t>LPA:</t>
        </r>
        <r>
          <rPr>
            <sz val="9"/>
            <color indexed="81"/>
            <rFont val="Tahoma"/>
            <family val="2"/>
          </rPr>
          <t xml:space="preserve">
проверити збир!
</t>
        </r>
      </text>
    </comment>
    <comment ref="I1896" authorId="0">
      <text>
        <r>
          <rPr>
            <b/>
            <sz val="9"/>
            <color indexed="81"/>
            <rFont val="Tahoma"/>
            <family val="2"/>
          </rPr>
          <t>LPA:</t>
        </r>
        <r>
          <rPr>
            <sz val="9"/>
            <color indexed="81"/>
            <rFont val="Tahoma"/>
            <family val="2"/>
          </rPr>
          <t xml:space="preserve">
проверити збир!
</t>
        </r>
      </text>
    </comment>
    <comment ref="I1897" authorId="0">
      <text>
        <r>
          <rPr>
            <b/>
            <sz val="9"/>
            <color indexed="81"/>
            <rFont val="Tahoma"/>
            <family val="2"/>
          </rPr>
          <t>LPA:</t>
        </r>
        <r>
          <rPr>
            <sz val="9"/>
            <color indexed="81"/>
            <rFont val="Tahoma"/>
            <family val="2"/>
          </rPr>
          <t xml:space="preserve">
проверити збир!
</t>
        </r>
      </text>
    </comment>
    <comment ref="I1898" authorId="0">
      <text>
        <r>
          <rPr>
            <b/>
            <sz val="9"/>
            <color indexed="81"/>
            <rFont val="Tahoma"/>
            <family val="2"/>
          </rPr>
          <t>LPA:</t>
        </r>
        <r>
          <rPr>
            <sz val="9"/>
            <color indexed="81"/>
            <rFont val="Tahoma"/>
            <family val="2"/>
          </rPr>
          <t xml:space="preserve">
проверити збир!
</t>
        </r>
      </text>
    </comment>
    <comment ref="I1899" authorId="0">
      <text>
        <r>
          <rPr>
            <b/>
            <sz val="9"/>
            <color indexed="81"/>
            <rFont val="Tahoma"/>
            <family val="2"/>
          </rPr>
          <t>LPA:</t>
        </r>
        <r>
          <rPr>
            <sz val="9"/>
            <color indexed="81"/>
            <rFont val="Tahoma"/>
            <family val="2"/>
          </rPr>
          <t xml:space="preserve">
проверити збир!
</t>
        </r>
      </text>
    </comment>
    <comment ref="I1900" authorId="0">
      <text>
        <r>
          <rPr>
            <b/>
            <sz val="9"/>
            <color indexed="81"/>
            <rFont val="Tahoma"/>
            <family val="2"/>
          </rPr>
          <t>LPA:</t>
        </r>
        <r>
          <rPr>
            <sz val="9"/>
            <color indexed="81"/>
            <rFont val="Tahoma"/>
            <family val="2"/>
          </rPr>
          <t xml:space="preserve">
проверити збир!
</t>
        </r>
      </text>
    </comment>
    <comment ref="I1901" authorId="0">
      <text>
        <r>
          <rPr>
            <b/>
            <sz val="9"/>
            <color indexed="81"/>
            <rFont val="Tahoma"/>
            <family val="2"/>
          </rPr>
          <t>LPA:</t>
        </r>
        <r>
          <rPr>
            <sz val="9"/>
            <color indexed="81"/>
            <rFont val="Tahoma"/>
            <family val="2"/>
          </rPr>
          <t xml:space="preserve">
проверити збир!
</t>
        </r>
      </text>
    </comment>
    <comment ref="I1902" authorId="0">
      <text>
        <r>
          <rPr>
            <b/>
            <sz val="9"/>
            <color indexed="81"/>
            <rFont val="Tahoma"/>
            <family val="2"/>
          </rPr>
          <t>LPA:</t>
        </r>
        <r>
          <rPr>
            <sz val="9"/>
            <color indexed="81"/>
            <rFont val="Tahoma"/>
            <family val="2"/>
          </rPr>
          <t xml:space="preserve">
проверити збир!
</t>
        </r>
      </text>
    </comment>
    <comment ref="I1903" authorId="0">
      <text>
        <r>
          <rPr>
            <b/>
            <sz val="9"/>
            <color indexed="81"/>
            <rFont val="Tahoma"/>
            <family val="2"/>
          </rPr>
          <t>LPA:</t>
        </r>
        <r>
          <rPr>
            <sz val="9"/>
            <color indexed="81"/>
            <rFont val="Tahoma"/>
            <family val="2"/>
          </rPr>
          <t xml:space="preserve">
проверити збир!
</t>
        </r>
      </text>
    </comment>
    <comment ref="I1904" authorId="0">
      <text>
        <r>
          <rPr>
            <b/>
            <sz val="9"/>
            <color indexed="81"/>
            <rFont val="Tahoma"/>
            <family val="2"/>
          </rPr>
          <t>LPA:</t>
        </r>
        <r>
          <rPr>
            <sz val="9"/>
            <color indexed="81"/>
            <rFont val="Tahoma"/>
            <family val="2"/>
          </rPr>
          <t xml:space="preserve">
проверити збир!
</t>
        </r>
      </text>
    </comment>
    <comment ref="I1905" authorId="0">
      <text>
        <r>
          <rPr>
            <b/>
            <sz val="9"/>
            <color indexed="81"/>
            <rFont val="Tahoma"/>
            <family val="2"/>
          </rPr>
          <t>LPA:</t>
        </r>
        <r>
          <rPr>
            <sz val="9"/>
            <color indexed="81"/>
            <rFont val="Tahoma"/>
            <family val="2"/>
          </rPr>
          <t xml:space="preserve">
проверити збир!
</t>
        </r>
      </text>
    </comment>
    <comment ref="I1906" authorId="0">
      <text>
        <r>
          <rPr>
            <b/>
            <sz val="9"/>
            <color indexed="81"/>
            <rFont val="Tahoma"/>
            <family val="2"/>
          </rPr>
          <t>LPA:</t>
        </r>
        <r>
          <rPr>
            <sz val="9"/>
            <color indexed="81"/>
            <rFont val="Tahoma"/>
            <family val="2"/>
          </rPr>
          <t xml:space="preserve">
проверити збир!
</t>
        </r>
      </text>
    </comment>
    <comment ref="I1907" authorId="0">
      <text>
        <r>
          <rPr>
            <b/>
            <sz val="9"/>
            <color indexed="81"/>
            <rFont val="Tahoma"/>
            <family val="2"/>
          </rPr>
          <t>LPA:</t>
        </r>
        <r>
          <rPr>
            <sz val="9"/>
            <color indexed="81"/>
            <rFont val="Tahoma"/>
            <family val="2"/>
          </rPr>
          <t xml:space="preserve">
проверити збир!
</t>
        </r>
      </text>
    </comment>
    <comment ref="I1908" authorId="0">
      <text>
        <r>
          <rPr>
            <b/>
            <sz val="9"/>
            <color indexed="81"/>
            <rFont val="Tahoma"/>
            <family val="2"/>
          </rPr>
          <t>LPA:</t>
        </r>
        <r>
          <rPr>
            <sz val="9"/>
            <color indexed="81"/>
            <rFont val="Tahoma"/>
            <family val="2"/>
          </rPr>
          <t xml:space="preserve">
проверити збир!
</t>
        </r>
      </text>
    </comment>
    <comment ref="I1977" authorId="0">
      <text>
        <r>
          <rPr>
            <b/>
            <sz val="9"/>
            <color indexed="81"/>
            <rFont val="Tahoma"/>
            <family val="2"/>
          </rPr>
          <t>LPA:</t>
        </r>
        <r>
          <rPr>
            <sz val="9"/>
            <color indexed="81"/>
            <rFont val="Tahoma"/>
            <family val="2"/>
          </rPr>
          <t xml:space="preserve">
проверити збир!
</t>
        </r>
      </text>
    </comment>
    <comment ref="I1978" authorId="0">
      <text>
        <r>
          <rPr>
            <b/>
            <sz val="9"/>
            <color indexed="81"/>
            <rFont val="Tahoma"/>
            <family val="2"/>
          </rPr>
          <t>LPA:</t>
        </r>
        <r>
          <rPr>
            <sz val="9"/>
            <color indexed="81"/>
            <rFont val="Tahoma"/>
            <family val="2"/>
          </rPr>
          <t xml:space="preserve">
проверити збир!
</t>
        </r>
      </text>
    </comment>
    <comment ref="I1979" authorId="0">
      <text>
        <r>
          <rPr>
            <b/>
            <sz val="9"/>
            <color indexed="81"/>
            <rFont val="Tahoma"/>
            <family val="2"/>
          </rPr>
          <t>LPA:</t>
        </r>
        <r>
          <rPr>
            <sz val="9"/>
            <color indexed="81"/>
            <rFont val="Tahoma"/>
            <family val="2"/>
          </rPr>
          <t xml:space="preserve">
проверити збир!
</t>
        </r>
      </text>
    </comment>
    <comment ref="I1980" authorId="0">
      <text>
        <r>
          <rPr>
            <b/>
            <sz val="9"/>
            <color indexed="81"/>
            <rFont val="Tahoma"/>
            <family val="2"/>
          </rPr>
          <t>LPA:</t>
        </r>
        <r>
          <rPr>
            <sz val="9"/>
            <color indexed="81"/>
            <rFont val="Tahoma"/>
            <family val="2"/>
          </rPr>
          <t xml:space="preserve">
проверити збир!
</t>
        </r>
      </text>
    </comment>
    <comment ref="I1981" authorId="0">
      <text>
        <r>
          <rPr>
            <b/>
            <sz val="9"/>
            <color indexed="81"/>
            <rFont val="Tahoma"/>
            <family val="2"/>
          </rPr>
          <t>LPA:</t>
        </r>
        <r>
          <rPr>
            <sz val="9"/>
            <color indexed="81"/>
            <rFont val="Tahoma"/>
            <family val="2"/>
          </rPr>
          <t xml:space="preserve">
проверити збир!
</t>
        </r>
      </text>
    </comment>
    <comment ref="I1982" authorId="0">
      <text>
        <r>
          <rPr>
            <b/>
            <sz val="9"/>
            <color indexed="81"/>
            <rFont val="Tahoma"/>
            <family val="2"/>
          </rPr>
          <t>LPA:</t>
        </r>
        <r>
          <rPr>
            <sz val="9"/>
            <color indexed="81"/>
            <rFont val="Tahoma"/>
            <family val="2"/>
          </rPr>
          <t xml:space="preserve">
проверити збир!
</t>
        </r>
      </text>
    </comment>
    <comment ref="I1983" authorId="0">
      <text>
        <r>
          <rPr>
            <b/>
            <sz val="9"/>
            <color indexed="81"/>
            <rFont val="Tahoma"/>
            <family val="2"/>
          </rPr>
          <t>LPA:</t>
        </r>
        <r>
          <rPr>
            <sz val="9"/>
            <color indexed="81"/>
            <rFont val="Tahoma"/>
            <family val="2"/>
          </rPr>
          <t xml:space="preserve">
проверити збир!
</t>
        </r>
      </text>
    </comment>
    <comment ref="I1984" authorId="0">
      <text>
        <r>
          <rPr>
            <b/>
            <sz val="9"/>
            <color indexed="81"/>
            <rFont val="Tahoma"/>
            <family val="2"/>
          </rPr>
          <t>LPA:</t>
        </r>
        <r>
          <rPr>
            <sz val="9"/>
            <color indexed="81"/>
            <rFont val="Tahoma"/>
            <family val="2"/>
          </rPr>
          <t xml:space="preserve">
проверити збир!
</t>
        </r>
      </text>
    </comment>
    <comment ref="I1985" authorId="0">
      <text>
        <r>
          <rPr>
            <b/>
            <sz val="9"/>
            <color indexed="81"/>
            <rFont val="Tahoma"/>
            <family val="2"/>
          </rPr>
          <t>LPA:</t>
        </r>
        <r>
          <rPr>
            <sz val="9"/>
            <color indexed="81"/>
            <rFont val="Tahoma"/>
            <family val="2"/>
          </rPr>
          <t xml:space="preserve">
проверити збир!
</t>
        </r>
      </text>
    </comment>
    <comment ref="I1986" authorId="0">
      <text>
        <r>
          <rPr>
            <b/>
            <sz val="9"/>
            <color indexed="81"/>
            <rFont val="Tahoma"/>
            <family val="2"/>
          </rPr>
          <t>LPA:</t>
        </r>
        <r>
          <rPr>
            <sz val="9"/>
            <color indexed="81"/>
            <rFont val="Tahoma"/>
            <family val="2"/>
          </rPr>
          <t xml:space="preserve">
проверити збир!
</t>
        </r>
      </text>
    </comment>
    <comment ref="I1987" authorId="0">
      <text>
        <r>
          <rPr>
            <b/>
            <sz val="9"/>
            <color indexed="81"/>
            <rFont val="Tahoma"/>
            <family val="2"/>
          </rPr>
          <t>LPA:</t>
        </r>
        <r>
          <rPr>
            <sz val="9"/>
            <color indexed="81"/>
            <rFont val="Tahoma"/>
            <family val="2"/>
          </rPr>
          <t xml:space="preserve">
проверити збир!
</t>
        </r>
      </text>
    </comment>
    <comment ref="I1988" authorId="0">
      <text>
        <r>
          <rPr>
            <b/>
            <sz val="9"/>
            <color indexed="81"/>
            <rFont val="Tahoma"/>
            <family val="2"/>
          </rPr>
          <t>LPA:</t>
        </r>
        <r>
          <rPr>
            <sz val="9"/>
            <color indexed="81"/>
            <rFont val="Tahoma"/>
            <family val="2"/>
          </rPr>
          <t xml:space="preserve">
проверити збир!
</t>
        </r>
      </text>
    </comment>
    <comment ref="I1989" authorId="0">
      <text>
        <r>
          <rPr>
            <b/>
            <sz val="9"/>
            <color indexed="81"/>
            <rFont val="Tahoma"/>
            <family val="2"/>
          </rPr>
          <t>LPA:</t>
        </r>
        <r>
          <rPr>
            <sz val="9"/>
            <color indexed="81"/>
            <rFont val="Tahoma"/>
            <family val="2"/>
          </rPr>
          <t xml:space="preserve">
проверити збир!
</t>
        </r>
      </text>
    </comment>
    <comment ref="H1992" authorId="0">
      <text>
        <r>
          <rPr>
            <b/>
            <sz val="9"/>
            <color indexed="81"/>
            <rFont val="Tahoma"/>
            <family val="2"/>
          </rPr>
          <t>LPA:</t>
        </r>
        <r>
          <rPr>
            <sz val="9"/>
            <color indexed="81"/>
            <rFont val="Tahoma"/>
            <family val="2"/>
          </rPr>
          <t xml:space="preserve">
проверити збир!</t>
        </r>
      </text>
    </comment>
    <comment ref="I1992" authorId="0">
      <text>
        <r>
          <rPr>
            <b/>
            <sz val="9"/>
            <color indexed="81"/>
            <rFont val="Tahoma"/>
            <family val="2"/>
          </rPr>
          <t>LPA:</t>
        </r>
        <r>
          <rPr>
            <sz val="9"/>
            <color indexed="81"/>
            <rFont val="Tahoma"/>
            <family val="2"/>
          </rPr>
          <t xml:space="preserve">
проверити збир!</t>
        </r>
      </text>
    </comment>
    <comment ref="I1993" authorId="0">
      <text>
        <r>
          <rPr>
            <b/>
            <sz val="9"/>
            <color indexed="81"/>
            <rFont val="Tahoma"/>
            <family val="2"/>
          </rPr>
          <t>LPA:</t>
        </r>
        <r>
          <rPr>
            <sz val="9"/>
            <color indexed="81"/>
            <rFont val="Tahoma"/>
            <family val="2"/>
          </rPr>
          <t xml:space="preserve">
проверити збир!
</t>
        </r>
      </text>
    </comment>
    <comment ref="I1994" authorId="0">
      <text>
        <r>
          <rPr>
            <b/>
            <sz val="9"/>
            <color indexed="81"/>
            <rFont val="Tahoma"/>
            <family val="2"/>
          </rPr>
          <t>LPA:</t>
        </r>
        <r>
          <rPr>
            <sz val="9"/>
            <color indexed="81"/>
            <rFont val="Tahoma"/>
            <family val="2"/>
          </rPr>
          <t xml:space="preserve">
проверити збир!
</t>
        </r>
      </text>
    </comment>
    <comment ref="I1995" authorId="0">
      <text>
        <r>
          <rPr>
            <b/>
            <sz val="9"/>
            <color indexed="81"/>
            <rFont val="Tahoma"/>
            <family val="2"/>
          </rPr>
          <t>LPA:</t>
        </r>
        <r>
          <rPr>
            <sz val="9"/>
            <color indexed="81"/>
            <rFont val="Tahoma"/>
            <family val="2"/>
          </rPr>
          <t xml:space="preserve">
проверити збир!
</t>
        </r>
      </text>
    </comment>
    <comment ref="I1996" authorId="0">
      <text>
        <r>
          <rPr>
            <b/>
            <sz val="9"/>
            <color indexed="81"/>
            <rFont val="Tahoma"/>
            <family val="2"/>
          </rPr>
          <t>LPA:</t>
        </r>
        <r>
          <rPr>
            <sz val="9"/>
            <color indexed="81"/>
            <rFont val="Tahoma"/>
            <family val="2"/>
          </rPr>
          <t xml:space="preserve">
проверити збир!
</t>
        </r>
      </text>
    </comment>
    <comment ref="I1997" authorId="0">
      <text>
        <r>
          <rPr>
            <b/>
            <sz val="9"/>
            <color indexed="81"/>
            <rFont val="Tahoma"/>
            <family val="2"/>
          </rPr>
          <t>LPA:</t>
        </r>
        <r>
          <rPr>
            <sz val="9"/>
            <color indexed="81"/>
            <rFont val="Tahoma"/>
            <family val="2"/>
          </rPr>
          <t xml:space="preserve">
проверити збир!
</t>
        </r>
      </text>
    </comment>
    <comment ref="I1998" authorId="0">
      <text>
        <r>
          <rPr>
            <b/>
            <sz val="9"/>
            <color indexed="81"/>
            <rFont val="Tahoma"/>
            <family val="2"/>
          </rPr>
          <t>LPA:</t>
        </r>
        <r>
          <rPr>
            <sz val="9"/>
            <color indexed="81"/>
            <rFont val="Tahoma"/>
            <family val="2"/>
          </rPr>
          <t xml:space="preserve">
проверити збир!
</t>
        </r>
      </text>
    </comment>
    <comment ref="I1999" authorId="0">
      <text>
        <r>
          <rPr>
            <b/>
            <sz val="9"/>
            <color indexed="81"/>
            <rFont val="Tahoma"/>
            <family val="2"/>
          </rPr>
          <t>LPA:</t>
        </r>
        <r>
          <rPr>
            <sz val="9"/>
            <color indexed="81"/>
            <rFont val="Tahoma"/>
            <family val="2"/>
          </rPr>
          <t xml:space="preserve">
проверити збир!
</t>
        </r>
      </text>
    </comment>
    <comment ref="I2000" authorId="0">
      <text>
        <r>
          <rPr>
            <b/>
            <sz val="9"/>
            <color indexed="81"/>
            <rFont val="Tahoma"/>
            <family val="2"/>
          </rPr>
          <t>LPA:</t>
        </r>
        <r>
          <rPr>
            <sz val="9"/>
            <color indexed="81"/>
            <rFont val="Tahoma"/>
            <family val="2"/>
          </rPr>
          <t xml:space="preserve">
проверити збир!
</t>
        </r>
      </text>
    </comment>
    <comment ref="I2001" authorId="0">
      <text>
        <r>
          <rPr>
            <b/>
            <sz val="9"/>
            <color indexed="81"/>
            <rFont val="Tahoma"/>
            <family val="2"/>
          </rPr>
          <t>LPA:</t>
        </r>
        <r>
          <rPr>
            <sz val="9"/>
            <color indexed="81"/>
            <rFont val="Tahoma"/>
            <family val="2"/>
          </rPr>
          <t xml:space="preserve">
проверити збир!
</t>
        </r>
      </text>
    </comment>
    <comment ref="I2002" authorId="0">
      <text>
        <r>
          <rPr>
            <b/>
            <sz val="9"/>
            <color indexed="81"/>
            <rFont val="Tahoma"/>
            <family val="2"/>
          </rPr>
          <t>LPA:</t>
        </r>
        <r>
          <rPr>
            <sz val="9"/>
            <color indexed="81"/>
            <rFont val="Tahoma"/>
            <family val="2"/>
          </rPr>
          <t xml:space="preserve">
проверити збир!
</t>
        </r>
      </text>
    </comment>
    <comment ref="I2003" authorId="0">
      <text>
        <r>
          <rPr>
            <b/>
            <sz val="9"/>
            <color indexed="81"/>
            <rFont val="Tahoma"/>
            <family val="2"/>
          </rPr>
          <t>LPA:</t>
        </r>
        <r>
          <rPr>
            <sz val="9"/>
            <color indexed="81"/>
            <rFont val="Tahoma"/>
            <family val="2"/>
          </rPr>
          <t xml:space="preserve">
проверити збир!
</t>
        </r>
      </text>
    </comment>
    <comment ref="I2004" authorId="0">
      <text>
        <r>
          <rPr>
            <b/>
            <sz val="9"/>
            <color indexed="81"/>
            <rFont val="Tahoma"/>
            <family val="2"/>
          </rPr>
          <t>LPA:</t>
        </r>
        <r>
          <rPr>
            <sz val="9"/>
            <color indexed="81"/>
            <rFont val="Tahoma"/>
            <family val="2"/>
          </rPr>
          <t xml:space="preserve">
проверити збир!
</t>
        </r>
      </text>
    </comment>
    <comment ref="I2005" authorId="0">
      <text>
        <r>
          <rPr>
            <b/>
            <sz val="9"/>
            <color indexed="81"/>
            <rFont val="Tahoma"/>
            <family val="2"/>
          </rPr>
          <t>LPA:</t>
        </r>
        <r>
          <rPr>
            <sz val="9"/>
            <color indexed="81"/>
            <rFont val="Tahoma"/>
            <family val="2"/>
          </rPr>
          <t xml:space="preserve">
проверити збир!
</t>
        </r>
      </text>
    </comment>
    <comment ref="I2006" authorId="0">
      <text>
        <r>
          <rPr>
            <b/>
            <sz val="9"/>
            <color indexed="81"/>
            <rFont val="Tahoma"/>
            <family val="2"/>
          </rPr>
          <t>LPA:</t>
        </r>
        <r>
          <rPr>
            <sz val="9"/>
            <color indexed="81"/>
            <rFont val="Tahoma"/>
            <family val="2"/>
          </rPr>
          <t xml:space="preserve">
проверити збир!
</t>
        </r>
      </text>
    </comment>
    <comment ref="I2007" authorId="0">
      <text>
        <r>
          <rPr>
            <b/>
            <sz val="9"/>
            <color indexed="81"/>
            <rFont val="Tahoma"/>
            <family val="2"/>
          </rPr>
          <t>LPA:</t>
        </r>
        <r>
          <rPr>
            <sz val="9"/>
            <color indexed="81"/>
            <rFont val="Tahoma"/>
            <family val="2"/>
          </rPr>
          <t xml:space="preserve">
проверити збир!
</t>
        </r>
      </text>
    </comment>
    <comment ref="I2076" authorId="0">
      <text>
        <r>
          <rPr>
            <b/>
            <sz val="9"/>
            <color indexed="81"/>
            <rFont val="Tahoma"/>
            <family val="2"/>
          </rPr>
          <t>LPA:</t>
        </r>
        <r>
          <rPr>
            <sz val="9"/>
            <color indexed="81"/>
            <rFont val="Tahoma"/>
            <family val="2"/>
          </rPr>
          <t xml:space="preserve">
проверити збир!
</t>
        </r>
      </text>
    </comment>
    <comment ref="I2077" authorId="0">
      <text>
        <r>
          <rPr>
            <b/>
            <sz val="9"/>
            <color indexed="81"/>
            <rFont val="Tahoma"/>
            <family val="2"/>
          </rPr>
          <t>LPA:</t>
        </r>
        <r>
          <rPr>
            <sz val="9"/>
            <color indexed="81"/>
            <rFont val="Tahoma"/>
            <family val="2"/>
          </rPr>
          <t xml:space="preserve">
проверити збир!
</t>
        </r>
      </text>
    </comment>
    <comment ref="I2078" authorId="0">
      <text>
        <r>
          <rPr>
            <b/>
            <sz val="9"/>
            <color indexed="81"/>
            <rFont val="Tahoma"/>
            <family val="2"/>
          </rPr>
          <t>LPA:</t>
        </r>
        <r>
          <rPr>
            <sz val="9"/>
            <color indexed="81"/>
            <rFont val="Tahoma"/>
            <family val="2"/>
          </rPr>
          <t xml:space="preserve">
проверити збир!
</t>
        </r>
      </text>
    </comment>
    <comment ref="I2079" authorId="0">
      <text>
        <r>
          <rPr>
            <b/>
            <sz val="9"/>
            <color indexed="81"/>
            <rFont val="Tahoma"/>
            <family val="2"/>
          </rPr>
          <t>LPA:</t>
        </r>
        <r>
          <rPr>
            <sz val="9"/>
            <color indexed="81"/>
            <rFont val="Tahoma"/>
            <family val="2"/>
          </rPr>
          <t xml:space="preserve">
проверити збир!
</t>
        </r>
      </text>
    </comment>
    <comment ref="I2080" authorId="0">
      <text>
        <r>
          <rPr>
            <b/>
            <sz val="9"/>
            <color indexed="81"/>
            <rFont val="Tahoma"/>
            <family val="2"/>
          </rPr>
          <t>LPA:</t>
        </r>
        <r>
          <rPr>
            <sz val="9"/>
            <color indexed="81"/>
            <rFont val="Tahoma"/>
            <family val="2"/>
          </rPr>
          <t xml:space="preserve">
проверити збир!
</t>
        </r>
      </text>
    </comment>
    <comment ref="I2081" authorId="0">
      <text>
        <r>
          <rPr>
            <b/>
            <sz val="9"/>
            <color indexed="81"/>
            <rFont val="Tahoma"/>
            <family val="2"/>
          </rPr>
          <t>LPA:</t>
        </r>
        <r>
          <rPr>
            <sz val="9"/>
            <color indexed="81"/>
            <rFont val="Tahoma"/>
            <family val="2"/>
          </rPr>
          <t xml:space="preserve">
проверити збир!
</t>
        </r>
      </text>
    </comment>
    <comment ref="I2082" authorId="0">
      <text>
        <r>
          <rPr>
            <b/>
            <sz val="9"/>
            <color indexed="81"/>
            <rFont val="Tahoma"/>
            <family val="2"/>
          </rPr>
          <t>LPA:</t>
        </r>
        <r>
          <rPr>
            <sz val="9"/>
            <color indexed="81"/>
            <rFont val="Tahoma"/>
            <family val="2"/>
          </rPr>
          <t xml:space="preserve">
проверити збир!
</t>
        </r>
      </text>
    </comment>
    <comment ref="I2083" authorId="0">
      <text>
        <r>
          <rPr>
            <b/>
            <sz val="9"/>
            <color indexed="81"/>
            <rFont val="Tahoma"/>
            <family val="2"/>
          </rPr>
          <t>LPA:</t>
        </r>
        <r>
          <rPr>
            <sz val="9"/>
            <color indexed="81"/>
            <rFont val="Tahoma"/>
            <family val="2"/>
          </rPr>
          <t xml:space="preserve">
проверити збир!
</t>
        </r>
      </text>
    </comment>
    <comment ref="I2084" authorId="0">
      <text>
        <r>
          <rPr>
            <b/>
            <sz val="9"/>
            <color indexed="81"/>
            <rFont val="Tahoma"/>
            <family val="2"/>
          </rPr>
          <t>LPA:</t>
        </r>
        <r>
          <rPr>
            <sz val="9"/>
            <color indexed="81"/>
            <rFont val="Tahoma"/>
            <family val="2"/>
          </rPr>
          <t xml:space="preserve">
проверити збир!
</t>
        </r>
      </text>
    </comment>
    <comment ref="I2085" authorId="0">
      <text>
        <r>
          <rPr>
            <b/>
            <sz val="9"/>
            <color indexed="81"/>
            <rFont val="Tahoma"/>
            <family val="2"/>
          </rPr>
          <t>LPA:</t>
        </r>
        <r>
          <rPr>
            <sz val="9"/>
            <color indexed="81"/>
            <rFont val="Tahoma"/>
            <family val="2"/>
          </rPr>
          <t xml:space="preserve">
проверити збир!
</t>
        </r>
      </text>
    </comment>
    <comment ref="I2086" authorId="0">
      <text>
        <r>
          <rPr>
            <b/>
            <sz val="9"/>
            <color indexed="81"/>
            <rFont val="Tahoma"/>
            <family val="2"/>
          </rPr>
          <t>LPA:</t>
        </r>
        <r>
          <rPr>
            <sz val="9"/>
            <color indexed="81"/>
            <rFont val="Tahoma"/>
            <family val="2"/>
          </rPr>
          <t xml:space="preserve">
проверити збир!
</t>
        </r>
      </text>
    </comment>
    <comment ref="I2087" authorId="0">
      <text>
        <r>
          <rPr>
            <b/>
            <sz val="9"/>
            <color indexed="81"/>
            <rFont val="Tahoma"/>
            <family val="2"/>
          </rPr>
          <t>LPA:</t>
        </r>
        <r>
          <rPr>
            <sz val="9"/>
            <color indexed="81"/>
            <rFont val="Tahoma"/>
            <family val="2"/>
          </rPr>
          <t xml:space="preserve">
проверити збир!
</t>
        </r>
      </text>
    </comment>
    <comment ref="I2088" authorId="0">
      <text>
        <r>
          <rPr>
            <b/>
            <sz val="9"/>
            <color indexed="81"/>
            <rFont val="Tahoma"/>
            <family val="2"/>
          </rPr>
          <t>LPA:</t>
        </r>
        <r>
          <rPr>
            <sz val="9"/>
            <color indexed="81"/>
            <rFont val="Tahoma"/>
            <family val="2"/>
          </rPr>
          <t xml:space="preserve">
проверити збир!
</t>
        </r>
      </text>
    </comment>
    <comment ref="H2091" authorId="0">
      <text>
        <r>
          <rPr>
            <b/>
            <sz val="9"/>
            <color indexed="81"/>
            <rFont val="Tahoma"/>
            <family val="2"/>
          </rPr>
          <t>LPA:</t>
        </r>
        <r>
          <rPr>
            <sz val="9"/>
            <color indexed="81"/>
            <rFont val="Tahoma"/>
            <family val="2"/>
          </rPr>
          <t xml:space="preserve">
проверити збир!</t>
        </r>
      </text>
    </comment>
    <comment ref="I2091" authorId="0">
      <text>
        <r>
          <rPr>
            <b/>
            <sz val="9"/>
            <color indexed="81"/>
            <rFont val="Tahoma"/>
            <family val="2"/>
          </rPr>
          <t>LPA:</t>
        </r>
        <r>
          <rPr>
            <sz val="9"/>
            <color indexed="81"/>
            <rFont val="Tahoma"/>
            <family val="2"/>
          </rPr>
          <t xml:space="preserve">
проверити збир!</t>
        </r>
      </text>
    </comment>
    <comment ref="I2092" authorId="0">
      <text>
        <r>
          <rPr>
            <b/>
            <sz val="9"/>
            <color indexed="81"/>
            <rFont val="Tahoma"/>
            <family val="2"/>
          </rPr>
          <t>LPA:</t>
        </r>
        <r>
          <rPr>
            <sz val="9"/>
            <color indexed="81"/>
            <rFont val="Tahoma"/>
            <family val="2"/>
          </rPr>
          <t xml:space="preserve">
проверити збир!
</t>
        </r>
      </text>
    </comment>
    <comment ref="I2093" authorId="0">
      <text>
        <r>
          <rPr>
            <b/>
            <sz val="9"/>
            <color indexed="81"/>
            <rFont val="Tahoma"/>
            <family val="2"/>
          </rPr>
          <t>LPA:</t>
        </r>
        <r>
          <rPr>
            <sz val="9"/>
            <color indexed="81"/>
            <rFont val="Tahoma"/>
            <family val="2"/>
          </rPr>
          <t xml:space="preserve">
проверити збир!
</t>
        </r>
      </text>
    </comment>
    <comment ref="I2094" authorId="0">
      <text>
        <r>
          <rPr>
            <b/>
            <sz val="9"/>
            <color indexed="81"/>
            <rFont val="Tahoma"/>
            <family val="2"/>
          </rPr>
          <t>LPA:</t>
        </r>
        <r>
          <rPr>
            <sz val="9"/>
            <color indexed="81"/>
            <rFont val="Tahoma"/>
            <family val="2"/>
          </rPr>
          <t xml:space="preserve">
проверити збир!
</t>
        </r>
      </text>
    </comment>
    <comment ref="I2095" authorId="0">
      <text>
        <r>
          <rPr>
            <b/>
            <sz val="9"/>
            <color indexed="81"/>
            <rFont val="Tahoma"/>
            <family val="2"/>
          </rPr>
          <t>LPA:</t>
        </r>
        <r>
          <rPr>
            <sz val="9"/>
            <color indexed="81"/>
            <rFont val="Tahoma"/>
            <family val="2"/>
          </rPr>
          <t xml:space="preserve">
проверити збир!
</t>
        </r>
      </text>
    </comment>
    <comment ref="I2096" authorId="0">
      <text>
        <r>
          <rPr>
            <b/>
            <sz val="9"/>
            <color indexed="81"/>
            <rFont val="Tahoma"/>
            <family val="2"/>
          </rPr>
          <t>LPA:</t>
        </r>
        <r>
          <rPr>
            <sz val="9"/>
            <color indexed="81"/>
            <rFont val="Tahoma"/>
            <family val="2"/>
          </rPr>
          <t xml:space="preserve">
проверити збир!
</t>
        </r>
      </text>
    </comment>
    <comment ref="I2097" authorId="0">
      <text>
        <r>
          <rPr>
            <b/>
            <sz val="9"/>
            <color indexed="81"/>
            <rFont val="Tahoma"/>
            <family val="2"/>
          </rPr>
          <t>LPA:</t>
        </r>
        <r>
          <rPr>
            <sz val="9"/>
            <color indexed="81"/>
            <rFont val="Tahoma"/>
            <family val="2"/>
          </rPr>
          <t xml:space="preserve">
проверити збир!
</t>
        </r>
      </text>
    </comment>
    <comment ref="I2098" authorId="0">
      <text>
        <r>
          <rPr>
            <b/>
            <sz val="9"/>
            <color indexed="81"/>
            <rFont val="Tahoma"/>
            <family val="2"/>
          </rPr>
          <t>LPA:</t>
        </r>
        <r>
          <rPr>
            <sz val="9"/>
            <color indexed="81"/>
            <rFont val="Tahoma"/>
            <family val="2"/>
          </rPr>
          <t xml:space="preserve">
проверити збир!
</t>
        </r>
      </text>
    </comment>
    <comment ref="I2099" authorId="0">
      <text>
        <r>
          <rPr>
            <b/>
            <sz val="9"/>
            <color indexed="81"/>
            <rFont val="Tahoma"/>
            <family val="2"/>
          </rPr>
          <t>LPA:</t>
        </r>
        <r>
          <rPr>
            <sz val="9"/>
            <color indexed="81"/>
            <rFont val="Tahoma"/>
            <family val="2"/>
          </rPr>
          <t xml:space="preserve">
проверити збир!
</t>
        </r>
      </text>
    </comment>
    <comment ref="I2100" authorId="0">
      <text>
        <r>
          <rPr>
            <b/>
            <sz val="9"/>
            <color indexed="81"/>
            <rFont val="Tahoma"/>
            <family val="2"/>
          </rPr>
          <t>LPA:</t>
        </r>
        <r>
          <rPr>
            <sz val="9"/>
            <color indexed="81"/>
            <rFont val="Tahoma"/>
            <family val="2"/>
          </rPr>
          <t xml:space="preserve">
проверити збир!
</t>
        </r>
      </text>
    </comment>
    <comment ref="I2101" authorId="0">
      <text>
        <r>
          <rPr>
            <b/>
            <sz val="9"/>
            <color indexed="81"/>
            <rFont val="Tahoma"/>
            <family val="2"/>
          </rPr>
          <t>LPA:</t>
        </r>
        <r>
          <rPr>
            <sz val="9"/>
            <color indexed="81"/>
            <rFont val="Tahoma"/>
            <family val="2"/>
          </rPr>
          <t xml:space="preserve">
проверити збир!
</t>
        </r>
      </text>
    </comment>
    <comment ref="I2102" authorId="0">
      <text>
        <r>
          <rPr>
            <b/>
            <sz val="9"/>
            <color indexed="81"/>
            <rFont val="Tahoma"/>
            <family val="2"/>
          </rPr>
          <t>LPA:</t>
        </r>
        <r>
          <rPr>
            <sz val="9"/>
            <color indexed="81"/>
            <rFont val="Tahoma"/>
            <family val="2"/>
          </rPr>
          <t xml:space="preserve">
проверити збир!
</t>
        </r>
      </text>
    </comment>
    <comment ref="I2103" authorId="0">
      <text>
        <r>
          <rPr>
            <b/>
            <sz val="9"/>
            <color indexed="81"/>
            <rFont val="Tahoma"/>
            <family val="2"/>
          </rPr>
          <t>LPA:</t>
        </r>
        <r>
          <rPr>
            <sz val="9"/>
            <color indexed="81"/>
            <rFont val="Tahoma"/>
            <family val="2"/>
          </rPr>
          <t xml:space="preserve">
проверити збир!
</t>
        </r>
      </text>
    </comment>
    <comment ref="I2104" authorId="0">
      <text>
        <r>
          <rPr>
            <b/>
            <sz val="9"/>
            <color indexed="81"/>
            <rFont val="Tahoma"/>
            <family val="2"/>
          </rPr>
          <t>LPA:</t>
        </r>
        <r>
          <rPr>
            <sz val="9"/>
            <color indexed="81"/>
            <rFont val="Tahoma"/>
            <family val="2"/>
          </rPr>
          <t xml:space="preserve">
проверити збир!
</t>
        </r>
      </text>
    </comment>
    <comment ref="I2105" authorId="0">
      <text>
        <r>
          <rPr>
            <b/>
            <sz val="9"/>
            <color indexed="81"/>
            <rFont val="Tahoma"/>
            <family val="2"/>
          </rPr>
          <t>LPA:</t>
        </r>
        <r>
          <rPr>
            <sz val="9"/>
            <color indexed="81"/>
            <rFont val="Tahoma"/>
            <family val="2"/>
          </rPr>
          <t xml:space="preserve">
проверити збир!
</t>
        </r>
      </text>
    </comment>
    <comment ref="I2106" authorId="0">
      <text>
        <r>
          <rPr>
            <b/>
            <sz val="9"/>
            <color indexed="81"/>
            <rFont val="Tahoma"/>
            <family val="2"/>
          </rPr>
          <t>LPA:</t>
        </r>
        <r>
          <rPr>
            <sz val="9"/>
            <color indexed="81"/>
            <rFont val="Tahoma"/>
            <family val="2"/>
          </rPr>
          <t xml:space="preserve">
проверити збир!
</t>
        </r>
      </text>
    </comment>
    <comment ref="I2175" authorId="0">
      <text>
        <r>
          <rPr>
            <b/>
            <sz val="9"/>
            <color indexed="81"/>
            <rFont val="Tahoma"/>
            <family val="2"/>
          </rPr>
          <t>LPA:</t>
        </r>
        <r>
          <rPr>
            <sz val="9"/>
            <color indexed="81"/>
            <rFont val="Tahoma"/>
            <family val="2"/>
          </rPr>
          <t xml:space="preserve">
проверити збир!
</t>
        </r>
      </text>
    </comment>
    <comment ref="I2176" authorId="0">
      <text>
        <r>
          <rPr>
            <b/>
            <sz val="9"/>
            <color indexed="81"/>
            <rFont val="Tahoma"/>
            <family val="2"/>
          </rPr>
          <t>LPA:</t>
        </r>
        <r>
          <rPr>
            <sz val="9"/>
            <color indexed="81"/>
            <rFont val="Tahoma"/>
            <family val="2"/>
          </rPr>
          <t xml:space="preserve">
проверити збир!
</t>
        </r>
      </text>
    </comment>
    <comment ref="I2177" authorId="0">
      <text>
        <r>
          <rPr>
            <b/>
            <sz val="9"/>
            <color indexed="81"/>
            <rFont val="Tahoma"/>
            <family val="2"/>
          </rPr>
          <t>LPA:</t>
        </r>
        <r>
          <rPr>
            <sz val="9"/>
            <color indexed="81"/>
            <rFont val="Tahoma"/>
            <family val="2"/>
          </rPr>
          <t xml:space="preserve">
проверити збир!
</t>
        </r>
      </text>
    </comment>
    <comment ref="I2178" authorId="0">
      <text>
        <r>
          <rPr>
            <b/>
            <sz val="9"/>
            <color indexed="81"/>
            <rFont val="Tahoma"/>
            <family val="2"/>
          </rPr>
          <t>LPA:</t>
        </r>
        <r>
          <rPr>
            <sz val="9"/>
            <color indexed="81"/>
            <rFont val="Tahoma"/>
            <family val="2"/>
          </rPr>
          <t xml:space="preserve">
проверити збир!
</t>
        </r>
      </text>
    </comment>
    <comment ref="I2179" authorId="0">
      <text>
        <r>
          <rPr>
            <b/>
            <sz val="9"/>
            <color indexed="81"/>
            <rFont val="Tahoma"/>
            <family val="2"/>
          </rPr>
          <t>LPA:</t>
        </r>
        <r>
          <rPr>
            <sz val="9"/>
            <color indexed="81"/>
            <rFont val="Tahoma"/>
            <family val="2"/>
          </rPr>
          <t xml:space="preserve">
проверити збир!
</t>
        </r>
      </text>
    </comment>
    <comment ref="I2180" authorId="0">
      <text>
        <r>
          <rPr>
            <b/>
            <sz val="9"/>
            <color indexed="81"/>
            <rFont val="Tahoma"/>
            <family val="2"/>
          </rPr>
          <t>LPA:</t>
        </r>
        <r>
          <rPr>
            <sz val="9"/>
            <color indexed="81"/>
            <rFont val="Tahoma"/>
            <family val="2"/>
          </rPr>
          <t xml:space="preserve">
проверити збир!
</t>
        </r>
      </text>
    </comment>
    <comment ref="I2181" authorId="0">
      <text>
        <r>
          <rPr>
            <b/>
            <sz val="9"/>
            <color indexed="81"/>
            <rFont val="Tahoma"/>
            <family val="2"/>
          </rPr>
          <t>LPA:</t>
        </r>
        <r>
          <rPr>
            <sz val="9"/>
            <color indexed="81"/>
            <rFont val="Tahoma"/>
            <family val="2"/>
          </rPr>
          <t xml:space="preserve">
проверити збир!
</t>
        </r>
      </text>
    </comment>
    <comment ref="I2182" authorId="0">
      <text>
        <r>
          <rPr>
            <b/>
            <sz val="9"/>
            <color indexed="81"/>
            <rFont val="Tahoma"/>
            <family val="2"/>
          </rPr>
          <t>LPA:</t>
        </r>
        <r>
          <rPr>
            <sz val="9"/>
            <color indexed="81"/>
            <rFont val="Tahoma"/>
            <family val="2"/>
          </rPr>
          <t xml:space="preserve">
проверити збир!
</t>
        </r>
      </text>
    </comment>
    <comment ref="I2183" authorId="0">
      <text>
        <r>
          <rPr>
            <b/>
            <sz val="9"/>
            <color indexed="81"/>
            <rFont val="Tahoma"/>
            <family val="2"/>
          </rPr>
          <t>LPA:</t>
        </r>
        <r>
          <rPr>
            <sz val="9"/>
            <color indexed="81"/>
            <rFont val="Tahoma"/>
            <family val="2"/>
          </rPr>
          <t xml:space="preserve">
проверити збир!
</t>
        </r>
      </text>
    </comment>
    <comment ref="I2184" authorId="0">
      <text>
        <r>
          <rPr>
            <b/>
            <sz val="9"/>
            <color indexed="81"/>
            <rFont val="Tahoma"/>
            <family val="2"/>
          </rPr>
          <t>LPA:</t>
        </r>
        <r>
          <rPr>
            <sz val="9"/>
            <color indexed="81"/>
            <rFont val="Tahoma"/>
            <family val="2"/>
          </rPr>
          <t xml:space="preserve">
проверити збир!
</t>
        </r>
      </text>
    </comment>
    <comment ref="I2185" authorId="0">
      <text>
        <r>
          <rPr>
            <b/>
            <sz val="9"/>
            <color indexed="81"/>
            <rFont val="Tahoma"/>
            <family val="2"/>
          </rPr>
          <t>LPA:</t>
        </r>
        <r>
          <rPr>
            <sz val="9"/>
            <color indexed="81"/>
            <rFont val="Tahoma"/>
            <family val="2"/>
          </rPr>
          <t xml:space="preserve">
проверити збир!
</t>
        </r>
      </text>
    </comment>
    <comment ref="I2186" authorId="0">
      <text>
        <r>
          <rPr>
            <b/>
            <sz val="9"/>
            <color indexed="81"/>
            <rFont val="Tahoma"/>
            <family val="2"/>
          </rPr>
          <t>LPA:</t>
        </r>
        <r>
          <rPr>
            <sz val="9"/>
            <color indexed="81"/>
            <rFont val="Tahoma"/>
            <family val="2"/>
          </rPr>
          <t xml:space="preserve">
проверити збир!
</t>
        </r>
      </text>
    </comment>
    <comment ref="I2187" authorId="0">
      <text>
        <r>
          <rPr>
            <b/>
            <sz val="9"/>
            <color indexed="81"/>
            <rFont val="Tahoma"/>
            <family val="2"/>
          </rPr>
          <t>LPA:</t>
        </r>
        <r>
          <rPr>
            <sz val="9"/>
            <color indexed="81"/>
            <rFont val="Tahoma"/>
            <family val="2"/>
          </rPr>
          <t xml:space="preserve">
проверити збир!
</t>
        </r>
      </text>
    </comment>
    <comment ref="H2190" authorId="0">
      <text>
        <r>
          <rPr>
            <b/>
            <sz val="9"/>
            <color indexed="81"/>
            <rFont val="Tahoma"/>
            <family val="2"/>
          </rPr>
          <t>LPA:</t>
        </r>
        <r>
          <rPr>
            <sz val="9"/>
            <color indexed="81"/>
            <rFont val="Tahoma"/>
            <family val="2"/>
          </rPr>
          <t xml:space="preserve">
проверити збир!</t>
        </r>
      </text>
    </comment>
    <comment ref="I2190" authorId="0">
      <text>
        <r>
          <rPr>
            <b/>
            <sz val="9"/>
            <color indexed="81"/>
            <rFont val="Tahoma"/>
            <family val="2"/>
          </rPr>
          <t>LPA:</t>
        </r>
        <r>
          <rPr>
            <sz val="9"/>
            <color indexed="81"/>
            <rFont val="Tahoma"/>
            <family val="2"/>
          </rPr>
          <t xml:space="preserve">
проверити збир!</t>
        </r>
      </text>
    </comment>
    <comment ref="I2191" authorId="0">
      <text>
        <r>
          <rPr>
            <b/>
            <sz val="9"/>
            <color indexed="81"/>
            <rFont val="Tahoma"/>
            <family val="2"/>
          </rPr>
          <t>LPA:</t>
        </r>
        <r>
          <rPr>
            <sz val="9"/>
            <color indexed="81"/>
            <rFont val="Tahoma"/>
            <family val="2"/>
          </rPr>
          <t xml:space="preserve">
проверити збир!
</t>
        </r>
      </text>
    </comment>
    <comment ref="I2192" authorId="0">
      <text>
        <r>
          <rPr>
            <b/>
            <sz val="9"/>
            <color indexed="81"/>
            <rFont val="Tahoma"/>
            <family val="2"/>
          </rPr>
          <t>LPA:</t>
        </r>
        <r>
          <rPr>
            <sz val="9"/>
            <color indexed="81"/>
            <rFont val="Tahoma"/>
            <family val="2"/>
          </rPr>
          <t xml:space="preserve">
проверити збир!
</t>
        </r>
      </text>
    </comment>
    <comment ref="I2193" authorId="0">
      <text>
        <r>
          <rPr>
            <b/>
            <sz val="9"/>
            <color indexed="81"/>
            <rFont val="Tahoma"/>
            <family val="2"/>
          </rPr>
          <t>LPA:</t>
        </r>
        <r>
          <rPr>
            <sz val="9"/>
            <color indexed="81"/>
            <rFont val="Tahoma"/>
            <family val="2"/>
          </rPr>
          <t xml:space="preserve">
проверити збир!
</t>
        </r>
      </text>
    </comment>
    <comment ref="I2194" authorId="0">
      <text>
        <r>
          <rPr>
            <b/>
            <sz val="9"/>
            <color indexed="81"/>
            <rFont val="Tahoma"/>
            <family val="2"/>
          </rPr>
          <t>LPA:</t>
        </r>
        <r>
          <rPr>
            <sz val="9"/>
            <color indexed="81"/>
            <rFont val="Tahoma"/>
            <family val="2"/>
          </rPr>
          <t xml:space="preserve">
проверити збир!
</t>
        </r>
      </text>
    </comment>
    <comment ref="I2195" authorId="0">
      <text>
        <r>
          <rPr>
            <b/>
            <sz val="9"/>
            <color indexed="81"/>
            <rFont val="Tahoma"/>
            <family val="2"/>
          </rPr>
          <t>LPA:</t>
        </r>
        <r>
          <rPr>
            <sz val="9"/>
            <color indexed="81"/>
            <rFont val="Tahoma"/>
            <family val="2"/>
          </rPr>
          <t xml:space="preserve">
проверити збир!
</t>
        </r>
      </text>
    </comment>
    <comment ref="I2196" authorId="0">
      <text>
        <r>
          <rPr>
            <b/>
            <sz val="9"/>
            <color indexed="81"/>
            <rFont val="Tahoma"/>
            <family val="2"/>
          </rPr>
          <t>LPA:</t>
        </r>
        <r>
          <rPr>
            <sz val="9"/>
            <color indexed="81"/>
            <rFont val="Tahoma"/>
            <family val="2"/>
          </rPr>
          <t xml:space="preserve">
проверити збир!
</t>
        </r>
      </text>
    </comment>
    <comment ref="I2197" authorId="0">
      <text>
        <r>
          <rPr>
            <b/>
            <sz val="9"/>
            <color indexed="81"/>
            <rFont val="Tahoma"/>
            <family val="2"/>
          </rPr>
          <t>LPA:</t>
        </r>
        <r>
          <rPr>
            <sz val="9"/>
            <color indexed="81"/>
            <rFont val="Tahoma"/>
            <family val="2"/>
          </rPr>
          <t xml:space="preserve">
проверити збир!
</t>
        </r>
      </text>
    </comment>
    <comment ref="I2198" authorId="0">
      <text>
        <r>
          <rPr>
            <b/>
            <sz val="9"/>
            <color indexed="81"/>
            <rFont val="Tahoma"/>
            <family val="2"/>
          </rPr>
          <t>LPA:</t>
        </r>
        <r>
          <rPr>
            <sz val="9"/>
            <color indexed="81"/>
            <rFont val="Tahoma"/>
            <family val="2"/>
          </rPr>
          <t xml:space="preserve">
проверити збир!
</t>
        </r>
      </text>
    </comment>
    <comment ref="I2199" authorId="0">
      <text>
        <r>
          <rPr>
            <b/>
            <sz val="9"/>
            <color indexed="81"/>
            <rFont val="Tahoma"/>
            <family val="2"/>
          </rPr>
          <t>LPA:</t>
        </r>
        <r>
          <rPr>
            <sz val="9"/>
            <color indexed="81"/>
            <rFont val="Tahoma"/>
            <family val="2"/>
          </rPr>
          <t xml:space="preserve">
проверити збир!
</t>
        </r>
      </text>
    </comment>
    <comment ref="I2200" authorId="0">
      <text>
        <r>
          <rPr>
            <b/>
            <sz val="9"/>
            <color indexed="81"/>
            <rFont val="Tahoma"/>
            <family val="2"/>
          </rPr>
          <t>LPA:</t>
        </r>
        <r>
          <rPr>
            <sz val="9"/>
            <color indexed="81"/>
            <rFont val="Tahoma"/>
            <family val="2"/>
          </rPr>
          <t xml:space="preserve">
проверити збир!
</t>
        </r>
      </text>
    </comment>
    <comment ref="I2201" authorId="0">
      <text>
        <r>
          <rPr>
            <b/>
            <sz val="9"/>
            <color indexed="81"/>
            <rFont val="Tahoma"/>
            <family val="2"/>
          </rPr>
          <t>LPA:</t>
        </r>
        <r>
          <rPr>
            <sz val="9"/>
            <color indexed="81"/>
            <rFont val="Tahoma"/>
            <family val="2"/>
          </rPr>
          <t xml:space="preserve">
проверити збир!
</t>
        </r>
      </text>
    </comment>
    <comment ref="I2202" authorId="0">
      <text>
        <r>
          <rPr>
            <b/>
            <sz val="9"/>
            <color indexed="81"/>
            <rFont val="Tahoma"/>
            <family val="2"/>
          </rPr>
          <t>LPA:</t>
        </r>
        <r>
          <rPr>
            <sz val="9"/>
            <color indexed="81"/>
            <rFont val="Tahoma"/>
            <family val="2"/>
          </rPr>
          <t xml:space="preserve">
проверити збир!
</t>
        </r>
      </text>
    </comment>
    <comment ref="I2203" authorId="0">
      <text>
        <r>
          <rPr>
            <b/>
            <sz val="9"/>
            <color indexed="81"/>
            <rFont val="Tahoma"/>
            <family val="2"/>
          </rPr>
          <t>LPA:</t>
        </r>
        <r>
          <rPr>
            <sz val="9"/>
            <color indexed="81"/>
            <rFont val="Tahoma"/>
            <family val="2"/>
          </rPr>
          <t xml:space="preserve">
проверити збир!
</t>
        </r>
      </text>
    </comment>
    <comment ref="I2204" authorId="0">
      <text>
        <r>
          <rPr>
            <b/>
            <sz val="9"/>
            <color indexed="81"/>
            <rFont val="Tahoma"/>
            <family val="2"/>
          </rPr>
          <t>LPA:</t>
        </r>
        <r>
          <rPr>
            <sz val="9"/>
            <color indexed="81"/>
            <rFont val="Tahoma"/>
            <family val="2"/>
          </rPr>
          <t xml:space="preserve">
проверити збир!
</t>
        </r>
      </text>
    </comment>
    <comment ref="I2205" authorId="0">
      <text>
        <r>
          <rPr>
            <b/>
            <sz val="9"/>
            <color indexed="81"/>
            <rFont val="Tahoma"/>
            <family val="2"/>
          </rPr>
          <t>LPA:</t>
        </r>
        <r>
          <rPr>
            <sz val="9"/>
            <color indexed="81"/>
            <rFont val="Tahoma"/>
            <family val="2"/>
          </rPr>
          <t xml:space="preserve">
проверити збир!
</t>
        </r>
      </text>
    </comment>
    <comment ref="I2274" authorId="0">
      <text>
        <r>
          <rPr>
            <b/>
            <sz val="9"/>
            <color indexed="81"/>
            <rFont val="Tahoma"/>
            <family val="2"/>
          </rPr>
          <t>LPA:</t>
        </r>
        <r>
          <rPr>
            <sz val="9"/>
            <color indexed="81"/>
            <rFont val="Tahoma"/>
            <family val="2"/>
          </rPr>
          <t xml:space="preserve">
проверити збир!
</t>
        </r>
      </text>
    </comment>
    <comment ref="I2275" authorId="0">
      <text>
        <r>
          <rPr>
            <b/>
            <sz val="9"/>
            <color indexed="81"/>
            <rFont val="Tahoma"/>
            <family val="2"/>
          </rPr>
          <t>LPA:</t>
        </r>
        <r>
          <rPr>
            <sz val="9"/>
            <color indexed="81"/>
            <rFont val="Tahoma"/>
            <family val="2"/>
          </rPr>
          <t xml:space="preserve">
проверити збир!
</t>
        </r>
      </text>
    </comment>
    <comment ref="I2276" authorId="0">
      <text>
        <r>
          <rPr>
            <b/>
            <sz val="9"/>
            <color indexed="81"/>
            <rFont val="Tahoma"/>
            <family val="2"/>
          </rPr>
          <t>LPA:</t>
        </r>
        <r>
          <rPr>
            <sz val="9"/>
            <color indexed="81"/>
            <rFont val="Tahoma"/>
            <family val="2"/>
          </rPr>
          <t xml:space="preserve">
проверити збир!
</t>
        </r>
      </text>
    </comment>
    <comment ref="I2277" authorId="0">
      <text>
        <r>
          <rPr>
            <b/>
            <sz val="9"/>
            <color indexed="81"/>
            <rFont val="Tahoma"/>
            <family val="2"/>
          </rPr>
          <t>LPA:</t>
        </r>
        <r>
          <rPr>
            <sz val="9"/>
            <color indexed="81"/>
            <rFont val="Tahoma"/>
            <family val="2"/>
          </rPr>
          <t xml:space="preserve">
проверити збир!
</t>
        </r>
      </text>
    </comment>
    <comment ref="I2278" authorId="0">
      <text>
        <r>
          <rPr>
            <b/>
            <sz val="9"/>
            <color indexed="81"/>
            <rFont val="Tahoma"/>
            <family val="2"/>
          </rPr>
          <t>LPA:</t>
        </r>
        <r>
          <rPr>
            <sz val="9"/>
            <color indexed="81"/>
            <rFont val="Tahoma"/>
            <family val="2"/>
          </rPr>
          <t xml:space="preserve">
проверити збир!
</t>
        </r>
      </text>
    </comment>
    <comment ref="I2279" authorId="0">
      <text>
        <r>
          <rPr>
            <b/>
            <sz val="9"/>
            <color indexed="81"/>
            <rFont val="Tahoma"/>
            <family val="2"/>
          </rPr>
          <t>LPA:</t>
        </r>
        <r>
          <rPr>
            <sz val="9"/>
            <color indexed="81"/>
            <rFont val="Tahoma"/>
            <family val="2"/>
          </rPr>
          <t xml:space="preserve">
проверити збир!
</t>
        </r>
      </text>
    </comment>
    <comment ref="I2280" authorId="0">
      <text>
        <r>
          <rPr>
            <b/>
            <sz val="9"/>
            <color indexed="81"/>
            <rFont val="Tahoma"/>
            <family val="2"/>
          </rPr>
          <t>LPA:</t>
        </r>
        <r>
          <rPr>
            <sz val="9"/>
            <color indexed="81"/>
            <rFont val="Tahoma"/>
            <family val="2"/>
          </rPr>
          <t xml:space="preserve">
проверити збир!
</t>
        </r>
      </text>
    </comment>
    <comment ref="I2281" authorId="0">
      <text>
        <r>
          <rPr>
            <b/>
            <sz val="9"/>
            <color indexed="81"/>
            <rFont val="Tahoma"/>
            <family val="2"/>
          </rPr>
          <t>LPA:</t>
        </r>
        <r>
          <rPr>
            <sz val="9"/>
            <color indexed="81"/>
            <rFont val="Tahoma"/>
            <family val="2"/>
          </rPr>
          <t xml:space="preserve">
проверити збир!
</t>
        </r>
      </text>
    </comment>
    <comment ref="I2282" authorId="0">
      <text>
        <r>
          <rPr>
            <b/>
            <sz val="9"/>
            <color indexed="81"/>
            <rFont val="Tahoma"/>
            <family val="2"/>
          </rPr>
          <t>LPA:</t>
        </r>
        <r>
          <rPr>
            <sz val="9"/>
            <color indexed="81"/>
            <rFont val="Tahoma"/>
            <family val="2"/>
          </rPr>
          <t xml:space="preserve">
проверити збир!
</t>
        </r>
      </text>
    </comment>
    <comment ref="I2283" authorId="0">
      <text>
        <r>
          <rPr>
            <b/>
            <sz val="9"/>
            <color indexed="81"/>
            <rFont val="Tahoma"/>
            <family val="2"/>
          </rPr>
          <t>LPA:</t>
        </r>
        <r>
          <rPr>
            <sz val="9"/>
            <color indexed="81"/>
            <rFont val="Tahoma"/>
            <family val="2"/>
          </rPr>
          <t xml:space="preserve">
проверити збир!
</t>
        </r>
      </text>
    </comment>
    <comment ref="I2284" authorId="0">
      <text>
        <r>
          <rPr>
            <b/>
            <sz val="9"/>
            <color indexed="81"/>
            <rFont val="Tahoma"/>
            <family val="2"/>
          </rPr>
          <t>LPA:</t>
        </r>
        <r>
          <rPr>
            <sz val="9"/>
            <color indexed="81"/>
            <rFont val="Tahoma"/>
            <family val="2"/>
          </rPr>
          <t xml:space="preserve">
проверити збир!
</t>
        </r>
      </text>
    </comment>
    <comment ref="I2285" authorId="0">
      <text>
        <r>
          <rPr>
            <b/>
            <sz val="9"/>
            <color indexed="81"/>
            <rFont val="Tahoma"/>
            <family val="2"/>
          </rPr>
          <t>LPA:</t>
        </r>
        <r>
          <rPr>
            <sz val="9"/>
            <color indexed="81"/>
            <rFont val="Tahoma"/>
            <family val="2"/>
          </rPr>
          <t xml:space="preserve">
проверити збир!
</t>
        </r>
      </text>
    </comment>
    <comment ref="I2286" authorId="0">
      <text>
        <r>
          <rPr>
            <b/>
            <sz val="9"/>
            <color indexed="81"/>
            <rFont val="Tahoma"/>
            <family val="2"/>
          </rPr>
          <t>LPA:</t>
        </r>
        <r>
          <rPr>
            <sz val="9"/>
            <color indexed="81"/>
            <rFont val="Tahoma"/>
            <family val="2"/>
          </rPr>
          <t xml:space="preserve">
проверити збир!
</t>
        </r>
      </text>
    </comment>
    <comment ref="H2289" authorId="0">
      <text>
        <r>
          <rPr>
            <b/>
            <sz val="9"/>
            <color indexed="81"/>
            <rFont val="Tahoma"/>
            <family val="2"/>
          </rPr>
          <t>LPA:</t>
        </r>
        <r>
          <rPr>
            <sz val="9"/>
            <color indexed="81"/>
            <rFont val="Tahoma"/>
            <family val="2"/>
          </rPr>
          <t xml:space="preserve">
проверити збир!</t>
        </r>
      </text>
    </comment>
    <comment ref="I2289" authorId="0">
      <text>
        <r>
          <rPr>
            <b/>
            <sz val="9"/>
            <color indexed="81"/>
            <rFont val="Tahoma"/>
            <family val="2"/>
          </rPr>
          <t>LPA:</t>
        </r>
        <r>
          <rPr>
            <sz val="9"/>
            <color indexed="81"/>
            <rFont val="Tahoma"/>
            <family val="2"/>
          </rPr>
          <t xml:space="preserve">
проверити збир!</t>
        </r>
      </text>
    </comment>
    <comment ref="I2290" authorId="0">
      <text>
        <r>
          <rPr>
            <b/>
            <sz val="9"/>
            <color indexed="81"/>
            <rFont val="Tahoma"/>
            <family val="2"/>
          </rPr>
          <t>LPA:</t>
        </r>
        <r>
          <rPr>
            <sz val="9"/>
            <color indexed="81"/>
            <rFont val="Tahoma"/>
            <family val="2"/>
          </rPr>
          <t xml:space="preserve">
проверити збир!
</t>
        </r>
      </text>
    </comment>
    <comment ref="I2291" authorId="0">
      <text>
        <r>
          <rPr>
            <b/>
            <sz val="9"/>
            <color indexed="81"/>
            <rFont val="Tahoma"/>
            <family val="2"/>
          </rPr>
          <t>LPA:</t>
        </r>
        <r>
          <rPr>
            <sz val="9"/>
            <color indexed="81"/>
            <rFont val="Tahoma"/>
            <family val="2"/>
          </rPr>
          <t xml:space="preserve">
проверити збир!
</t>
        </r>
      </text>
    </comment>
    <comment ref="I2292" authorId="0">
      <text>
        <r>
          <rPr>
            <b/>
            <sz val="9"/>
            <color indexed="81"/>
            <rFont val="Tahoma"/>
            <family val="2"/>
          </rPr>
          <t>LPA:</t>
        </r>
        <r>
          <rPr>
            <sz val="9"/>
            <color indexed="81"/>
            <rFont val="Tahoma"/>
            <family val="2"/>
          </rPr>
          <t xml:space="preserve">
проверити збир!
</t>
        </r>
      </text>
    </comment>
    <comment ref="I2293" authorId="0">
      <text>
        <r>
          <rPr>
            <b/>
            <sz val="9"/>
            <color indexed="81"/>
            <rFont val="Tahoma"/>
            <family val="2"/>
          </rPr>
          <t>LPA:</t>
        </r>
        <r>
          <rPr>
            <sz val="9"/>
            <color indexed="81"/>
            <rFont val="Tahoma"/>
            <family val="2"/>
          </rPr>
          <t xml:space="preserve">
проверити збир!
</t>
        </r>
      </text>
    </comment>
    <comment ref="I2294" authorId="0">
      <text>
        <r>
          <rPr>
            <b/>
            <sz val="9"/>
            <color indexed="81"/>
            <rFont val="Tahoma"/>
            <family val="2"/>
          </rPr>
          <t>LPA:</t>
        </r>
        <r>
          <rPr>
            <sz val="9"/>
            <color indexed="81"/>
            <rFont val="Tahoma"/>
            <family val="2"/>
          </rPr>
          <t xml:space="preserve">
проверити збир!
</t>
        </r>
      </text>
    </comment>
    <comment ref="I2295" authorId="0">
      <text>
        <r>
          <rPr>
            <b/>
            <sz val="9"/>
            <color indexed="81"/>
            <rFont val="Tahoma"/>
            <family val="2"/>
          </rPr>
          <t>LPA:</t>
        </r>
        <r>
          <rPr>
            <sz val="9"/>
            <color indexed="81"/>
            <rFont val="Tahoma"/>
            <family val="2"/>
          </rPr>
          <t xml:space="preserve">
проверити збир!
</t>
        </r>
      </text>
    </comment>
    <comment ref="I2296" authorId="0">
      <text>
        <r>
          <rPr>
            <b/>
            <sz val="9"/>
            <color indexed="81"/>
            <rFont val="Tahoma"/>
            <family val="2"/>
          </rPr>
          <t>LPA:</t>
        </r>
        <r>
          <rPr>
            <sz val="9"/>
            <color indexed="81"/>
            <rFont val="Tahoma"/>
            <family val="2"/>
          </rPr>
          <t xml:space="preserve">
проверити збир!
</t>
        </r>
      </text>
    </comment>
    <comment ref="I2297" authorId="0">
      <text>
        <r>
          <rPr>
            <b/>
            <sz val="9"/>
            <color indexed="81"/>
            <rFont val="Tahoma"/>
            <family val="2"/>
          </rPr>
          <t>LPA:</t>
        </r>
        <r>
          <rPr>
            <sz val="9"/>
            <color indexed="81"/>
            <rFont val="Tahoma"/>
            <family val="2"/>
          </rPr>
          <t xml:space="preserve">
проверити збир!
</t>
        </r>
      </text>
    </comment>
    <comment ref="I2298" authorId="0">
      <text>
        <r>
          <rPr>
            <b/>
            <sz val="9"/>
            <color indexed="81"/>
            <rFont val="Tahoma"/>
            <family val="2"/>
          </rPr>
          <t>LPA:</t>
        </r>
        <r>
          <rPr>
            <sz val="9"/>
            <color indexed="81"/>
            <rFont val="Tahoma"/>
            <family val="2"/>
          </rPr>
          <t xml:space="preserve">
проверити збир!
</t>
        </r>
      </text>
    </comment>
    <comment ref="I2299" authorId="0">
      <text>
        <r>
          <rPr>
            <b/>
            <sz val="9"/>
            <color indexed="81"/>
            <rFont val="Tahoma"/>
            <family val="2"/>
          </rPr>
          <t>LPA:</t>
        </r>
        <r>
          <rPr>
            <sz val="9"/>
            <color indexed="81"/>
            <rFont val="Tahoma"/>
            <family val="2"/>
          </rPr>
          <t xml:space="preserve">
проверити збир!
</t>
        </r>
      </text>
    </comment>
    <comment ref="I2300" authorId="0">
      <text>
        <r>
          <rPr>
            <b/>
            <sz val="9"/>
            <color indexed="81"/>
            <rFont val="Tahoma"/>
            <family val="2"/>
          </rPr>
          <t>LPA:</t>
        </r>
        <r>
          <rPr>
            <sz val="9"/>
            <color indexed="81"/>
            <rFont val="Tahoma"/>
            <family val="2"/>
          </rPr>
          <t xml:space="preserve">
проверити збир!
</t>
        </r>
      </text>
    </comment>
    <comment ref="I2301" authorId="0">
      <text>
        <r>
          <rPr>
            <b/>
            <sz val="9"/>
            <color indexed="81"/>
            <rFont val="Tahoma"/>
            <family val="2"/>
          </rPr>
          <t>LPA:</t>
        </r>
        <r>
          <rPr>
            <sz val="9"/>
            <color indexed="81"/>
            <rFont val="Tahoma"/>
            <family val="2"/>
          </rPr>
          <t xml:space="preserve">
проверити збир!
</t>
        </r>
      </text>
    </comment>
    <comment ref="I2302" authorId="0">
      <text>
        <r>
          <rPr>
            <b/>
            <sz val="9"/>
            <color indexed="81"/>
            <rFont val="Tahoma"/>
            <family val="2"/>
          </rPr>
          <t>LPA:</t>
        </r>
        <r>
          <rPr>
            <sz val="9"/>
            <color indexed="81"/>
            <rFont val="Tahoma"/>
            <family val="2"/>
          </rPr>
          <t xml:space="preserve">
проверити збир!
</t>
        </r>
      </text>
    </comment>
    <comment ref="I2303" authorId="0">
      <text>
        <r>
          <rPr>
            <b/>
            <sz val="9"/>
            <color indexed="81"/>
            <rFont val="Tahoma"/>
            <family val="2"/>
          </rPr>
          <t>LPA:</t>
        </r>
        <r>
          <rPr>
            <sz val="9"/>
            <color indexed="81"/>
            <rFont val="Tahoma"/>
            <family val="2"/>
          </rPr>
          <t xml:space="preserve">
проверити збир!
</t>
        </r>
      </text>
    </comment>
    <comment ref="I2304" authorId="0">
      <text>
        <r>
          <rPr>
            <b/>
            <sz val="9"/>
            <color indexed="81"/>
            <rFont val="Tahoma"/>
            <family val="2"/>
          </rPr>
          <t>LPA:</t>
        </r>
        <r>
          <rPr>
            <sz val="9"/>
            <color indexed="81"/>
            <rFont val="Tahoma"/>
            <family val="2"/>
          </rPr>
          <t xml:space="preserve">
проверити збир!
</t>
        </r>
      </text>
    </comment>
    <comment ref="I2373" authorId="0">
      <text>
        <r>
          <rPr>
            <b/>
            <sz val="9"/>
            <color indexed="81"/>
            <rFont val="Tahoma"/>
            <family val="2"/>
          </rPr>
          <t>LPA:</t>
        </r>
        <r>
          <rPr>
            <sz val="9"/>
            <color indexed="81"/>
            <rFont val="Tahoma"/>
            <family val="2"/>
          </rPr>
          <t xml:space="preserve">
проверити збир!
</t>
        </r>
      </text>
    </comment>
    <comment ref="I2374" authorId="0">
      <text>
        <r>
          <rPr>
            <b/>
            <sz val="9"/>
            <color indexed="81"/>
            <rFont val="Tahoma"/>
            <family val="2"/>
          </rPr>
          <t>LPA:</t>
        </r>
        <r>
          <rPr>
            <sz val="9"/>
            <color indexed="81"/>
            <rFont val="Tahoma"/>
            <family val="2"/>
          </rPr>
          <t xml:space="preserve">
проверити збир!
</t>
        </r>
      </text>
    </comment>
    <comment ref="I2375" authorId="0">
      <text>
        <r>
          <rPr>
            <b/>
            <sz val="9"/>
            <color indexed="81"/>
            <rFont val="Tahoma"/>
            <family val="2"/>
          </rPr>
          <t>LPA:</t>
        </r>
        <r>
          <rPr>
            <sz val="9"/>
            <color indexed="81"/>
            <rFont val="Tahoma"/>
            <family val="2"/>
          </rPr>
          <t xml:space="preserve">
проверити збир!
</t>
        </r>
      </text>
    </comment>
    <comment ref="I2376" authorId="0">
      <text>
        <r>
          <rPr>
            <b/>
            <sz val="9"/>
            <color indexed="81"/>
            <rFont val="Tahoma"/>
            <family val="2"/>
          </rPr>
          <t>LPA:</t>
        </r>
        <r>
          <rPr>
            <sz val="9"/>
            <color indexed="81"/>
            <rFont val="Tahoma"/>
            <family val="2"/>
          </rPr>
          <t xml:space="preserve">
проверити збир!
</t>
        </r>
      </text>
    </comment>
    <comment ref="I2377" authorId="0">
      <text>
        <r>
          <rPr>
            <b/>
            <sz val="9"/>
            <color indexed="81"/>
            <rFont val="Tahoma"/>
            <family val="2"/>
          </rPr>
          <t>LPA:</t>
        </r>
        <r>
          <rPr>
            <sz val="9"/>
            <color indexed="81"/>
            <rFont val="Tahoma"/>
            <family val="2"/>
          </rPr>
          <t xml:space="preserve">
проверити збир!
</t>
        </r>
      </text>
    </comment>
    <comment ref="I2378" authorId="0">
      <text>
        <r>
          <rPr>
            <b/>
            <sz val="9"/>
            <color indexed="81"/>
            <rFont val="Tahoma"/>
            <family val="2"/>
          </rPr>
          <t>LPA:</t>
        </r>
        <r>
          <rPr>
            <sz val="9"/>
            <color indexed="81"/>
            <rFont val="Tahoma"/>
            <family val="2"/>
          </rPr>
          <t xml:space="preserve">
проверити збир!
</t>
        </r>
      </text>
    </comment>
    <comment ref="I2379" authorId="0">
      <text>
        <r>
          <rPr>
            <b/>
            <sz val="9"/>
            <color indexed="81"/>
            <rFont val="Tahoma"/>
            <family val="2"/>
          </rPr>
          <t>LPA:</t>
        </r>
        <r>
          <rPr>
            <sz val="9"/>
            <color indexed="81"/>
            <rFont val="Tahoma"/>
            <family val="2"/>
          </rPr>
          <t xml:space="preserve">
проверити збир!
</t>
        </r>
      </text>
    </comment>
    <comment ref="I2380" authorId="0">
      <text>
        <r>
          <rPr>
            <b/>
            <sz val="9"/>
            <color indexed="81"/>
            <rFont val="Tahoma"/>
            <family val="2"/>
          </rPr>
          <t>LPA:</t>
        </r>
        <r>
          <rPr>
            <sz val="9"/>
            <color indexed="81"/>
            <rFont val="Tahoma"/>
            <family val="2"/>
          </rPr>
          <t xml:space="preserve">
проверити збир!
</t>
        </r>
      </text>
    </comment>
    <comment ref="I2381" authorId="0">
      <text>
        <r>
          <rPr>
            <b/>
            <sz val="9"/>
            <color indexed="81"/>
            <rFont val="Tahoma"/>
            <family val="2"/>
          </rPr>
          <t>LPA:</t>
        </r>
        <r>
          <rPr>
            <sz val="9"/>
            <color indexed="81"/>
            <rFont val="Tahoma"/>
            <family val="2"/>
          </rPr>
          <t xml:space="preserve">
проверити збир!
</t>
        </r>
      </text>
    </comment>
    <comment ref="I2382" authorId="0">
      <text>
        <r>
          <rPr>
            <b/>
            <sz val="9"/>
            <color indexed="81"/>
            <rFont val="Tahoma"/>
            <family val="2"/>
          </rPr>
          <t>LPA:</t>
        </r>
        <r>
          <rPr>
            <sz val="9"/>
            <color indexed="81"/>
            <rFont val="Tahoma"/>
            <family val="2"/>
          </rPr>
          <t xml:space="preserve">
проверити збир!
</t>
        </r>
      </text>
    </comment>
    <comment ref="I2383" authorId="0">
      <text>
        <r>
          <rPr>
            <b/>
            <sz val="9"/>
            <color indexed="81"/>
            <rFont val="Tahoma"/>
            <family val="2"/>
          </rPr>
          <t>LPA:</t>
        </r>
        <r>
          <rPr>
            <sz val="9"/>
            <color indexed="81"/>
            <rFont val="Tahoma"/>
            <family val="2"/>
          </rPr>
          <t xml:space="preserve">
проверити збир!
</t>
        </r>
      </text>
    </comment>
    <comment ref="I2384" authorId="0">
      <text>
        <r>
          <rPr>
            <b/>
            <sz val="9"/>
            <color indexed="81"/>
            <rFont val="Tahoma"/>
            <family val="2"/>
          </rPr>
          <t>LPA:</t>
        </r>
        <r>
          <rPr>
            <sz val="9"/>
            <color indexed="81"/>
            <rFont val="Tahoma"/>
            <family val="2"/>
          </rPr>
          <t xml:space="preserve">
проверити збир!
</t>
        </r>
      </text>
    </comment>
    <comment ref="I2385" authorId="0">
      <text>
        <r>
          <rPr>
            <b/>
            <sz val="9"/>
            <color indexed="81"/>
            <rFont val="Tahoma"/>
            <family val="2"/>
          </rPr>
          <t>LPA:</t>
        </r>
        <r>
          <rPr>
            <sz val="9"/>
            <color indexed="81"/>
            <rFont val="Tahoma"/>
            <family val="2"/>
          </rPr>
          <t xml:space="preserve">
проверити збир!
</t>
        </r>
      </text>
    </comment>
    <comment ref="H2388" authorId="0">
      <text>
        <r>
          <rPr>
            <b/>
            <sz val="9"/>
            <color indexed="81"/>
            <rFont val="Tahoma"/>
            <family val="2"/>
          </rPr>
          <t>LPA:</t>
        </r>
        <r>
          <rPr>
            <sz val="9"/>
            <color indexed="81"/>
            <rFont val="Tahoma"/>
            <family val="2"/>
          </rPr>
          <t xml:space="preserve">
проверити збир!</t>
        </r>
      </text>
    </comment>
    <comment ref="I2388" authorId="0">
      <text>
        <r>
          <rPr>
            <b/>
            <sz val="9"/>
            <color indexed="81"/>
            <rFont val="Tahoma"/>
            <family val="2"/>
          </rPr>
          <t>LPA:</t>
        </r>
        <r>
          <rPr>
            <sz val="9"/>
            <color indexed="81"/>
            <rFont val="Tahoma"/>
            <family val="2"/>
          </rPr>
          <t xml:space="preserve">
проверити збир!</t>
        </r>
      </text>
    </comment>
    <comment ref="I2389" authorId="0">
      <text>
        <r>
          <rPr>
            <b/>
            <sz val="9"/>
            <color indexed="81"/>
            <rFont val="Tahoma"/>
            <family val="2"/>
          </rPr>
          <t>LPA:</t>
        </r>
        <r>
          <rPr>
            <sz val="9"/>
            <color indexed="81"/>
            <rFont val="Tahoma"/>
            <family val="2"/>
          </rPr>
          <t xml:space="preserve">
проверити збир!
</t>
        </r>
      </text>
    </comment>
    <comment ref="I2390" authorId="0">
      <text>
        <r>
          <rPr>
            <b/>
            <sz val="9"/>
            <color indexed="81"/>
            <rFont val="Tahoma"/>
            <family val="2"/>
          </rPr>
          <t>LPA:</t>
        </r>
        <r>
          <rPr>
            <sz val="9"/>
            <color indexed="81"/>
            <rFont val="Tahoma"/>
            <family val="2"/>
          </rPr>
          <t xml:space="preserve">
проверити збир!
</t>
        </r>
      </text>
    </comment>
    <comment ref="I2391" authorId="0">
      <text>
        <r>
          <rPr>
            <b/>
            <sz val="9"/>
            <color indexed="81"/>
            <rFont val="Tahoma"/>
            <family val="2"/>
          </rPr>
          <t>LPA:</t>
        </r>
        <r>
          <rPr>
            <sz val="9"/>
            <color indexed="81"/>
            <rFont val="Tahoma"/>
            <family val="2"/>
          </rPr>
          <t xml:space="preserve">
проверити збир!
</t>
        </r>
      </text>
    </comment>
    <comment ref="I2392" authorId="0">
      <text>
        <r>
          <rPr>
            <b/>
            <sz val="9"/>
            <color indexed="81"/>
            <rFont val="Tahoma"/>
            <family val="2"/>
          </rPr>
          <t>LPA:</t>
        </r>
        <r>
          <rPr>
            <sz val="9"/>
            <color indexed="81"/>
            <rFont val="Tahoma"/>
            <family val="2"/>
          </rPr>
          <t xml:space="preserve">
проверити збир!
</t>
        </r>
      </text>
    </comment>
    <comment ref="I2393" authorId="0">
      <text>
        <r>
          <rPr>
            <b/>
            <sz val="9"/>
            <color indexed="81"/>
            <rFont val="Tahoma"/>
            <family val="2"/>
          </rPr>
          <t>LPA:</t>
        </r>
        <r>
          <rPr>
            <sz val="9"/>
            <color indexed="81"/>
            <rFont val="Tahoma"/>
            <family val="2"/>
          </rPr>
          <t xml:space="preserve">
проверити збир!
</t>
        </r>
      </text>
    </comment>
    <comment ref="I2394" authorId="0">
      <text>
        <r>
          <rPr>
            <b/>
            <sz val="9"/>
            <color indexed="81"/>
            <rFont val="Tahoma"/>
            <family val="2"/>
          </rPr>
          <t>LPA:</t>
        </r>
        <r>
          <rPr>
            <sz val="9"/>
            <color indexed="81"/>
            <rFont val="Tahoma"/>
            <family val="2"/>
          </rPr>
          <t xml:space="preserve">
проверити збир!
</t>
        </r>
      </text>
    </comment>
    <comment ref="I2395" authorId="0">
      <text>
        <r>
          <rPr>
            <b/>
            <sz val="9"/>
            <color indexed="81"/>
            <rFont val="Tahoma"/>
            <family val="2"/>
          </rPr>
          <t>LPA:</t>
        </r>
        <r>
          <rPr>
            <sz val="9"/>
            <color indexed="81"/>
            <rFont val="Tahoma"/>
            <family val="2"/>
          </rPr>
          <t xml:space="preserve">
проверити збир!
</t>
        </r>
      </text>
    </comment>
    <comment ref="I2396" authorId="0">
      <text>
        <r>
          <rPr>
            <b/>
            <sz val="9"/>
            <color indexed="81"/>
            <rFont val="Tahoma"/>
            <family val="2"/>
          </rPr>
          <t>LPA:</t>
        </r>
        <r>
          <rPr>
            <sz val="9"/>
            <color indexed="81"/>
            <rFont val="Tahoma"/>
            <family val="2"/>
          </rPr>
          <t xml:space="preserve">
проверити збир!
</t>
        </r>
      </text>
    </comment>
    <comment ref="I2397" authorId="0">
      <text>
        <r>
          <rPr>
            <b/>
            <sz val="9"/>
            <color indexed="81"/>
            <rFont val="Tahoma"/>
            <family val="2"/>
          </rPr>
          <t>LPA:</t>
        </r>
        <r>
          <rPr>
            <sz val="9"/>
            <color indexed="81"/>
            <rFont val="Tahoma"/>
            <family val="2"/>
          </rPr>
          <t xml:space="preserve">
проверити збир!
</t>
        </r>
      </text>
    </comment>
    <comment ref="I2398" authorId="0">
      <text>
        <r>
          <rPr>
            <b/>
            <sz val="9"/>
            <color indexed="81"/>
            <rFont val="Tahoma"/>
            <family val="2"/>
          </rPr>
          <t>LPA:</t>
        </r>
        <r>
          <rPr>
            <sz val="9"/>
            <color indexed="81"/>
            <rFont val="Tahoma"/>
            <family val="2"/>
          </rPr>
          <t xml:space="preserve">
проверити збир!
</t>
        </r>
      </text>
    </comment>
    <comment ref="I2399" authorId="0">
      <text>
        <r>
          <rPr>
            <b/>
            <sz val="9"/>
            <color indexed="81"/>
            <rFont val="Tahoma"/>
            <family val="2"/>
          </rPr>
          <t>LPA:</t>
        </r>
        <r>
          <rPr>
            <sz val="9"/>
            <color indexed="81"/>
            <rFont val="Tahoma"/>
            <family val="2"/>
          </rPr>
          <t xml:space="preserve">
проверити збир!
</t>
        </r>
      </text>
    </comment>
    <comment ref="I2400" authorId="0">
      <text>
        <r>
          <rPr>
            <b/>
            <sz val="9"/>
            <color indexed="81"/>
            <rFont val="Tahoma"/>
            <family val="2"/>
          </rPr>
          <t>LPA:</t>
        </r>
        <r>
          <rPr>
            <sz val="9"/>
            <color indexed="81"/>
            <rFont val="Tahoma"/>
            <family val="2"/>
          </rPr>
          <t xml:space="preserve">
проверити збир!
</t>
        </r>
      </text>
    </comment>
    <comment ref="I2401" authorId="0">
      <text>
        <r>
          <rPr>
            <b/>
            <sz val="9"/>
            <color indexed="81"/>
            <rFont val="Tahoma"/>
            <family val="2"/>
          </rPr>
          <t>LPA:</t>
        </r>
        <r>
          <rPr>
            <sz val="9"/>
            <color indexed="81"/>
            <rFont val="Tahoma"/>
            <family val="2"/>
          </rPr>
          <t xml:space="preserve">
проверити збир!
</t>
        </r>
      </text>
    </comment>
    <comment ref="I2402" authorId="0">
      <text>
        <r>
          <rPr>
            <b/>
            <sz val="9"/>
            <color indexed="81"/>
            <rFont val="Tahoma"/>
            <family val="2"/>
          </rPr>
          <t>LPA:</t>
        </r>
        <r>
          <rPr>
            <sz val="9"/>
            <color indexed="81"/>
            <rFont val="Tahoma"/>
            <family val="2"/>
          </rPr>
          <t xml:space="preserve">
проверити збир!
</t>
        </r>
      </text>
    </comment>
    <comment ref="I2403" authorId="0">
      <text>
        <r>
          <rPr>
            <b/>
            <sz val="9"/>
            <color indexed="81"/>
            <rFont val="Tahoma"/>
            <family val="2"/>
          </rPr>
          <t>LPA:</t>
        </r>
        <r>
          <rPr>
            <sz val="9"/>
            <color indexed="81"/>
            <rFont val="Tahoma"/>
            <family val="2"/>
          </rPr>
          <t xml:space="preserve">
проверити збир!
</t>
        </r>
      </text>
    </comment>
    <comment ref="H2434" authorId="0">
      <text>
        <r>
          <rPr>
            <b/>
            <sz val="9"/>
            <color indexed="81"/>
            <rFont val="Tahoma"/>
            <family val="2"/>
          </rPr>
          <t>LPA:</t>
        </r>
        <r>
          <rPr>
            <sz val="9"/>
            <color indexed="81"/>
            <rFont val="Tahoma"/>
            <family val="2"/>
          </rPr>
          <t xml:space="preserve">
проверити збир!</t>
        </r>
      </text>
    </comment>
    <comment ref="I2434" authorId="0">
      <text>
        <r>
          <rPr>
            <b/>
            <sz val="9"/>
            <color indexed="81"/>
            <rFont val="Tahoma"/>
            <family val="2"/>
          </rPr>
          <t>LPA:</t>
        </r>
        <r>
          <rPr>
            <sz val="9"/>
            <color indexed="81"/>
            <rFont val="Tahoma"/>
            <family val="2"/>
          </rPr>
          <t xml:space="preserve">
проверити збир!
</t>
        </r>
      </text>
    </comment>
    <comment ref="I2435" authorId="0">
      <text>
        <r>
          <rPr>
            <b/>
            <sz val="9"/>
            <color indexed="81"/>
            <rFont val="Tahoma"/>
            <family val="2"/>
          </rPr>
          <t>LPA:</t>
        </r>
        <r>
          <rPr>
            <sz val="9"/>
            <color indexed="81"/>
            <rFont val="Tahoma"/>
            <family val="2"/>
          </rPr>
          <t xml:space="preserve">
проверити збир!
</t>
        </r>
      </text>
    </comment>
    <comment ref="I2436" authorId="0">
      <text>
        <r>
          <rPr>
            <b/>
            <sz val="9"/>
            <color indexed="81"/>
            <rFont val="Tahoma"/>
            <family val="2"/>
          </rPr>
          <t>LPA:</t>
        </r>
        <r>
          <rPr>
            <sz val="9"/>
            <color indexed="81"/>
            <rFont val="Tahoma"/>
            <family val="2"/>
          </rPr>
          <t xml:space="preserve">
проверити збир!
</t>
        </r>
      </text>
    </comment>
    <comment ref="I2437" authorId="0">
      <text>
        <r>
          <rPr>
            <b/>
            <sz val="9"/>
            <color indexed="81"/>
            <rFont val="Tahoma"/>
            <family val="2"/>
          </rPr>
          <t>LPA:</t>
        </r>
        <r>
          <rPr>
            <sz val="9"/>
            <color indexed="81"/>
            <rFont val="Tahoma"/>
            <family val="2"/>
          </rPr>
          <t xml:space="preserve">
проверити збир!
</t>
        </r>
      </text>
    </comment>
    <comment ref="I2438" authorId="0">
      <text>
        <r>
          <rPr>
            <b/>
            <sz val="9"/>
            <color indexed="81"/>
            <rFont val="Tahoma"/>
            <family val="2"/>
          </rPr>
          <t>LPA:</t>
        </r>
        <r>
          <rPr>
            <sz val="9"/>
            <color indexed="81"/>
            <rFont val="Tahoma"/>
            <family val="2"/>
          </rPr>
          <t xml:space="preserve">
проверити збир!
</t>
        </r>
      </text>
    </comment>
    <comment ref="I2439" authorId="0">
      <text>
        <r>
          <rPr>
            <b/>
            <sz val="9"/>
            <color indexed="81"/>
            <rFont val="Tahoma"/>
            <family val="2"/>
          </rPr>
          <t>LPA:</t>
        </r>
        <r>
          <rPr>
            <sz val="9"/>
            <color indexed="81"/>
            <rFont val="Tahoma"/>
            <family val="2"/>
          </rPr>
          <t xml:space="preserve">
проверити збир!
</t>
        </r>
      </text>
    </comment>
    <comment ref="I2440" authorId="0">
      <text>
        <r>
          <rPr>
            <b/>
            <sz val="9"/>
            <color indexed="81"/>
            <rFont val="Tahoma"/>
            <family val="2"/>
          </rPr>
          <t>LPA:</t>
        </r>
        <r>
          <rPr>
            <sz val="9"/>
            <color indexed="81"/>
            <rFont val="Tahoma"/>
            <family val="2"/>
          </rPr>
          <t xml:space="preserve">
проверити збир!
</t>
        </r>
      </text>
    </comment>
    <comment ref="I2441" authorId="0">
      <text>
        <r>
          <rPr>
            <b/>
            <sz val="9"/>
            <color indexed="81"/>
            <rFont val="Tahoma"/>
            <family val="2"/>
          </rPr>
          <t>LPA:</t>
        </r>
        <r>
          <rPr>
            <sz val="9"/>
            <color indexed="81"/>
            <rFont val="Tahoma"/>
            <family val="2"/>
          </rPr>
          <t xml:space="preserve">
проверити збир!
</t>
        </r>
      </text>
    </comment>
    <comment ref="I2442" authorId="0">
      <text>
        <r>
          <rPr>
            <b/>
            <sz val="9"/>
            <color indexed="81"/>
            <rFont val="Tahoma"/>
            <family val="2"/>
          </rPr>
          <t>LPA:</t>
        </r>
        <r>
          <rPr>
            <sz val="9"/>
            <color indexed="81"/>
            <rFont val="Tahoma"/>
            <family val="2"/>
          </rPr>
          <t xml:space="preserve">
проверити збир!
</t>
        </r>
      </text>
    </comment>
    <comment ref="I2443" authorId="0">
      <text>
        <r>
          <rPr>
            <b/>
            <sz val="9"/>
            <color indexed="81"/>
            <rFont val="Tahoma"/>
            <family val="2"/>
          </rPr>
          <t>LPA:</t>
        </r>
        <r>
          <rPr>
            <sz val="9"/>
            <color indexed="81"/>
            <rFont val="Tahoma"/>
            <family val="2"/>
          </rPr>
          <t xml:space="preserve">
проверити збир!
</t>
        </r>
      </text>
    </comment>
    <comment ref="I2444" authorId="0">
      <text>
        <r>
          <rPr>
            <b/>
            <sz val="9"/>
            <color indexed="81"/>
            <rFont val="Tahoma"/>
            <family val="2"/>
          </rPr>
          <t>LPA:</t>
        </r>
        <r>
          <rPr>
            <sz val="9"/>
            <color indexed="81"/>
            <rFont val="Tahoma"/>
            <family val="2"/>
          </rPr>
          <t xml:space="preserve">
проверити збир!
</t>
        </r>
      </text>
    </comment>
    <comment ref="I2445" authorId="0">
      <text>
        <r>
          <rPr>
            <b/>
            <sz val="9"/>
            <color indexed="81"/>
            <rFont val="Tahoma"/>
            <family val="2"/>
          </rPr>
          <t>LPA:</t>
        </r>
        <r>
          <rPr>
            <sz val="9"/>
            <color indexed="81"/>
            <rFont val="Tahoma"/>
            <family val="2"/>
          </rPr>
          <t xml:space="preserve">
проверити збир!
</t>
        </r>
      </text>
    </comment>
    <comment ref="I2446" authorId="0">
      <text>
        <r>
          <rPr>
            <b/>
            <sz val="9"/>
            <color indexed="81"/>
            <rFont val="Tahoma"/>
            <family val="2"/>
          </rPr>
          <t>LPA:</t>
        </r>
        <r>
          <rPr>
            <sz val="9"/>
            <color indexed="81"/>
            <rFont val="Tahoma"/>
            <family val="2"/>
          </rPr>
          <t xml:space="preserve">
проверити збир!
</t>
        </r>
      </text>
    </comment>
    <comment ref="I2447" authorId="0">
      <text>
        <r>
          <rPr>
            <b/>
            <sz val="9"/>
            <color indexed="81"/>
            <rFont val="Tahoma"/>
            <family val="2"/>
          </rPr>
          <t>LPA:</t>
        </r>
        <r>
          <rPr>
            <sz val="9"/>
            <color indexed="81"/>
            <rFont val="Tahoma"/>
            <family val="2"/>
          </rPr>
          <t xml:space="preserve">
проверити збир!
</t>
        </r>
      </text>
    </comment>
    <comment ref="I2448" authorId="0">
      <text>
        <r>
          <rPr>
            <b/>
            <sz val="9"/>
            <color indexed="81"/>
            <rFont val="Tahoma"/>
            <family val="2"/>
          </rPr>
          <t>LPA:</t>
        </r>
        <r>
          <rPr>
            <sz val="9"/>
            <color indexed="81"/>
            <rFont val="Tahoma"/>
            <family val="2"/>
          </rPr>
          <t xml:space="preserve">
проверити збир!
</t>
        </r>
      </text>
    </comment>
    <comment ref="I2449" authorId="0">
      <text>
        <r>
          <rPr>
            <b/>
            <sz val="9"/>
            <color indexed="81"/>
            <rFont val="Tahoma"/>
            <family val="2"/>
          </rPr>
          <t>LPA:</t>
        </r>
        <r>
          <rPr>
            <sz val="9"/>
            <color indexed="81"/>
            <rFont val="Tahoma"/>
            <family val="2"/>
          </rPr>
          <t xml:space="preserve">
проверити збир!
</t>
        </r>
      </text>
    </comment>
    <comment ref="I2520" authorId="0">
      <text>
        <r>
          <rPr>
            <b/>
            <sz val="9"/>
            <color indexed="81"/>
            <rFont val="Tahoma"/>
            <family val="2"/>
          </rPr>
          <t>LPA:</t>
        </r>
        <r>
          <rPr>
            <sz val="9"/>
            <color indexed="81"/>
            <rFont val="Tahoma"/>
            <family val="2"/>
          </rPr>
          <t xml:space="preserve">
проверити збир!
</t>
        </r>
      </text>
    </comment>
    <comment ref="I2521" authorId="0">
      <text>
        <r>
          <rPr>
            <b/>
            <sz val="9"/>
            <color indexed="81"/>
            <rFont val="Tahoma"/>
            <family val="2"/>
          </rPr>
          <t>LPA:</t>
        </r>
        <r>
          <rPr>
            <sz val="9"/>
            <color indexed="81"/>
            <rFont val="Tahoma"/>
            <family val="2"/>
          </rPr>
          <t xml:space="preserve">
проверити збир!
</t>
        </r>
      </text>
    </comment>
    <comment ref="I2522" authorId="0">
      <text>
        <r>
          <rPr>
            <b/>
            <sz val="9"/>
            <color indexed="81"/>
            <rFont val="Tahoma"/>
            <family val="2"/>
          </rPr>
          <t>LPA:</t>
        </r>
        <r>
          <rPr>
            <sz val="9"/>
            <color indexed="81"/>
            <rFont val="Tahoma"/>
            <family val="2"/>
          </rPr>
          <t xml:space="preserve">
проверити збир!
</t>
        </r>
      </text>
    </comment>
    <comment ref="I2523" authorId="0">
      <text>
        <r>
          <rPr>
            <b/>
            <sz val="9"/>
            <color indexed="81"/>
            <rFont val="Tahoma"/>
            <family val="2"/>
          </rPr>
          <t>LPA:</t>
        </r>
        <r>
          <rPr>
            <sz val="9"/>
            <color indexed="81"/>
            <rFont val="Tahoma"/>
            <family val="2"/>
          </rPr>
          <t xml:space="preserve">
проверити збир!
</t>
        </r>
      </text>
    </comment>
    <comment ref="I2524" authorId="0">
      <text>
        <r>
          <rPr>
            <b/>
            <sz val="9"/>
            <color indexed="81"/>
            <rFont val="Tahoma"/>
            <family val="2"/>
          </rPr>
          <t>LPA:</t>
        </r>
        <r>
          <rPr>
            <sz val="9"/>
            <color indexed="81"/>
            <rFont val="Tahoma"/>
            <family val="2"/>
          </rPr>
          <t xml:space="preserve">
проверити збир!
</t>
        </r>
      </text>
    </comment>
    <comment ref="I2525" authorId="0">
      <text>
        <r>
          <rPr>
            <b/>
            <sz val="9"/>
            <color indexed="81"/>
            <rFont val="Tahoma"/>
            <family val="2"/>
          </rPr>
          <t>LPA:</t>
        </r>
        <r>
          <rPr>
            <sz val="9"/>
            <color indexed="81"/>
            <rFont val="Tahoma"/>
            <family val="2"/>
          </rPr>
          <t xml:space="preserve">
проверити збир!
</t>
        </r>
      </text>
    </comment>
    <comment ref="I2526" authorId="0">
      <text>
        <r>
          <rPr>
            <b/>
            <sz val="9"/>
            <color indexed="81"/>
            <rFont val="Tahoma"/>
            <family val="2"/>
          </rPr>
          <t>LPA:</t>
        </r>
        <r>
          <rPr>
            <sz val="9"/>
            <color indexed="81"/>
            <rFont val="Tahoma"/>
            <family val="2"/>
          </rPr>
          <t xml:space="preserve">
проверити збир!
</t>
        </r>
      </text>
    </comment>
    <comment ref="I2527" authorId="0">
      <text>
        <r>
          <rPr>
            <b/>
            <sz val="9"/>
            <color indexed="81"/>
            <rFont val="Tahoma"/>
            <family val="2"/>
          </rPr>
          <t>LPA:</t>
        </r>
        <r>
          <rPr>
            <sz val="9"/>
            <color indexed="81"/>
            <rFont val="Tahoma"/>
            <family val="2"/>
          </rPr>
          <t xml:space="preserve">
проверити збир!
</t>
        </r>
      </text>
    </comment>
    <comment ref="I2528" authorId="0">
      <text>
        <r>
          <rPr>
            <b/>
            <sz val="9"/>
            <color indexed="81"/>
            <rFont val="Tahoma"/>
            <family val="2"/>
          </rPr>
          <t>LPA:</t>
        </r>
        <r>
          <rPr>
            <sz val="9"/>
            <color indexed="81"/>
            <rFont val="Tahoma"/>
            <family val="2"/>
          </rPr>
          <t xml:space="preserve">
проверити збир!
</t>
        </r>
      </text>
    </comment>
    <comment ref="I2529" authorId="0">
      <text>
        <r>
          <rPr>
            <b/>
            <sz val="9"/>
            <color indexed="81"/>
            <rFont val="Tahoma"/>
            <family val="2"/>
          </rPr>
          <t>LPA:</t>
        </r>
        <r>
          <rPr>
            <sz val="9"/>
            <color indexed="81"/>
            <rFont val="Tahoma"/>
            <family val="2"/>
          </rPr>
          <t xml:space="preserve">
проверити збир!
</t>
        </r>
      </text>
    </comment>
    <comment ref="I2530" authorId="0">
      <text>
        <r>
          <rPr>
            <b/>
            <sz val="9"/>
            <color indexed="81"/>
            <rFont val="Tahoma"/>
            <family val="2"/>
          </rPr>
          <t>LPA:</t>
        </r>
        <r>
          <rPr>
            <sz val="9"/>
            <color indexed="81"/>
            <rFont val="Tahoma"/>
            <family val="2"/>
          </rPr>
          <t xml:space="preserve">
проверити збир!
</t>
        </r>
      </text>
    </comment>
    <comment ref="I2531" authorId="0">
      <text>
        <r>
          <rPr>
            <b/>
            <sz val="9"/>
            <color indexed="81"/>
            <rFont val="Tahoma"/>
            <family val="2"/>
          </rPr>
          <t>LPA:</t>
        </r>
        <r>
          <rPr>
            <sz val="9"/>
            <color indexed="81"/>
            <rFont val="Tahoma"/>
            <family val="2"/>
          </rPr>
          <t xml:space="preserve">
проверити збир!
</t>
        </r>
      </text>
    </comment>
    <comment ref="I2532" authorId="0">
      <text>
        <r>
          <rPr>
            <b/>
            <sz val="9"/>
            <color indexed="81"/>
            <rFont val="Tahoma"/>
            <family val="2"/>
          </rPr>
          <t>LPA:</t>
        </r>
        <r>
          <rPr>
            <sz val="9"/>
            <color indexed="81"/>
            <rFont val="Tahoma"/>
            <family val="2"/>
          </rPr>
          <t xml:space="preserve">
проверити збир!
</t>
        </r>
      </text>
    </comment>
    <comment ref="H2535" authorId="0">
      <text>
        <r>
          <rPr>
            <b/>
            <sz val="9"/>
            <color indexed="81"/>
            <rFont val="Tahoma"/>
            <family val="2"/>
          </rPr>
          <t>LPA:</t>
        </r>
        <r>
          <rPr>
            <sz val="9"/>
            <color indexed="81"/>
            <rFont val="Tahoma"/>
            <family val="2"/>
          </rPr>
          <t xml:space="preserve">
проверити збир!</t>
        </r>
      </text>
    </comment>
    <comment ref="I2535" authorId="0">
      <text>
        <r>
          <rPr>
            <b/>
            <sz val="9"/>
            <color indexed="81"/>
            <rFont val="Tahoma"/>
            <family val="2"/>
          </rPr>
          <t>LPA:</t>
        </r>
        <r>
          <rPr>
            <sz val="9"/>
            <color indexed="81"/>
            <rFont val="Tahoma"/>
            <family val="2"/>
          </rPr>
          <t xml:space="preserve">
проверити збир!</t>
        </r>
      </text>
    </comment>
    <comment ref="I2536" authorId="0">
      <text>
        <r>
          <rPr>
            <b/>
            <sz val="9"/>
            <color indexed="81"/>
            <rFont val="Tahoma"/>
            <family val="2"/>
          </rPr>
          <t>LPA:</t>
        </r>
        <r>
          <rPr>
            <sz val="9"/>
            <color indexed="81"/>
            <rFont val="Tahoma"/>
            <family val="2"/>
          </rPr>
          <t xml:space="preserve">
проверити збир!
</t>
        </r>
      </text>
    </comment>
    <comment ref="I2537" authorId="0">
      <text>
        <r>
          <rPr>
            <b/>
            <sz val="9"/>
            <color indexed="81"/>
            <rFont val="Tahoma"/>
            <family val="2"/>
          </rPr>
          <t>LPA:</t>
        </r>
        <r>
          <rPr>
            <sz val="9"/>
            <color indexed="81"/>
            <rFont val="Tahoma"/>
            <family val="2"/>
          </rPr>
          <t xml:space="preserve">
проверити збир!
</t>
        </r>
      </text>
    </comment>
    <comment ref="I2538" authorId="0">
      <text>
        <r>
          <rPr>
            <b/>
            <sz val="9"/>
            <color indexed="81"/>
            <rFont val="Tahoma"/>
            <family val="2"/>
          </rPr>
          <t>LPA:</t>
        </r>
        <r>
          <rPr>
            <sz val="9"/>
            <color indexed="81"/>
            <rFont val="Tahoma"/>
            <family val="2"/>
          </rPr>
          <t xml:space="preserve">
проверити збир!
</t>
        </r>
      </text>
    </comment>
    <comment ref="I2539" authorId="0">
      <text>
        <r>
          <rPr>
            <b/>
            <sz val="9"/>
            <color indexed="81"/>
            <rFont val="Tahoma"/>
            <family val="2"/>
          </rPr>
          <t>LPA:</t>
        </r>
        <r>
          <rPr>
            <sz val="9"/>
            <color indexed="81"/>
            <rFont val="Tahoma"/>
            <family val="2"/>
          </rPr>
          <t xml:space="preserve">
проверити збир!
</t>
        </r>
      </text>
    </comment>
    <comment ref="I2540" authorId="0">
      <text>
        <r>
          <rPr>
            <b/>
            <sz val="9"/>
            <color indexed="81"/>
            <rFont val="Tahoma"/>
            <family val="2"/>
          </rPr>
          <t>LPA:</t>
        </r>
        <r>
          <rPr>
            <sz val="9"/>
            <color indexed="81"/>
            <rFont val="Tahoma"/>
            <family val="2"/>
          </rPr>
          <t xml:space="preserve">
проверити збир!
</t>
        </r>
      </text>
    </comment>
    <comment ref="I2541" authorId="0">
      <text>
        <r>
          <rPr>
            <b/>
            <sz val="9"/>
            <color indexed="81"/>
            <rFont val="Tahoma"/>
            <family val="2"/>
          </rPr>
          <t>LPA:</t>
        </r>
        <r>
          <rPr>
            <sz val="9"/>
            <color indexed="81"/>
            <rFont val="Tahoma"/>
            <family val="2"/>
          </rPr>
          <t xml:space="preserve">
проверити збир!
</t>
        </r>
      </text>
    </comment>
    <comment ref="I2542" authorId="0">
      <text>
        <r>
          <rPr>
            <b/>
            <sz val="9"/>
            <color indexed="81"/>
            <rFont val="Tahoma"/>
            <family val="2"/>
          </rPr>
          <t>LPA:</t>
        </r>
        <r>
          <rPr>
            <sz val="9"/>
            <color indexed="81"/>
            <rFont val="Tahoma"/>
            <family val="2"/>
          </rPr>
          <t xml:space="preserve">
проверити збир!
</t>
        </r>
      </text>
    </comment>
    <comment ref="I2543" authorId="0">
      <text>
        <r>
          <rPr>
            <b/>
            <sz val="9"/>
            <color indexed="81"/>
            <rFont val="Tahoma"/>
            <family val="2"/>
          </rPr>
          <t>LPA:</t>
        </r>
        <r>
          <rPr>
            <sz val="9"/>
            <color indexed="81"/>
            <rFont val="Tahoma"/>
            <family val="2"/>
          </rPr>
          <t xml:space="preserve">
проверити збир!
</t>
        </r>
      </text>
    </comment>
    <comment ref="I2544" authorId="0">
      <text>
        <r>
          <rPr>
            <b/>
            <sz val="9"/>
            <color indexed="81"/>
            <rFont val="Tahoma"/>
            <family val="2"/>
          </rPr>
          <t>LPA:</t>
        </r>
        <r>
          <rPr>
            <sz val="9"/>
            <color indexed="81"/>
            <rFont val="Tahoma"/>
            <family val="2"/>
          </rPr>
          <t xml:space="preserve">
проверити збир!
</t>
        </r>
      </text>
    </comment>
    <comment ref="I2545" authorId="0">
      <text>
        <r>
          <rPr>
            <b/>
            <sz val="9"/>
            <color indexed="81"/>
            <rFont val="Tahoma"/>
            <family val="2"/>
          </rPr>
          <t>LPA:</t>
        </r>
        <r>
          <rPr>
            <sz val="9"/>
            <color indexed="81"/>
            <rFont val="Tahoma"/>
            <family val="2"/>
          </rPr>
          <t xml:space="preserve">
проверити збир!
</t>
        </r>
      </text>
    </comment>
    <comment ref="I2546" authorId="0">
      <text>
        <r>
          <rPr>
            <b/>
            <sz val="9"/>
            <color indexed="81"/>
            <rFont val="Tahoma"/>
            <family val="2"/>
          </rPr>
          <t>LPA:</t>
        </r>
        <r>
          <rPr>
            <sz val="9"/>
            <color indexed="81"/>
            <rFont val="Tahoma"/>
            <family val="2"/>
          </rPr>
          <t xml:space="preserve">
проверити збир!
</t>
        </r>
      </text>
    </comment>
    <comment ref="I2547" authorId="0">
      <text>
        <r>
          <rPr>
            <b/>
            <sz val="9"/>
            <color indexed="81"/>
            <rFont val="Tahoma"/>
            <family val="2"/>
          </rPr>
          <t>LPA:</t>
        </r>
        <r>
          <rPr>
            <sz val="9"/>
            <color indexed="81"/>
            <rFont val="Tahoma"/>
            <family val="2"/>
          </rPr>
          <t xml:space="preserve">
проверити збир!
</t>
        </r>
      </text>
    </comment>
    <comment ref="I2548" authorId="0">
      <text>
        <r>
          <rPr>
            <b/>
            <sz val="9"/>
            <color indexed="81"/>
            <rFont val="Tahoma"/>
            <family val="2"/>
          </rPr>
          <t>LPA:</t>
        </r>
        <r>
          <rPr>
            <sz val="9"/>
            <color indexed="81"/>
            <rFont val="Tahoma"/>
            <family val="2"/>
          </rPr>
          <t xml:space="preserve">
проверити збир!
</t>
        </r>
      </text>
    </comment>
    <comment ref="I2549" authorId="0">
      <text>
        <r>
          <rPr>
            <b/>
            <sz val="9"/>
            <color indexed="81"/>
            <rFont val="Tahoma"/>
            <family val="2"/>
          </rPr>
          <t>LPA:</t>
        </r>
        <r>
          <rPr>
            <sz val="9"/>
            <color indexed="81"/>
            <rFont val="Tahoma"/>
            <family val="2"/>
          </rPr>
          <t xml:space="preserve">
проверити збир!
</t>
        </r>
      </text>
    </comment>
    <comment ref="I2550" authorId="0">
      <text>
        <r>
          <rPr>
            <b/>
            <sz val="9"/>
            <color indexed="81"/>
            <rFont val="Tahoma"/>
            <family val="2"/>
          </rPr>
          <t>LPA:</t>
        </r>
        <r>
          <rPr>
            <sz val="9"/>
            <color indexed="81"/>
            <rFont val="Tahoma"/>
            <family val="2"/>
          </rPr>
          <t xml:space="preserve">
проверити збир!
</t>
        </r>
      </text>
    </comment>
    <comment ref="I2619" authorId="0">
      <text>
        <r>
          <rPr>
            <b/>
            <sz val="9"/>
            <color indexed="81"/>
            <rFont val="Tahoma"/>
            <family val="2"/>
          </rPr>
          <t>LPA:</t>
        </r>
        <r>
          <rPr>
            <sz val="9"/>
            <color indexed="81"/>
            <rFont val="Tahoma"/>
            <family val="2"/>
          </rPr>
          <t xml:space="preserve">
проверити збир!
</t>
        </r>
      </text>
    </comment>
    <comment ref="I2620" authorId="0">
      <text>
        <r>
          <rPr>
            <b/>
            <sz val="9"/>
            <color indexed="81"/>
            <rFont val="Tahoma"/>
            <family val="2"/>
          </rPr>
          <t>LPA:</t>
        </r>
        <r>
          <rPr>
            <sz val="9"/>
            <color indexed="81"/>
            <rFont val="Tahoma"/>
            <family val="2"/>
          </rPr>
          <t xml:space="preserve">
проверити збир!
</t>
        </r>
      </text>
    </comment>
    <comment ref="I2621" authorId="0">
      <text>
        <r>
          <rPr>
            <b/>
            <sz val="9"/>
            <color indexed="81"/>
            <rFont val="Tahoma"/>
            <family val="2"/>
          </rPr>
          <t>LPA:</t>
        </r>
        <r>
          <rPr>
            <sz val="9"/>
            <color indexed="81"/>
            <rFont val="Tahoma"/>
            <family val="2"/>
          </rPr>
          <t xml:space="preserve">
проверити збир!
</t>
        </r>
      </text>
    </comment>
    <comment ref="I2622" authorId="0">
      <text>
        <r>
          <rPr>
            <b/>
            <sz val="9"/>
            <color indexed="81"/>
            <rFont val="Tahoma"/>
            <family val="2"/>
          </rPr>
          <t>LPA:</t>
        </r>
        <r>
          <rPr>
            <sz val="9"/>
            <color indexed="81"/>
            <rFont val="Tahoma"/>
            <family val="2"/>
          </rPr>
          <t xml:space="preserve">
проверити збир!
</t>
        </r>
      </text>
    </comment>
    <comment ref="I2623" authorId="0">
      <text>
        <r>
          <rPr>
            <b/>
            <sz val="9"/>
            <color indexed="81"/>
            <rFont val="Tahoma"/>
            <family val="2"/>
          </rPr>
          <t>LPA:</t>
        </r>
        <r>
          <rPr>
            <sz val="9"/>
            <color indexed="81"/>
            <rFont val="Tahoma"/>
            <family val="2"/>
          </rPr>
          <t xml:space="preserve">
проверити збир!
</t>
        </r>
      </text>
    </comment>
    <comment ref="I2624" authorId="0">
      <text>
        <r>
          <rPr>
            <b/>
            <sz val="9"/>
            <color indexed="81"/>
            <rFont val="Tahoma"/>
            <family val="2"/>
          </rPr>
          <t>LPA:</t>
        </r>
        <r>
          <rPr>
            <sz val="9"/>
            <color indexed="81"/>
            <rFont val="Tahoma"/>
            <family val="2"/>
          </rPr>
          <t xml:space="preserve">
проверити збир!
</t>
        </r>
      </text>
    </comment>
    <comment ref="I2625" authorId="0">
      <text>
        <r>
          <rPr>
            <b/>
            <sz val="9"/>
            <color indexed="81"/>
            <rFont val="Tahoma"/>
            <family val="2"/>
          </rPr>
          <t>LPA:</t>
        </r>
        <r>
          <rPr>
            <sz val="9"/>
            <color indexed="81"/>
            <rFont val="Tahoma"/>
            <family val="2"/>
          </rPr>
          <t xml:space="preserve">
проверити збир!
</t>
        </r>
      </text>
    </comment>
    <comment ref="I2626" authorId="0">
      <text>
        <r>
          <rPr>
            <b/>
            <sz val="9"/>
            <color indexed="81"/>
            <rFont val="Tahoma"/>
            <family val="2"/>
          </rPr>
          <t>LPA:</t>
        </r>
        <r>
          <rPr>
            <sz val="9"/>
            <color indexed="81"/>
            <rFont val="Tahoma"/>
            <family val="2"/>
          </rPr>
          <t xml:space="preserve">
проверити збир!
</t>
        </r>
      </text>
    </comment>
    <comment ref="I2627" authorId="0">
      <text>
        <r>
          <rPr>
            <b/>
            <sz val="9"/>
            <color indexed="81"/>
            <rFont val="Tahoma"/>
            <family val="2"/>
          </rPr>
          <t>LPA:</t>
        </r>
        <r>
          <rPr>
            <sz val="9"/>
            <color indexed="81"/>
            <rFont val="Tahoma"/>
            <family val="2"/>
          </rPr>
          <t xml:space="preserve">
проверити збир!
</t>
        </r>
      </text>
    </comment>
    <comment ref="I2628" authorId="0">
      <text>
        <r>
          <rPr>
            <b/>
            <sz val="9"/>
            <color indexed="81"/>
            <rFont val="Tahoma"/>
            <family val="2"/>
          </rPr>
          <t>LPA:</t>
        </r>
        <r>
          <rPr>
            <sz val="9"/>
            <color indexed="81"/>
            <rFont val="Tahoma"/>
            <family val="2"/>
          </rPr>
          <t xml:space="preserve">
проверити збир!
</t>
        </r>
      </text>
    </comment>
    <comment ref="I2629" authorId="0">
      <text>
        <r>
          <rPr>
            <b/>
            <sz val="9"/>
            <color indexed="81"/>
            <rFont val="Tahoma"/>
            <family val="2"/>
          </rPr>
          <t>LPA:</t>
        </r>
        <r>
          <rPr>
            <sz val="9"/>
            <color indexed="81"/>
            <rFont val="Tahoma"/>
            <family val="2"/>
          </rPr>
          <t xml:space="preserve">
проверити збир!
</t>
        </r>
      </text>
    </comment>
    <comment ref="I2630" authorId="0">
      <text>
        <r>
          <rPr>
            <b/>
            <sz val="9"/>
            <color indexed="81"/>
            <rFont val="Tahoma"/>
            <family val="2"/>
          </rPr>
          <t>LPA:</t>
        </r>
        <r>
          <rPr>
            <sz val="9"/>
            <color indexed="81"/>
            <rFont val="Tahoma"/>
            <family val="2"/>
          </rPr>
          <t xml:space="preserve">
проверити збир!
</t>
        </r>
      </text>
    </comment>
    <comment ref="I2631" authorId="0">
      <text>
        <r>
          <rPr>
            <b/>
            <sz val="9"/>
            <color indexed="81"/>
            <rFont val="Tahoma"/>
            <family val="2"/>
          </rPr>
          <t>LPA:</t>
        </r>
        <r>
          <rPr>
            <sz val="9"/>
            <color indexed="81"/>
            <rFont val="Tahoma"/>
            <family val="2"/>
          </rPr>
          <t xml:space="preserve">
проверити збир!
</t>
        </r>
      </text>
    </comment>
    <comment ref="H2634" authorId="0">
      <text>
        <r>
          <rPr>
            <b/>
            <sz val="9"/>
            <color indexed="81"/>
            <rFont val="Tahoma"/>
            <family val="2"/>
          </rPr>
          <t>LPA:</t>
        </r>
        <r>
          <rPr>
            <sz val="9"/>
            <color indexed="81"/>
            <rFont val="Tahoma"/>
            <family val="2"/>
          </rPr>
          <t xml:space="preserve">
проверити збир!</t>
        </r>
      </text>
    </comment>
    <comment ref="I2634" authorId="0">
      <text>
        <r>
          <rPr>
            <b/>
            <sz val="9"/>
            <color indexed="81"/>
            <rFont val="Tahoma"/>
            <family val="2"/>
          </rPr>
          <t>LPA:</t>
        </r>
        <r>
          <rPr>
            <sz val="9"/>
            <color indexed="81"/>
            <rFont val="Tahoma"/>
            <family val="2"/>
          </rPr>
          <t xml:space="preserve">
проверити збир!</t>
        </r>
      </text>
    </comment>
    <comment ref="I2635" authorId="0">
      <text>
        <r>
          <rPr>
            <b/>
            <sz val="9"/>
            <color indexed="81"/>
            <rFont val="Tahoma"/>
            <family val="2"/>
          </rPr>
          <t>LPA:</t>
        </r>
        <r>
          <rPr>
            <sz val="9"/>
            <color indexed="81"/>
            <rFont val="Tahoma"/>
            <family val="2"/>
          </rPr>
          <t xml:space="preserve">
проверити збир!
</t>
        </r>
      </text>
    </comment>
    <comment ref="I2636" authorId="0">
      <text>
        <r>
          <rPr>
            <b/>
            <sz val="9"/>
            <color indexed="81"/>
            <rFont val="Tahoma"/>
            <family val="2"/>
          </rPr>
          <t>LPA:</t>
        </r>
        <r>
          <rPr>
            <sz val="9"/>
            <color indexed="81"/>
            <rFont val="Tahoma"/>
            <family val="2"/>
          </rPr>
          <t xml:space="preserve">
проверити збир!
</t>
        </r>
      </text>
    </comment>
    <comment ref="I2637" authorId="0">
      <text>
        <r>
          <rPr>
            <b/>
            <sz val="9"/>
            <color indexed="81"/>
            <rFont val="Tahoma"/>
            <family val="2"/>
          </rPr>
          <t>LPA:</t>
        </r>
        <r>
          <rPr>
            <sz val="9"/>
            <color indexed="81"/>
            <rFont val="Tahoma"/>
            <family val="2"/>
          </rPr>
          <t xml:space="preserve">
проверити збир!
</t>
        </r>
      </text>
    </comment>
    <comment ref="I2638" authorId="0">
      <text>
        <r>
          <rPr>
            <b/>
            <sz val="9"/>
            <color indexed="81"/>
            <rFont val="Tahoma"/>
            <family val="2"/>
          </rPr>
          <t>LPA:</t>
        </r>
        <r>
          <rPr>
            <sz val="9"/>
            <color indexed="81"/>
            <rFont val="Tahoma"/>
            <family val="2"/>
          </rPr>
          <t xml:space="preserve">
проверити збир!
</t>
        </r>
      </text>
    </comment>
    <comment ref="I2639" authorId="0">
      <text>
        <r>
          <rPr>
            <b/>
            <sz val="9"/>
            <color indexed="81"/>
            <rFont val="Tahoma"/>
            <family val="2"/>
          </rPr>
          <t>LPA:</t>
        </r>
        <r>
          <rPr>
            <sz val="9"/>
            <color indexed="81"/>
            <rFont val="Tahoma"/>
            <family val="2"/>
          </rPr>
          <t xml:space="preserve">
проверити збир!
</t>
        </r>
      </text>
    </comment>
    <comment ref="I2640" authorId="0">
      <text>
        <r>
          <rPr>
            <b/>
            <sz val="9"/>
            <color indexed="81"/>
            <rFont val="Tahoma"/>
            <family val="2"/>
          </rPr>
          <t>LPA:</t>
        </r>
        <r>
          <rPr>
            <sz val="9"/>
            <color indexed="81"/>
            <rFont val="Tahoma"/>
            <family val="2"/>
          </rPr>
          <t xml:space="preserve">
проверити збир!
</t>
        </r>
      </text>
    </comment>
    <comment ref="I2641" authorId="0">
      <text>
        <r>
          <rPr>
            <b/>
            <sz val="9"/>
            <color indexed="81"/>
            <rFont val="Tahoma"/>
            <family val="2"/>
          </rPr>
          <t>LPA:</t>
        </r>
        <r>
          <rPr>
            <sz val="9"/>
            <color indexed="81"/>
            <rFont val="Tahoma"/>
            <family val="2"/>
          </rPr>
          <t xml:space="preserve">
проверити збир!
</t>
        </r>
      </text>
    </comment>
    <comment ref="I2642" authorId="0">
      <text>
        <r>
          <rPr>
            <b/>
            <sz val="9"/>
            <color indexed="81"/>
            <rFont val="Tahoma"/>
            <family val="2"/>
          </rPr>
          <t>LPA:</t>
        </r>
        <r>
          <rPr>
            <sz val="9"/>
            <color indexed="81"/>
            <rFont val="Tahoma"/>
            <family val="2"/>
          </rPr>
          <t xml:space="preserve">
проверити збир!
</t>
        </r>
      </text>
    </comment>
    <comment ref="I2643" authorId="0">
      <text>
        <r>
          <rPr>
            <b/>
            <sz val="9"/>
            <color indexed="81"/>
            <rFont val="Tahoma"/>
            <family val="2"/>
          </rPr>
          <t>LPA:</t>
        </r>
        <r>
          <rPr>
            <sz val="9"/>
            <color indexed="81"/>
            <rFont val="Tahoma"/>
            <family val="2"/>
          </rPr>
          <t xml:space="preserve">
проверити збир!
</t>
        </r>
      </text>
    </comment>
    <comment ref="I2644" authorId="0">
      <text>
        <r>
          <rPr>
            <b/>
            <sz val="9"/>
            <color indexed="81"/>
            <rFont val="Tahoma"/>
            <family val="2"/>
          </rPr>
          <t>LPA:</t>
        </r>
        <r>
          <rPr>
            <sz val="9"/>
            <color indexed="81"/>
            <rFont val="Tahoma"/>
            <family val="2"/>
          </rPr>
          <t xml:space="preserve">
проверити збир!
</t>
        </r>
      </text>
    </comment>
    <comment ref="I2645" authorId="0">
      <text>
        <r>
          <rPr>
            <b/>
            <sz val="9"/>
            <color indexed="81"/>
            <rFont val="Tahoma"/>
            <family val="2"/>
          </rPr>
          <t>LPA:</t>
        </r>
        <r>
          <rPr>
            <sz val="9"/>
            <color indexed="81"/>
            <rFont val="Tahoma"/>
            <family val="2"/>
          </rPr>
          <t xml:space="preserve">
проверити збир!
</t>
        </r>
      </text>
    </comment>
    <comment ref="I2646" authorId="0">
      <text>
        <r>
          <rPr>
            <b/>
            <sz val="9"/>
            <color indexed="81"/>
            <rFont val="Tahoma"/>
            <family val="2"/>
          </rPr>
          <t>LPA:</t>
        </r>
        <r>
          <rPr>
            <sz val="9"/>
            <color indexed="81"/>
            <rFont val="Tahoma"/>
            <family val="2"/>
          </rPr>
          <t xml:space="preserve">
проверити збир!
</t>
        </r>
      </text>
    </comment>
    <comment ref="I2647" authorId="0">
      <text>
        <r>
          <rPr>
            <b/>
            <sz val="9"/>
            <color indexed="81"/>
            <rFont val="Tahoma"/>
            <family val="2"/>
          </rPr>
          <t>LPA:</t>
        </r>
        <r>
          <rPr>
            <sz val="9"/>
            <color indexed="81"/>
            <rFont val="Tahoma"/>
            <family val="2"/>
          </rPr>
          <t xml:space="preserve">
проверити збир!
</t>
        </r>
      </text>
    </comment>
    <comment ref="I2648" authorId="0">
      <text>
        <r>
          <rPr>
            <b/>
            <sz val="9"/>
            <color indexed="81"/>
            <rFont val="Tahoma"/>
            <family val="2"/>
          </rPr>
          <t>LPA:</t>
        </r>
        <r>
          <rPr>
            <sz val="9"/>
            <color indexed="81"/>
            <rFont val="Tahoma"/>
            <family val="2"/>
          </rPr>
          <t xml:space="preserve">
проверити збир!
</t>
        </r>
      </text>
    </comment>
    <comment ref="I2649" authorId="0">
      <text>
        <r>
          <rPr>
            <b/>
            <sz val="9"/>
            <color indexed="81"/>
            <rFont val="Tahoma"/>
            <family val="2"/>
          </rPr>
          <t>LPA:</t>
        </r>
        <r>
          <rPr>
            <sz val="9"/>
            <color indexed="81"/>
            <rFont val="Tahoma"/>
            <family val="2"/>
          </rPr>
          <t xml:space="preserve">
проверити збир!
</t>
        </r>
      </text>
    </comment>
    <comment ref="I2730" authorId="0">
      <text>
        <r>
          <rPr>
            <b/>
            <sz val="9"/>
            <color indexed="81"/>
            <rFont val="Tahoma"/>
            <family val="2"/>
          </rPr>
          <t>LPA:</t>
        </r>
        <r>
          <rPr>
            <sz val="9"/>
            <color indexed="81"/>
            <rFont val="Tahoma"/>
            <family val="2"/>
          </rPr>
          <t xml:space="preserve">
проверити збир!
</t>
        </r>
      </text>
    </comment>
    <comment ref="I2731" authorId="0">
      <text>
        <r>
          <rPr>
            <b/>
            <sz val="9"/>
            <color indexed="81"/>
            <rFont val="Tahoma"/>
            <family val="2"/>
          </rPr>
          <t>LPA:</t>
        </r>
        <r>
          <rPr>
            <sz val="9"/>
            <color indexed="81"/>
            <rFont val="Tahoma"/>
            <family val="2"/>
          </rPr>
          <t xml:space="preserve">
проверити збир!
</t>
        </r>
      </text>
    </comment>
    <comment ref="I2732" authorId="0">
      <text>
        <r>
          <rPr>
            <b/>
            <sz val="9"/>
            <color indexed="81"/>
            <rFont val="Tahoma"/>
            <family val="2"/>
          </rPr>
          <t>LPA:</t>
        </r>
        <r>
          <rPr>
            <sz val="9"/>
            <color indexed="81"/>
            <rFont val="Tahoma"/>
            <family val="2"/>
          </rPr>
          <t xml:space="preserve">
проверити збир!
</t>
        </r>
      </text>
    </comment>
    <comment ref="I2733" authorId="0">
      <text>
        <r>
          <rPr>
            <b/>
            <sz val="9"/>
            <color indexed="81"/>
            <rFont val="Tahoma"/>
            <family val="2"/>
          </rPr>
          <t>LPA:</t>
        </r>
        <r>
          <rPr>
            <sz val="9"/>
            <color indexed="81"/>
            <rFont val="Tahoma"/>
            <family val="2"/>
          </rPr>
          <t xml:space="preserve">
проверити збир!
</t>
        </r>
      </text>
    </comment>
    <comment ref="I2734" authorId="0">
      <text>
        <r>
          <rPr>
            <b/>
            <sz val="9"/>
            <color indexed="81"/>
            <rFont val="Tahoma"/>
            <family val="2"/>
          </rPr>
          <t>LPA:</t>
        </r>
        <r>
          <rPr>
            <sz val="9"/>
            <color indexed="81"/>
            <rFont val="Tahoma"/>
            <family val="2"/>
          </rPr>
          <t xml:space="preserve">
проверити збир!
</t>
        </r>
      </text>
    </comment>
    <comment ref="I2735" authorId="0">
      <text>
        <r>
          <rPr>
            <b/>
            <sz val="9"/>
            <color indexed="81"/>
            <rFont val="Tahoma"/>
            <family val="2"/>
          </rPr>
          <t>LPA:</t>
        </r>
        <r>
          <rPr>
            <sz val="9"/>
            <color indexed="81"/>
            <rFont val="Tahoma"/>
            <family val="2"/>
          </rPr>
          <t xml:space="preserve">
проверити збир!
</t>
        </r>
      </text>
    </comment>
    <comment ref="I2736" authorId="0">
      <text>
        <r>
          <rPr>
            <b/>
            <sz val="9"/>
            <color indexed="81"/>
            <rFont val="Tahoma"/>
            <family val="2"/>
          </rPr>
          <t>LPA:</t>
        </r>
        <r>
          <rPr>
            <sz val="9"/>
            <color indexed="81"/>
            <rFont val="Tahoma"/>
            <family val="2"/>
          </rPr>
          <t xml:space="preserve">
проверити збир!
</t>
        </r>
      </text>
    </comment>
    <comment ref="I2737" authorId="0">
      <text>
        <r>
          <rPr>
            <b/>
            <sz val="9"/>
            <color indexed="81"/>
            <rFont val="Tahoma"/>
            <family val="2"/>
          </rPr>
          <t>LPA:</t>
        </r>
        <r>
          <rPr>
            <sz val="9"/>
            <color indexed="81"/>
            <rFont val="Tahoma"/>
            <family val="2"/>
          </rPr>
          <t xml:space="preserve">
проверити збир!
</t>
        </r>
      </text>
    </comment>
    <comment ref="I2738" authorId="0">
      <text>
        <r>
          <rPr>
            <b/>
            <sz val="9"/>
            <color indexed="81"/>
            <rFont val="Tahoma"/>
            <family val="2"/>
          </rPr>
          <t>LPA:</t>
        </r>
        <r>
          <rPr>
            <sz val="9"/>
            <color indexed="81"/>
            <rFont val="Tahoma"/>
            <family val="2"/>
          </rPr>
          <t xml:space="preserve">
проверити збир!
</t>
        </r>
      </text>
    </comment>
    <comment ref="I2739" authorId="0">
      <text>
        <r>
          <rPr>
            <b/>
            <sz val="9"/>
            <color indexed="81"/>
            <rFont val="Tahoma"/>
            <family val="2"/>
          </rPr>
          <t>LPA:</t>
        </r>
        <r>
          <rPr>
            <sz val="9"/>
            <color indexed="81"/>
            <rFont val="Tahoma"/>
            <family val="2"/>
          </rPr>
          <t xml:space="preserve">
проверити збир!
</t>
        </r>
      </text>
    </comment>
    <comment ref="I2740" authorId="0">
      <text>
        <r>
          <rPr>
            <b/>
            <sz val="9"/>
            <color indexed="81"/>
            <rFont val="Tahoma"/>
            <family val="2"/>
          </rPr>
          <t>LPA:</t>
        </r>
        <r>
          <rPr>
            <sz val="9"/>
            <color indexed="81"/>
            <rFont val="Tahoma"/>
            <family val="2"/>
          </rPr>
          <t xml:space="preserve">
проверити збир!
</t>
        </r>
      </text>
    </comment>
    <comment ref="I2741" authorId="0">
      <text>
        <r>
          <rPr>
            <b/>
            <sz val="9"/>
            <color indexed="81"/>
            <rFont val="Tahoma"/>
            <family val="2"/>
          </rPr>
          <t>LPA:</t>
        </r>
        <r>
          <rPr>
            <sz val="9"/>
            <color indexed="81"/>
            <rFont val="Tahoma"/>
            <family val="2"/>
          </rPr>
          <t xml:space="preserve">
проверити збир!
</t>
        </r>
      </text>
    </comment>
    <comment ref="I2742" authorId="0">
      <text>
        <r>
          <rPr>
            <b/>
            <sz val="9"/>
            <color indexed="81"/>
            <rFont val="Tahoma"/>
            <family val="2"/>
          </rPr>
          <t>LPA:</t>
        </r>
        <r>
          <rPr>
            <sz val="9"/>
            <color indexed="81"/>
            <rFont val="Tahoma"/>
            <family val="2"/>
          </rPr>
          <t xml:space="preserve">
проверити збир!
</t>
        </r>
      </text>
    </comment>
    <comment ref="H2745" authorId="0">
      <text>
        <r>
          <rPr>
            <b/>
            <sz val="9"/>
            <color indexed="81"/>
            <rFont val="Tahoma"/>
            <family val="2"/>
          </rPr>
          <t>LPA:</t>
        </r>
        <r>
          <rPr>
            <sz val="9"/>
            <color indexed="81"/>
            <rFont val="Tahoma"/>
            <family val="2"/>
          </rPr>
          <t xml:space="preserve">
проверити збир!</t>
        </r>
      </text>
    </comment>
    <comment ref="I2745" authorId="0">
      <text>
        <r>
          <rPr>
            <b/>
            <sz val="9"/>
            <color indexed="81"/>
            <rFont val="Tahoma"/>
            <family val="2"/>
          </rPr>
          <t>LPA:</t>
        </r>
        <r>
          <rPr>
            <sz val="9"/>
            <color indexed="81"/>
            <rFont val="Tahoma"/>
            <family val="2"/>
          </rPr>
          <t xml:space="preserve">
проверити збир!</t>
        </r>
      </text>
    </comment>
    <comment ref="I2746" authorId="0">
      <text>
        <r>
          <rPr>
            <b/>
            <sz val="9"/>
            <color indexed="81"/>
            <rFont val="Tahoma"/>
            <family val="2"/>
          </rPr>
          <t>LPA:</t>
        </r>
        <r>
          <rPr>
            <sz val="9"/>
            <color indexed="81"/>
            <rFont val="Tahoma"/>
            <family val="2"/>
          </rPr>
          <t xml:space="preserve">
проверити збир!
</t>
        </r>
      </text>
    </comment>
    <comment ref="I2747" authorId="0">
      <text>
        <r>
          <rPr>
            <b/>
            <sz val="9"/>
            <color indexed="81"/>
            <rFont val="Tahoma"/>
            <family val="2"/>
          </rPr>
          <t>LPA:</t>
        </r>
        <r>
          <rPr>
            <sz val="9"/>
            <color indexed="81"/>
            <rFont val="Tahoma"/>
            <family val="2"/>
          </rPr>
          <t xml:space="preserve">
проверити збир!
</t>
        </r>
      </text>
    </comment>
    <comment ref="I2748" authorId="0">
      <text>
        <r>
          <rPr>
            <b/>
            <sz val="9"/>
            <color indexed="81"/>
            <rFont val="Tahoma"/>
            <family val="2"/>
          </rPr>
          <t>LPA:</t>
        </r>
        <r>
          <rPr>
            <sz val="9"/>
            <color indexed="81"/>
            <rFont val="Tahoma"/>
            <family val="2"/>
          </rPr>
          <t xml:space="preserve">
проверити збир!
</t>
        </r>
      </text>
    </comment>
    <comment ref="I2749" authorId="0">
      <text>
        <r>
          <rPr>
            <b/>
            <sz val="9"/>
            <color indexed="81"/>
            <rFont val="Tahoma"/>
            <family val="2"/>
          </rPr>
          <t>LPA:</t>
        </r>
        <r>
          <rPr>
            <sz val="9"/>
            <color indexed="81"/>
            <rFont val="Tahoma"/>
            <family val="2"/>
          </rPr>
          <t xml:space="preserve">
проверити збир!
</t>
        </r>
      </text>
    </comment>
    <comment ref="I2750" authorId="0">
      <text>
        <r>
          <rPr>
            <b/>
            <sz val="9"/>
            <color indexed="81"/>
            <rFont val="Tahoma"/>
            <family val="2"/>
          </rPr>
          <t>LPA:</t>
        </r>
        <r>
          <rPr>
            <sz val="9"/>
            <color indexed="81"/>
            <rFont val="Tahoma"/>
            <family val="2"/>
          </rPr>
          <t xml:space="preserve">
проверити збир!
</t>
        </r>
      </text>
    </comment>
    <comment ref="I2751" authorId="0">
      <text>
        <r>
          <rPr>
            <b/>
            <sz val="9"/>
            <color indexed="81"/>
            <rFont val="Tahoma"/>
            <family val="2"/>
          </rPr>
          <t>LPA:</t>
        </r>
        <r>
          <rPr>
            <sz val="9"/>
            <color indexed="81"/>
            <rFont val="Tahoma"/>
            <family val="2"/>
          </rPr>
          <t xml:space="preserve">
проверити збир!
</t>
        </r>
      </text>
    </comment>
    <comment ref="I2752" authorId="0">
      <text>
        <r>
          <rPr>
            <b/>
            <sz val="9"/>
            <color indexed="81"/>
            <rFont val="Tahoma"/>
            <family val="2"/>
          </rPr>
          <t>LPA:</t>
        </r>
        <r>
          <rPr>
            <sz val="9"/>
            <color indexed="81"/>
            <rFont val="Tahoma"/>
            <family val="2"/>
          </rPr>
          <t xml:space="preserve">
проверити збир!
</t>
        </r>
      </text>
    </comment>
    <comment ref="I2753" authorId="0">
      <text>
        <r>
          <rPr>
            <b/>
            <sz val="9"/>
            <color indexed="81"/>
            <rFont val="Tahoma"/>
            <family val="2"/>
          </rPr>
          <t>LPA:</t>
        </r>
        <r>
          <rPr>
            <sz val="9"/>
            <color indexed="81"/>
            <rFont val="Tahoma"/>
            <family val="2"/>
          </rPr>
          <t xml:space="preserve">
проверити збир!
</t>
        </r>
      </text>
    </comment>
    <comment ref="I2754" authorId="0">
      <text>
        <r>
          <rPr>
            <b/>
            <sz val="9"/>
            <color indexed="81"/>
            <rFont val="Tahoma"/>
            <family val="2"/>
          </rPr>
          <t>LPA:</t>
        </r>
        <r>
          <rPr>
            <sz val="9"/>
            <color indexed="81"/>
            <rFont val="Tahoma"/>
            <family val="2"/>
          </rPr>
          <t xml:space="preserve">
проверити збир!
</t>
        </r>
      </text>
    </comment>
    <comment ref="I2755" authorId="0">
      <text>
        <r>
          <rPr>
            <b/>
            <sz val="9"/>
            <color indexed="81"/>
            <rFont val="Tahoma"/>
            <family val="2"/>
          </rPr>
          <t>LPA:</t>
        </r>
        <r>
          <rPr>
            <sz val="9"/>
            <color indexed="81"/>
            <rFont val="Tahoma"/>
            <family val="2"/>
          </rPr>
          <t xml:space="preserve">
проверити збир!
</t>
        </r>
      </text>
    </comment>
    <comment ref="I2756" authorId="0">
      <text>
        <r>
          <rPr>
            <b/>
            <sz val="9"/>
            <color indexed="81"/>
            <rFont val="Tahoma"/>
            <family val="2"/>
          </rPr>
          <t>LPA:</t>
        </r>
        <r>
          <rPr>
            <sz val="9"/>
            <color indexed="81"/>
            <rFont val="Tahoma"/>
            <family val="2"/>
          </rPr>
          <t xml:space="preserve">
проверити збир!
</t>
        </r>
      </text>
    </comment>
    <comment ref="I2757" authorId="0">
      <text>
        <r>
          <rPr>
            <b/>
            <sz val="9"/>
            <color indexed="81"/>
            <rFont val="Tahoma"/>
            <family val="2"/>
          </rPr>
          <t>LPA:</t>
        </r>
        <r>
          <rPr>
            <sz val="9"/>
            <color indexed="81"/>
            <rFont val="Tahoma"/>
            <family val="2"/>
          </rPr>
          <t xml:space="preserve">
проверити збир!
</t>
        </r>
      </text>
    </comment>
    <comment ref="I2758" authorId="0">
      <text>
        <r>
          <rPr>
            <b/>
            <sz val="9"/>
            <color indexed="81"/>
            <rFont val="Tahoma"/>
            <family val="2"/>
          </rPr>
          <t>LPA:</t>
        </r>
        <r>
          <rPr>
            <sz val="9"/>
            <color indexed="81"/>
            <rFont val="Tahoma"/>
            <family val="2"/>
          </rPr>
          <t xml:space="preserve">
проверити збир!
</t>
        </r>
      </text>
    </comment>
    <comment ref="I2759" authorId="0">
      <text>
        <r>
          <rPr>
            <b/>
            <sz val="9"/>
            <color indexed="81"/>
            <rFont val="Tahoma"/>
            <family val="2"/>
          </rPr>
          <t>LPA:</t>
        </r>
        <r>
          <rPr>
            <sz val="9"/>
            <color indexed="81"/>
            <rFont val="Tahoma"/>
            <family val="2"/>
          </rPr>
          <t xml:space="preserve">
проверити збир!
</t>
        </r>
      </text>
    </comment>
    <comment ref="I2760" authorId="0">
      <text>
        <r>
          <rPr>
            <b/>
            <sz val="9"/>
            <color indexed="81"/>
            <rFont val="Tahoma"/>
            <family val="2"/>
          </rPr>
          <t>LPA:</t>
        </r>
        <r>
          <rPr>
            <sz val="9"/>
            <color indexed="81"/>
            <rFont val="Tahoma"/>
            <family val="2"/>
          </rPr>
          <t xml:space="preserve">
проверити збир!
</t>
        </r>
      </text>
    </comment>
    <comment ref="H2770" authorId="0">
      <text>
        <r>
          <rPr>
            <b/>
            <sz val="9"/>
            <color indexed="81"/>
            <rFont val="Tahoma"/>
            <family val="2"/>
          </rPr>
          <t>LPA:</t>
        </r>
        <r>
          <rPr>
            <sz val="9"/>
            <color indexed="81"/>
            <rFont val="Tahoma"/>
            <family val="2"/>
          </rPr>
          <t xml:space="preserve">
проверити збир!</t>
        </r>
      </text>
    </comment>
    <comment ref="I2770" authorId="0">
      <text>
        <r>
          <rPr>
            <b/>
            <sz val="9"/>
            <color indexed="81"/>
            <rFont val="Tahoma"/>
            <family val="2"/>
          </rPr>
          <t>LPA:</t>
        </r>
        <r>
          <rPr>
            <sz val="9"/>
            <color indexed="81"/>
            <rFont val="Tahoma"/>
            <family val="2"/>
          </rPr>
          <t xml:space="preserve">
проверити збир!</t>
        </r>
      </text>
    </comment>
    <comment ref="I2839" authorId="0">
      <text>
        <r>
          <rPr>
            <b/>
            <sz val="9"/>
            <color indexed="81"/>
            <rFont val="Tahoma"/>
            <family val="2"/>
          </rPr>
          <t>LPA:</t>
        </r>
        <r>
          <rPr>
            <sz val="9"/>
            <color indexed="81"/>
            <rFont val="Tahoma"/>
            <family val="2"/>
          </rPr>
          <t xml:space="preserve">
проверити збир!
</t>
        </r>
      </text>
    </comment>
    <comment ref="I2840" authorId="0">
      <text>
        <r>
          <rPr>
            <b/>
            <sz val="9"/>
            <color indexed="81"/>
            <rFont val="Tahoma"/>
            <family val="2"/>
          </rPr>
          <t>LPA:</t>
        </r>
        <r>
          <rPr>
            <sz val="9"/>
            <color indexed="81"/>
            <rFont val="Tahoma"/>
            <family val="2"/>
          </rPr>
          <t xml:space="preserve">
проверити збир!
</t>
        </r>
      </text>
    </comment>
    <comment ref="I2841" authorId="0">
      <text>
        <r>
          <rPr>
            <b/>
            <sz val="9"/>
            <color indexed="81"/>
            <rFont val="Tahoma"/>
            <family val="2"/>
          </rPr>
          <t>LPA:</t>
        </r>
        <r>
          <rPr>
            <sz val="9"/>
            <color indexed="81"/>
            <rFont val="Tahoma"/>
            <family val="2"/>
          </rPr>
          <t xml:space="preserve">
проверити збир!
</t>
        </r>
      </text>
    </comment>
    <comment ref="I2842" authorId="0">
      <text>
        <r>
          <rPr>
            <b/>
            <sz val="9"/>
            <color indexed="81"/>
            <rFont val="Tahoma"/>
            <family val="2"/>
          </rPr>
          <t>LPA:</t>
        </r>
        <r>
          <rPr>
            <sz val="9"/>
            <color indexed="81"/>
            <rFont val="Tahoma"/>
            <family val="2"/>
          </rPr>
          <t xml:space="preserve">
проверити збир!
</t>
        </r>
      </text>
    </comment>
    <comment ref="I2843" authorId="0">
      <text>
        <r>
          <rPr>
            <b/>
            <sz val="9"/>
            <color indexed="81"/>
            <rFont val="Tahoma"/>
            <family val="2"/>
          </rPr>
          <t>LPA:</t>
        </r>
        <r>
          <rPr>
            <sz val="9"/>
            <color indexed="81"/>
            <rFont val="Tahoma"/>
            <family val="2"/>
          </rPr>
          <t xml:space="preserve">
проверити збир!
</t>
        </r>
      </text>
    </comment>
    <comment ref="I2844" authorId="0">
      <text>
        <r>
          <rPr>
            <b/>
            <sz val="9"/>
            <color indexed="81"/>
            <rFont val="Tahoma"/>
            <family val="2"/>
          </rPr>
          <t>LPA:</t>
        </r>
        <r>
          <rPr>
            <sz val="9"/>
            <color indexed="81"/>
            <rFont val="Tahoma"/>
            <family val="2"/>
          </rPr>
          <t xml:space="preserve">
проверити збир!
</t>
        </r>
      </text>
    </comment>
    <comment ref="I2845" authorId="0">
      <text>
        <r>
          <rPr>
            <b/>
            <sz val="9"/>
            <color indexed="81"/>
            <rFont val="Tahoma"/>
            <family val="2"/>
          </rPr>
          <t>LPA:</t>
        </r>
        <r>
          <rPr>
            <sz val="9"/>
            <color indexed="81"/>
            <rFont val="Tahoma"/>
            <family val="2"/>
          </rPr>
          <t xml:space="preserve">
проверити збир!
</t>
        </r>
      </text>
    </comment>
    <comment ref="I2846" authorId="0">
      <text>
        <r>
          <rPr>
            <b/>
            <sz val="9"/>
            <color indexed="81"/>
            <rFont val="Tahoma"/>
            <family val="2"/>
          </rPr>
          <t>LPA:</t>
        </r>
        <r>
          <rPr>
            <sz val="9"/>
            <color indexed="81"/>
            <rFont val="Tahoma"/>
            <family val="2"/>
          </rPr>
          <t xml:space="preserve">
проверити збир!
</t>
        </r>
      </text>
    </comment>
    <comment ref="I2847" authorId="0">
      <text>
        <r>
          <rPr>
            <b/>
            <sz val="9"/>
            <color indexed="81"/>
            <rFont val="Tahoma"/>
            <family val="2"/>
          </rPr>
          <t>LPA:</t>
        </r>
        <r>
          <rPr>
            <sz val="9"/>
            <color indexed="81"/>
            <rFont val="Tahoma"/>
            <family val="2"/>
          </rPr>
          <t xml:space="preserve">
проверити збир!
</t>
        </r>
      </text>
    </comment>
    <comment ref="I2848" authorId="0">
      <text>
        <r>
          <rPr>
            <b/>
            <sz val="9"/>
            <color indexed="81"/>
            <rFont val="Tahoma"/>
            <family val="2"/>
          </rPr>
          <t>LPA:</t>
        </r>
        <r>
          <rPr>
            <sz val="9"/>
            <color indexed="81"/>
            <rFont val="Tahoma"/>
            <family val="2"/>
          </rPr>
          <t xml:space="preserve">
проверити збир!
</t>
        </r>
      </text>
    </comment>
    <comment ref="I2849" authorId="0">
      <text>
        <r>
          <rPr>
            <b/>
            <sz val="9"/>
            <color indexed="81"/>
            <rFont val="Tahoma"/>
            <family val="2"/>
          </rPr>
          <t>LPA:</t>
        </r>
        <r>
          <rPr>
            <sz val="9"/>
            <color indexed="81"/>
            <rFont val="Tahoma"/>
            <family val="2"/>
          </rPr>
          <t xml:space="preserve">
проверити збир!
</t>
        </r>
      </text>
    </comment>
    <comment ref="I2850" authorId="0">
      <text>
        <r>
          <rPr>
            <b/>
            <sz val="9"/>
            <color indexed="81"/>
            <rFont val="Tahoma"/>
            <family val="2"/>
          </rPr>
          <t>LPA:</t>
        </r>
        <r>
          <rPr>
            <sz val="9"/>
            <color indexed="81"/>
            <rFont val="Tahoma"/>
            <family val="2"/>
          </rPr>
          <t xml:space="preserve">
проверити збир!
</t>
        </r>
      </text>
    </comment>
    <comment ref="I2851" authorId="0">
      <text>
        <r>
          <rPr>
            <b/>
            <sz val="9"/>
            <color indexed="81"/>
            <rFont val="Tahoma"/>
            <family val="2"/>
          </rPr>
          <t>LPA:</t>
        </r>
        <r>
          <rPr>
            <sz val="9"/>
            <color indexed="81"/>
            <rFont val="Tahoma"/>
            <family val="2"/>
          </rPr>
          <t xml:space="preserve">
проверити збир!
</t>
        </r>
      </text>
    </comment>
    <comment ref="H2854" authorId="0">
      <text>
        <r>
          <rPr>
            <b/>
            <sz val="9"/>
            <color indexed="81"/>
            <rFont val="Tahoma"/>
            <family val="2"/>
          </rPr>
          <t>LPA:</t>
        </r>
        <r>
          <rPr>
            <sz val="9"/>
            <color indexed="81"/>
            <rFont val="Tahoma"/>
            <family val="2"/>
          </rPr>
          <t xml:space="preserve">
проверити збир!</t>
        </r>
      </text>
    </comment>
    <comment ref="I2854" authorId="0">
      <text>
        <r>
          <rPr>
            <b/>
            <sz val="9"/>
            <color indexed="81"/>
            <rFont val="Tahoma"/>
            <family val="2"/>
          </rPr>
          <t>LPA:</t>
        </r>
        <r>
          <rPr>
            <sz val="9"/>
            <color indexed="81"/>
            <rFont val="Tahoma"/>
            <family val="2"/>
          </rPr>
          <t xml:space="preserve">
проверити збир!</t>
        </r>
      </text>
    </comment>
    <comment ref="I2855" authorId="0">
      <text>
        <r>
          <rPr>
            <b/>
            <sz val="9"/>
            <color indexed="81"/>
            <rFont val="Tahoma"/>
            <family val="2"/>
          </rPr>
          <t>LPA:</t>
        </r>
        <r>
          <rPr>
            <sz val="9"/>
            <color indexed="81"/>
            <rFont val="Tahoma"/>
            <family val="2"/>
          </rPr>
          <t xml:space="preserve">
проверити збир!
</t>
        </r>
      </text>
    </comment>
    <comment ref="I2856" authorId="0">
      <text>
        <r>
          <rPr>
            <b/>
            <sz val="9"/>
            <color indexed="81"/>
            <rFont val="Tahoma"/>
            <family val="2"/>
          </rPr>
          <t>LPA:</t>
        </r>
        <r>
          <rPr>
            <sz val="9"/>
            <color indexed="81"/>
            <rFont val="Tahoma"/>
            <family val="2"/>
          </rPr>
          <t xml:space="preserve">
проверити збир!
</t>
        </r>
      </text>
    </comment>
    <comment ref="I2857" authorId="0">
      <text>
        <r>
          <rPr>
            <b/>
            <sz val="9"/>
            <color indexed="81"/>
            <rFont val="Tahoma"/>
            <family val="2"/>
          </rPr>
          <t>LPA:</t>
        </r>
        <r>
          <rPr>
            <sz val="9"/>
            <color indexed="81"/>
            <rFont val="Tahoma"/>
            <family val="2"/>
          </rPr>
          <t xml:space="preserve">
проверити збир!
</t>
        </r>
      </text>
    </comment>
    <comment ref="I2858" authorId="0">
      <text>
        <r>
          <rPr>
            <b/>
            <sz val="9"/>
            <color indexed="81"/>
            <rFont val="Tahoma"/>
            <family val="2"/>
          </rPr>
          <t>LPA:</t>
        </r>
        <r>
          <rPr>
            <sz val="9"/>
            <color indexed="81"/>
            <rFont val="Tahoma"/>
            <family val="2"/>
          </rPr>
          <t xml:space="preserve">
проверити збир!
</t>
        </r>
      </text>
    </comment>
    <comment ref="I2859" authorId="0">
      <text>
        <r>
          <rPr>
            <b/>
            <sz val="9"/>
            <color indexed="81"/>
            <rFont val="Tahoma"/>
            <family val="2"/>
          </rPr>
          <t>LPA:</t>
        </r>
        <r>
          <rPr>
            <sz val="9"/>
            <color indexed="81"/>
            <rFont val="Tahoma"/>
            <family val="2"/>
          </rPr>
          <t xml:space="preserve">
проверити збир!
</t>
        </r>
      </text>
    </comment>
    <comment ref="I2860" authorId="0">
      <text>
        <r>
          <rPr>
            <b/>
            <sz val="9"/>
            <color indexed="81"/>
            <rFont val="Tahoma"/>
            <family val="2"/>
          </rPr>
          <t>LPA:</t>
        </r>
        <r>
          <rPr>
            <sz val="9"/>
            <color indexed="81"/>
            <rFont val="Tahoma"/>
            <family val="2"/>
          </rPr>
          <t xml:space="preserve">
проверити збир!
</t>
        </r>
      </text>
    </comment>
    <comment ref="I2861" authorId="0">
      <text>
        <r>
          <rPr>
            <b/>
            <sz val="9"/>
            <color indexed="81"/>
            <rFont val="Tahoma"/>
            <family val="2"/>
          </rPr>
          <t>LPA:</t>
        </r>
        <r>
          <rPr>
            <sz val="9"/>
            <color indexed="81"/>
            <rFont val="Tahoma"/>
            <family val="2"/>
          </rPr>
          <t xml:space="preserve">
проверити збир!
</t>
        </r>
      </text>
    </comment>
    <comment ref="I2862" authorId="0">
      <text>
        <r>
          <rPr>
            <b/>
            <sz val="9"/>
            <color indexed="81"/>
            <rFont val="Tahoma"/>
            <family val="2"/>
          </rPr>
          <t>LPA:</t>
        </r>
        <r>
          <rPr>
            <sz val="9"/>
            <color indexed="81"/>
            <rFont val="Tahoma"/>
            <family val="2"/>
          </rPr>
          <t xml:space="preserve">
проверити збир!
</t>
        </r>
      </text>
    </comment>
    <comment ref="I2863" authorId="0">
      <text>
        <r>
          <rPr>
            <b/>
            <sz val="9"/>
            <color indexed="81"/>
            <rFont val="Tahoma"/>
            <family val="2"/>
          </rPr>
          <t>LPA:</t>
        </r>
        <r>
          <rPr>
            <sz val="9"/>
            <color indexed="81"/>
            <rFont val="Tahoma"/>
            <family val="2"/>
          </rPr>
          <t xml:space="preserve">
проверити збир!
</t>
        </r>
      </text>
    </comment>
    <comment ref="I2864" authorId="0">
      <text>
        <r>
          <rPr>
            <b/>
            <sz val="9"/>
            <color indexed="81"/>
            <rFont val="Tahoma"/>
            <family val="2"/>
          </rPr>
          <t>LPA:</t>
        </r>
        <r>
          <rPr>
            <sz val="9"/>
            <color indexed="81"/>
            <rFont val="Tahoma"/>
            <family val="2"/>
          </rPr>
          <t xml:space="preserve">
проверити збир!
</t>
        </r>
      </text>
    </comment>
    <comment ref="I2865" authorId="0">
      <text>
        <r>
          <rPr>
            <b/>
            <sz val="9"/>
            <color indexed="81"/>
            <rFont val="Tahoma"/>
            <family val="2"/>
          </rPr>
          <t>LPA:</t>
        </r>
        <r>
          <rPr>
            <sz val="9"/>
            <color indexed="81"/>
            <rFont val="Tahoma"/>
            <family val="2"/>
          </rPr>
          <t xml:space="preserve">
проверити збир!
</t>
        </r>
      </text>
    </comment>
    <comment ref="I2866" authorId="0">
      <text>
        <r>
          <rPr>
            <b/>
            <sz val="9"/>
            <color indexed="81"/>
            <rFont val="Tahoma"/>
            <family val="2"/>
          </rPr>
          <t>LPA:</t>
        </r>
        <r>
          <rPr>
            <sz val="9"/>
            <color indexed="81"/>
            <rFont val="Tahoma"/>
            <family val="2"/>
          </rPr>
          <t xml:space="preserve">
проверити збир!
</t>
        </r>
      </text>
    </comment>
    <comment ref="I2867" authorId="0">
      <text>
        <r>
          <rPr>
            <b/>
            <sz val="9"/>
            <color indexed="81"/>
            <rFont val="Tahoma"/>
            <family val="2"/>
          </rPr>
          <t>LPA:</t>
        </r>
        <r>
          <rPr>
            <sz val="9"/>
            <color indexed="81"/>
            <rFont val="Tahoma"/>
            <family val="2"/>
          </rPr>
          <t xml:space="preserve">
проверити збир!
</t>
        </r>
      </text>
    </comment>
    <comment ref="I2868" authorId="0">
      <text>
        <r>
          <rPr>
            <b/>
            <sz val="9"/>
            <color indexed="81"/>
            <rFont val="Tahoma"/>
            <family val="2"/>
          </rPr>
          <t>LPA:</t>
        </r>
        <r>
          <rPr>
            <sz val="9"/>
            <color indexed="81"/>
            <rFont val="Tahoma"/>
            <family val="2"/>
          </rPr>
          <t xml:space="preserve">
проверити збир!
</t>
        </r>
      </text>
    </comment>
    <comment ref="I2869" authorId="0">
      <text>
        <r>
          <rPr>
            <b/>
            <sz val="9"/>
            <color indexed="81"/>
            <rFont val="Tahoma"/>
            <family val="2"/>
          </rPr>
          <t>LPA:</t>
        </r>
        <r>
          <rPr>
            <sz val="9"/>
            <color indexed="81"/>
            <rFont val="Tahoma"/>
            <family val="2"/>
          </rPr>
          <t xml:space="preserve">
проверити збир!
</t>
        </r>
      </text>
    </comment>
    <comment ref="I2938" authorId="0">
      <text>
        <r>
          <rPr>
            <b/>
            <sz val="9"/>
            <color indexed="81"/>
            <rFont val="Tahoma"/>
            <family val="2"/>
          </rPr>
          <t>LPA:</t>
        </r>
        <r>
          <rPr>
            <sz val="9"/>
            <color indexed="81"/>
            <rFont val="Tahoma"/>
            <family val="2"/>
          </rPr>
          <t xml:space="preserve">
проверити збир!
</t>
        </r>
      </text>
    </comment>
    <comment ref="I2939" authorId="0">
      <text>
        <r>
          <rPr>
            <b/>
            <sz val="9"/>
            <color indexed="81"/>
            <rFont val="Tahoma"/>
            <family val="2"/>
          </rPr>
          <t>LPA:</t>
        </r>
        <r>
          <rPr>
            <sz val="9"/>
            <color indexed="81"/>
            <rFont val="Tahoma"/>
            <family val="2"/>
          </rPr>
          <t xml:space="preserve">
проверити збир!
</t>
        </r>
      </text>
    </comment>
    <comment ref="I2940" authorId="0">
      <text>
        <r>
          <rPr>
            <b/>
            <sz val="9"/>
            <color indexed="81"/>
            <rFont val="Tahoma"/>
            <family val="2"/>
          </rPr>
          <t>LPA:</t>
        </r>
        <r>
          <rPr>
            <sz val="9"/>
            <color indexed="81"/>
            <rFont val="Tahoma"/>
            <family val="2"/>
          </rPr>
          <t xml:space="preserve">
проверити збир!
</t>
        </r>
      </text>
    </comment>
    <comment ref="I2941" authorId="0">
      <text>
        <r>
          <rPr>
            <b/>
            <sz val="9"/>
            <color indexed="81"/>
            <rFont val="Tahoma"/>
            <family val="2"/>
          </rPr>
          <t>LPA:</t>
        </r>
        <r>
          <rPr>
            <sz val="9"/>
            <color indexed="81"/>
            <rFont val="Tahoma"/>
            <family val="2"/>
          </rPr>
          <t xml:space="preserve">
проверити збир!
</t>
        </r>
      </text>
    </comment>
    <comment ref="I2942" authorId="0">
      <text>
        <r>
          <rPr>
            <b/>
            <sz val="9"/>
            <color indexed="81"/>
            <rFont val="Tahoma"/>
            <family val="2"/>
          </rPr>
          <t>LPA:</t>
        </r>
        <r>
          <rPr>
            <sz val="9"/>
            <color indexed="81"/>
            <rFont val="Tahoma"/>
            <family val="2"/>
          </rPr>
          <t xml:space="preserve">
проверити збир!
</t>
        </r>
      </text>
    </comment>
    <comment ref="I2943" authorId="0">
      <text>
        <r>
          <rPr>
            <b/>
            <sz val="9"/>
            <color indexed="81"/>
            <rFont val="Tahoma"/>
            <family val="2"/>
          </rPr>
          <t>LPA:</t>
        </r>
        <r>
          <rPr>
            <sz val="9"/>
            <color indexed="81"/>
            <rFont val="Tahoma"/>
            <family val="2"/>
          </rPr>
          <t xml:space="preserve">
проверити збир!
</t>
        </r>
      </text>
    </comment>
    <comment ref="I2944" authorId="0">
      <text>
        <r>
          <rPr>
            <b/>
            <sz val="9"/>
            <color indexed="81"/>
            <rFont val="Tahoma"/>
            <family val="2"/>
          </rPr>
          <t>LPA:</t>
        </r>
        <r>
          <rPr>
            <sz val="9"/>
            <color indexed="81"/>
            <rFont val="Tahoma"/>
            <family val="2"/>
          </rPr>
          <t xml:space="preserve">
проверити збир!
</t>
        </r>
      </text>
    </comment>
    <comment ref="I2945" authorId="0">
      <text>
        <r>
          <rPr>
            <b/>
            <sz val="9"/>
            <color indexed="81"/>
            <rFont val="Tahoma"/>
            <family val="2"/>
          </rPr>
          <t>LPA:</t>
        </r>
        <r>
          <rPr>
            <sz val="9"/>
            <color indexed="81"/>
            <rFont val="Tahoma"/>
            <family val="2"/>
          </rPr>
          <t xml:space="preserve">
проверити збир!
</t>
        </r>
      </text>
    </comment>
    <comment ref="I2946" authorId="0">
      <text>
        <r>
          <rPr>
            <b/>
            <sz val="9"/>
            <color indexed="81"/>
            <rFont val="Tahoma"/>
            <family val="2"/>
          </rPr>
          <t>LPA:</t>
        </r>
        <r>
          <rPr>
            <sz val="9"/>
            <color indexed="81"/>
            <rFont val="Tahoma"/>
            <family val="2"/>
          </rPr>
          <t xml:space="preserve">
проверити збир!
</t>
        </r>
      </text>
    </comment>
    <comment ref="I2947" authorId="0">
      <text>
        <r>
          <rPr>
            <b/>
            <sz val="9"/>
            <color indexed="81"/>
            <rFont val="Tahoma"/>
            <family val="2"/>
          </rPr>
          <t>LPA:</t>
        </r>
        <r>
          <rPr>
            <sz val="9"/>
            <color indexed="81"/>
            <rFont val="Tahoma"/>
            <family val="2"/>
          </rPr>
          <t xml:space="preserve">
проверити збир!
</t>
        </r>
      </text>
    </comment>
    <comment ref="I2948" authorId="0">
      <text>
        <r>
          <rPr>
            <b/>
            <sz val="9"/>
            <color indexed="81"/>
            <rFont val="Tahoma"/>
            <family val="2"/>
          </rPr>
          <t>LPA:</t>
        </r>
        <r>
          <rPr>
            <sz val="9"/>
            <color indexed="81"/>
            <rFont val="Tahoma"/>
            <family val="2"/>
          </rPr>
          <t xml:space="preserve">
проверити збир!
</t>
        </r>
      </text>
    </comment>
    <comment ref="I2949" authorId="0">
      <text>
        <r>
          <rPr>
            <b/>
            <sz val="9"/>
            <color indexed="81"/>
            <rFont val="Tahoma"/>
            <family val="2"/>
          </rPr>
          <t>LPA:</t>
        </r>
        <r>
          <rPr>
            <sz val="9"/>
            <color indexed="81"/>
            <rFont val="Tahoma"/>
            <family val="2"/>
          </rPr>
          <t xml:space="preserve">
проверити збир!
</t>
        </r>
      </text>
    </comment>
    <comment ref="I2950" authorId="0">
      <text>
        <r>
          <rPr>
            <b/>
            <sz val="9"/>
            <color indexed="81"/>
            <rFont val="Tahoma"/>
            <family val="2"/>
          </rPr>
          <t>LPA:</t>
        </r>
        <r>
          <rPr>
            <sz val="9"/>
            <color indexed="81"/>
            <rFont val="Tahoma"/>
            <family val="2"/>
          </rPr>
          <t xml:space="preserve">
проверити збир!
</t>
        </r>
      </text>
    </comment>
    <comment ref="H2953" authorId="0">
      <text>
        <r>
          <rPr>
            <b/>
            <sz val="9"/>
            <color indexed="81"/>
            <rFont val="Tahoma"/>
            <family val="2"/>
          </rPr>
          <t>LPA:</t>
        </r>
        <r>
          <rPr>
            <sz val="9"/>
            <color indexed="81"/>
            <rFont val="Tahoma"/>
            <family val="2"/>
          </rPr>
          <t xml:space="preserve">
проверити збир!</t>
        </r>
      </text>
    </comment>
    <comment ref="I2953" authorId="0">
      <text>
        <r>
          <rPr>
            <b/>
            <sz val="9"/>
            <color indexed="81"/>
            <rFont val="Tahoma"/>
            <family val="2"/>
          </rPr>
          <t>LPA:</t>
        </r>
        <r>
          <rPr>
            <sz val="9"/>
            <color indexed="81"/>
            <rFont val="Tahoma"/>
            <family val="2"/>
          </rPr>
          <t xml:space="preserve">
проверити збир!</t>
        </r>
      </text>
    </comment>
    <comment ref="I2954" authorId="0">
      <text>
        <r>
          <rPr>
            <b/>
            <sz val="9"/>
            <color indexed="81"/>
            <rFont val="Tahoma"/>
            <family val="2"/>
          </rPr>
          <t>LPA:</t>
        </r>
        <r>
          <rPr>
            <sz val="9"/>
            <color indexed="81"/>
            <rFont val="Tahoma"/>
            <family val="2"/>
          </rPr>
          <t xml:space="preserve">
проверити збир!
</t>
        </r>
      </text>
    </comment>
    <comment ref="I2955" authorId="0">
      <text>
        <r>
          <rPr>
            <b/>
            <sz val="9"/>
            <color indexed="81"/>
            <rFont val="Tahoma"/>
            <family val="2"/>
          </rPr>
          <t>LPA:</t>
        </r>
        <r>
          <rPr>
            <sz val="9"/>
            <color indexed="81"/>
            <rFont val="Tahoma"/>
            <family val="2"/>
          </rPr>
          <t xml:space="preserve">
проверити збир!
</t>
        </r>
      </text>
    </comment>
    <comment ref="I2956" authorId="0">
      <text>
        <r>
          <rPr>
            <b/>
            <sz val="9"/>
            <color indexed="81"/>
            <rFont val="Tahoma"/>
            <family val="2"/>
          </rPr>
          <t>LPA:</t>
        </r>
        <r>
          <rPr>
            <sz val="9"/>
            <color indexed="81"/>
            <rFont val="Tahoma"/>
            <family val="2"/>
          </rPr>
          <t xml:space="preserve">
проверити збир!
</t>
        </r>
      </text>
    </comment>
    <comment ref="I2957" authorId="0">
      <text>
        <r>
          <rPr>
            <b/>
            <sz val="9"/>
            <color indexed="81"/>
            <rFont val="Tahoma"/>
            <family val="2"/>
          </rPr>
          <t>LPA:</t>
        </r>
        <r>
          <rPr>
            <sz val="9"/>
            <color indexed="81"/>
            <rFont val="Tahoma"/>
            <family val="2"/>
          </rPr>
          <t xml:space="preserve">
проверити збир!
</t>
        </r>
      </text>
    </comment>
    <comment ref="I2958" authorId="0">
      <text>
        <r>
          <rPr>
            <b/>
            <sz val="9"/>
            <color indexed="81"/>
            <rFont val="Tahoma"/>
            <family val="2"/>
          </rPr>
          <t>LPA:</t>
        </r>
        <r>
          <rPr>
            <sz val="9"/>
            <color indexed="81"/>
            <rFont val="Tahoma"/>
            <family val="2"/>
          </rPr>
          <t xml:space="preserve">
проверити збир!
</t>
        </r>
      </text>
    </comment>
    <comment ref="I2959" authorId="0">
      <text>
        <r>
          <rPr>
            <b/>
            <sz val="9"/>
            <color indexed="81"/>
            <rFont val="Tahoma"/>
            <family val="2"/>
          </rPr>
          <t>LPA:</t>
        </r>
        <r>
          <rPr>
            <sz val="9"/>
            <color indexed="81"/>
            <rFont val="Tahoma"/>
            <family val="2"/>
          </rPr>
          <t xml:space="preserve">
проверити збир!
</t>
        </r>
      </text>
    </comment>
    <comment ref="I2960" authorId="0">
      <text>
        <r>
          <rPr>
            <b/>
            <sz val="9"/>
            <color indexed="81"/>
            <rFont val="Tahoma"/>
            <family val="2"/>
          </rPr>
          <t>LPA:</t>
        </r>
        <r>
          <rPr>
            <sz val="9"/>
            <color indexed="81"/>
            <rFont val="Tahoma"/>
            <family val="2"/>
          </rPr>
          <t xml:space="preserve">
проверити збир!
</t>
        </r>
      </text>
    </comment>
    <comment ref="I2961" authorId="0">
      <text>
        <r>
          <rPr>
            <b/>
            <sz val="9"/>
            <color indexed="81"/>
            <rFont val="Tahoma"/>
            <family val="2"/>
          </rPr>
          <t>LPA:</t>
        </r>
        <r>
          <rPr>
            <sz val="9"/>
            <color indexed="81"/>
            <rFont val="Tahoma"/>
            <family val="2"/>
          </rPr>
          <t xml:space="preserve">
проверити збир!
</t>
        </r>
      </text>
    </comment>
    <comment ref="I2962" authorId="0">
      <text>
        <r>
          <rPr>
            <b/>
            <sz val="9"/>
            <color indexed="81"/>
            <rFont val="Tahoma"/>
            <family val="2"/>
          </rPr>
          <t>LPA:</t>
        </r>
        <r>
          <rPr>
            <sz val="9"/>
            <color indexed="81"/>
            <rFont val="Tahoma"/>
            <family val="2"/>
          </rPr>
          <t xml:space="preserve">
проверити збир!
</t>
        </r>
      </text>
    </comment>
    <comment ref="I2963" authorId="0">
      <text>
        <r>
          <rPr>
            <b/>
            <sz val="9"/>
            <color indexed="81"/>
            <rFont val="Tahoma"/>
            <family val="2"/>
          </rPr>
          <t>LPA:</t>
        </r>
        <r>
          <rPr>
            <sz val="9"/>
            <color indexed="81"/>
            <rFont val="Tahoma"/>
            <family val="2"/>
          </rPr>
          <t xml:space="preserve">
проверити збир!
</t>
        </r>
      </text>
    </comment>
    <comment ref="I2964" authorId="0">
      <text>
        <r>
          <rPr>
            <b/>
            <sz val="9"/>
            <color indexed="81"/>
            <rFont val="Tahoma"/>
            <family val="2"/>
          </rPr>
          <t>LPA:</t>
        </r>
        <r>
          <rPr>
            <sz val="9"/>
            <color indexed="81"/>
            <rFont val="Tahoma"/>
            <family val="2"/>
          </rPr>
          <t xml:space="preserve">
проверити збир!
</t>
        </r>
      </text>
    </comment>
    <comment ref="I2965" authorId="0">
      <text>
        <r>
          <rPr>
            <b/>
            <sz val="9"/>
            <color indexed="81"/>
            <rFont val="Tahoma"/>
            <family val="2"/>
          </rPr>
          <t>LPA:</t>
        </r>
        <r>
          <rPr>
            <sz val="9"/>
            <color indexed="81"/>
            <rFont val="Tahoma"/>
            <family val="2"/>
          </rPr>
          <t xml:space="preserve">
проверити збир!
</t>
        </r>
      </text>
    </comment>
    <comment ref="I2966" authorId="0">
      <text>
        <r>
          <rPr>
            <b/>
            <sz val="9"/>
            <color indexed="81"/>
            <rFont val="Tahoma"/>
            <family val="2"/>
          </rPr>
          <t>LPA:</t>
        </r>
        <r>
          <rPr>
            <sz val="9"/>
            <color indexed="81"/>
            <rFont val="Tahoma"/>
            <family val="2"/>
          </rPr>
          <t xml:space="preserve">
проверити збир!
</t>
        </r>
      </text>
    </comment>
    <comment ref="I2967" authorId="0">
      <text>
        <r>
          <rPr>
            <b/>
            <sz val="9"/>
            <color indexed="81"/>
            <rFont val="Tahoma"/>
            <family val="2"/>
          </rPr>
          <t>LPA:</t>
        </r>
        <r>
          <rPr>
            <sz val="9"/>
            <color indexed="81"/>
            <rFont val="Tahoma"/>
            <family val="2"/>
          </rPr>
          <t xml:space="preserve">
проверити збир!
</t>
        </r>
      </text>
    </comment>
    <comment ref="I2968" authorId="0">
      <text>
        <r>
          <rPr>
            <b/>
            <sz val="9"/>
            <color indexed="81"/>
            <rFont val="Tahoma"/>
            <family val="2"/>
          </rPr>
          <t>LPA:</t>
        </r>
        <r>
          <rPr>
            <sz val="9"/>
            <color indexed="81"/>
            <rFont val="Tahoma"/>
            <family val="2"/>
          </rPr>
          <t xml:space="preserve">
проверити збир!
</t>
        </r>
      </text>
    </comment>
    <comment ref="I3037" authorId="0">
      <text>
        <r>
          <rPr>
            <b/>
            <sz val="9"/>
            <color indexed="81"/>
            <rFont val="Tahoma"/>
            <family val="2"/>
          </rPr>
          <t>LPA:</t>
        </r>
        <r>
          <rPr>
            <sz val="9"/>
            <color indexed="81"/>
            <rFont val="Tahoma"/>
            <family val="2"/>
          </rPr>
          <t xml:space="preserve">
проверити збир!
</t>
        </r>
      </text>
    </comment>
    <comment ref="I3038" authorId="0">
      <text>
        <r>
          <rPr>
            <b/>
            <sz val="9"/>
            <color indexed="81"/>
            <rFont val="Tahoma"/>
            <family val="2"/>
          </rPr>
          <t>LPA:</t>
        </r>
        <r>
          <rPr>
            <sz val="9"/>
            <color indexed="81"/>
            <rFont val="Tahoma"/>
            <family val="2"/>
          </rPr>
          <t xml:space="preserve">
проверити збир!
</t>
        </r>
      </text>
    </comment>
    <comment ref="I3039" authorId="0">
      <text>
        <r>
          <rPr>
            <b/>
            <sz val="9"/>
            <color indexed="81"/>
            <rFont val="Tahoma"/>
            <family val="2"/>
          </rPr>
          <t>LPA:</t>
        </r>
        <r>
          <rPr>
            <sz val="9"/>
            <color indexed="81"/>
            <rFont val="Tahoma"/>
            <family val="2"/>
          </rPr>
          <t xml:space="preserve">
проверити збир!
</t>
        </r>
      </text>
    </comment>
    <comment ref="I3040" authorId="0">
      <text>
        <r>
          <rPr>
            <b/>
            <sz val="9"/>
            <color indexed="81"/>
            <rFont val="Tahoma"/>
            <family val="2"/>
          </rPr>
          <t>LPA:</t>
        </r>
        <r>
          <rPr>
            <sz val="9"/>
            <color indexed="81"/>
            <rFont val="Tahoma"/>
            <family val="2"/>
          </rPr>
          <t xml:space="preserve">
проверити збир!
</t>
        </r>
      </text>
    </comment>
    <comment ref="I3041" authorId="0">
      <text>
        <r>
          <rPr>
            <b/>
            <sz val="9"/>
            <color indexed="81"/>
            <rFont val="Tahoma"/>
            <family val="2"/>
          </rPr>
          <t>LPA:</t>
        </r>
        <r>
          <rPr>
            <sz val="9"/>
            <color indexed="81"/>
            <rFont val="Tahoma"/>
            <family val="2"/>
          </rPr>
          <t xml:space="preserve">
проверити збир!
</t>
        </r>
      </text>
    </comment>
    <comment ref="I3042" authorId="0">
      <text>
        <r>
          <rPr>
            <b/>
            <sz val="9"/>
            <color indexed="81"/>
            <rFont val="Tahoma"/>
            <family val="2"/>
          </rPr>
          <t>LPA:</t>
        </r>
        <r>
          <rPr>
            <sz val="9"/>
            <color indexed="81"/>
            <rFont val="Tahoma"/>
            <family val="2"/>
          </rPr>
          <t xml:space="preserve">
проверити збир!
</t>
        </r>
      </text>
    </comment>
    <comment ref="I3043" authorId="0">
      <text>
        <r>
          <rPr>
            <b/>
            <sz val="9"/>
            <color indexed="81"/>
            <rFont val="Tahoma"/>
            <family val="2"/>
          </rPr>
          <t>LPA:</t>
        </r>
        <r>
          <rPr>
            <sz val="9"/>
            <color indexed="81"/>
            <rFont val="Tahoma"/>
            <family val="2"/>
          </rPr>
          <t xml:space="preserve">
проверити збир!
</t>
        </r>
      </text>
    </comment>
    <comment ref="I3044" authorId="0">
      <text>
        <r>
          <rPr>
            <b/>
            <sz val="9"/>
            <color indexed="81"/>
            <rFont val="Tahoma"/>
            <family val="2"/>
          </rPr>
          <t>LPA:</t>
        </r>
        <r>
          <rPr>
            <sz val="9"/>
            <color indexed="81"/>
            <rFont val="Tahoma"/>
            <family val="2"/>
          </rPr>
          <t xml:space="preserve">
проверити збир!
</t>
        </r>
      </text>
    </comment>
    <comment ref="I3045" authorId="0">
      <text>
        <r>
          <rPr>
            <b/>
            <sz val="9"/>
            <color indexed="81"/>
            <rFont val="Tahoma"/>
            <family val="2"/>
          </rPr>
          <t>LPA:</t>
        </r>
        <r>
          <rPr>
            <sz val="9"/>
            <color indexed="81"/>
            <rFont val="Tahoma"/>
            <family val="2"/>
          </rPr>
          <t xml:space="preserve">
проверити збир!
</t>
        </r>
      </text>
    </comment>
    <comment ref="I3046" authorId="0">
      <text>
        <r>
          <rPr>
            <b/>
            <sz val="9"/>
            <color indexed="81"/>
            <rFont val="Tahoma"/>
            <family val="2"/>
          </rPr>
          <t>LPA:</t>
        </r>
        <r>
          <rPr>
            <sz val="9"/>
            <color indexed="81"/>
            <rFont val="Tahoma"/>
            <family val="2"/>
          </rPr>
          <t xml:space="preserve">
проверити збир!
</t>
        </r>
      </text>
    </comment>
    <comment ref="I3047" authorId="0">
      <text>
        <r>
          <rPr>
            <b/>
            <sz val="9"/>
            <color indexed="81"/>
            <rFont val="Tahoma"/>
            <family val="2"/>
          </rPr>
          <t>LPA:</t>
        </r>
        <r>
          <rPr>
            <sz val="9"/>
            <color indexed="81"/>
            <rFont val="Tahoma"/>
            <family val="2"/>
          </rPr>
          <t xml:space="preserve">
проверити збир!
</t>
        </r>
      </text>
    </comment>
    <comment ref="I3048" authorId="0">
      <text>
        <r>
          <rPr>
            <b/>
            <sz val="9"/>
            <color indexed="81"/>
            <rFont val="Tahoma"/>
            <family val="2"/>
          </rPr>
          <t>LPA:</t>
        </r>
        <r>
          <rPr>
            <sz val="9"/>
            <color indexed="81"/>
            <rFont val="Tahoma"/>
            <family val="2"/>
          </rPr>
          <t xml:space="preserve">
проверити збир!
</t>
        </r>
      </text>
    </comment>
    <comment ref="I3049" authorId="0">
      <text>
        <r>
          <rPr>
            <b/>
            <sz val="9"/>
            <color indexed="81"/>
            <rFont val="Tahoma"/>
            <family val="2"/>
          </rPr>
          <t>LPA:</t>
        </r>
        <r>
          <rPr>
            <sz val="9"/>
            <color indexed="81"/>
            <rFont val="Tahoma"/>
            <family val="2"/>
          </rPr>
          <t xml:space="preserve">
проверити збир!
</t>
        </r>
      </text>
    </comment>
    <comment ref="H3052" authorId="0">
      <text>
        <r>
          <rPr>
            <b/>
            <sz val="9"/>
            <color indexed="81"/>
            <rFont val="Tahoma"/>
            <family val="2"/>
          </rPr>
          <t>LPA:</t>
        </r>
        <r>
          <rPr>
            <sz val="9"/>
            <color indexed="81"/>
            <rFont val="Tahoma"/>
            <family val="2"/>
          </rPr>
          <t xml:space="preserve">
проверити збир!</t>
        </r>
      </text>
    </comment>
    <comment ref="I3052" authorId="0">
      <text>
        <r>
          <rPr>
            <b/>
            <sz val="9"/>
            <color indexed="81"/>
            <rFont val="Tahoma"/>
            <family val="2"/>
          </rPr>
          <t>LPA:</t>
        </r>
        <r>
          <rPr>
            <sz val="9"/>
            <color indexed="81"/>
            <rFont val="Tahoma"/>
            <family val="2"/>
          </rPr>
          <t xml:space="preserve">
проверити збир!</t>
        </r>
      </text>
    </comment>
    <comment ref="I3053" authorId="0">
      <text>
        <r>
          <rPr>
            <b/>
            <sz val="9"/>
            <color indexed="81"/>
            <rFont val="Tahoma"/>
            <family val="2"/>
          </rPr>
          <t>LPA:</t>
        </r>
        <r>
          <rPr>
            <sz val="9"/>
            <color indexed="81"/>
            <rFont val="Tahoma"/>
            <family val="2"/>
          </rPr>
          <t xml:space="preserve">
проверити збир!
</t>
        </r>
      </text>
    </comment>
    <comment ref="I3054" authorId="0">
      <text>
        <r>
          <rPr>
            <b/>
            <sz val="9"/>
            <color indexed="81"/>
            <rFont val="Tahoma"/>
            <family val="2"/>
          </rPr>
          <t>LPA:</t>
        </r>
        <r>
          <rPr>
            <sz val="9"/>
            <color indexed="81"/>
            <rFont val="Tahoma"/>
            <family val="2"/>
          </rPr>
          <t xml:space="preserve">
проверити збир!
</t>
        </r>
      </text>
    </comment>
    <comment ref="I3055" authorId="0">
      <text>
        <r>
          <rPr>
            <b/>
            <sz val="9"/>
            <color indexed="81"/>
            <rFont val="Tahoma"/>
            <family val="2"/>
          </rPr>
          <t>LPA:</t>
        </r>
        <r>
          <rPr>
            <sz val="9"/>
            <color indexed="81"/>
            <rFont val="Tahoma"/>
            <family val="2"/>
          </rPr>
          <t xml:space="preserve">
проверити збир!
</t>
        </r>
      </text>
    </comment>
    <comment ref="I3056" authorId="0">
      <text>
        <r>
          <rPr>
            <b/>
            <sz val="9"/>
            <color indexed="81"/>
            <rFont val="Tahoma"/>
            <family val="2"/>
          </rPr>
          <t>LPA:</t>
        </r>
        <r>
          <rPr>
            <sz val="9"/>
            <color indexed="81"/>
            <rFont val="Tahoma"/>
            <family val="2"/>
          </rPr>
          <t xml:space="preserve">
проверити збир!
</t>
        </r>
      </text>
    </comment>
    <comment ref="I3057" authorId="0">
      <text>
        <r>
          <rPr>
            <b/>
            <sz val="9"/>
            <color indexed="81"/>
            <rFont val="Tahoma"/>
            <family val="2"/>
          </rPr>
          <t>LPA:</t>
        </r>
        <r>
          <rPr>
            <sz val="9"/>
            <color indexed="81"/>
            <rFont val="Tahoma"/>
            <family val="2"/>
          </rPr>
          <t xml:space="preserve">
проверити збир!
</t>
        </r>
      </text>
    </comment>
    <comment ref="I3058" authorId="0">
      <text>
        <r>
          <rPr>
            <b/>
            <sz val="9"/>
            <color indexed="81"/>
            <rFont val="Tahoma"/>
            <family val="2"/>
          </rPr>
          <t>LPA:</t>
        </r>
        <r>
          <rPr>
            <sz val="9"/>
            <color indexed="81"/>
            <rFont val="Tahoma"/>
            <family val="2"/>
          </rPr>
          <t xml:space="preserve">
проверити збир!
</t>
        </r>
      </text>
    </comment>
    <comment ref="I3059" authorId="0">
      <text>
        <r>
          <rPr>
            <b/>
            <sz val="9"/>
            <color indexed="81"/>
            <rFont val="Tahoma"/>
            <family val="2"/>
          </rPr>
          <t>LPA:</t>
        </r>
        <r>
          <rPr>
            <sz val="9"/>
            <color indexed="81"/>
            <rFont val="Tahoma"/>
            <family val="2"/>
          </rPr>
          <t xml:space="preserve">
проверити збир!
</t>
        </r>
      </text>
    </comment>
    <comment ref="I3060" authorId="0">
      <text>
        <r>
          <rPr>
            <b/>
            <sz val="9"/>
            <color indexed="81"/>
            <rFont val="Tahoma"/>
            <family val="2"/>
          </rPr>
          <t>LPA:</t>
        </r>
        <r>
          <rPr>
            <sz val="9"/>
            <color indexed="81"/>
            <rFont val="Tahoma"/>
            <family val="2"/>
          </rPr>
          <t xml:space="preserve">
проверити збир!
</t>
        </r>
      </text>
    </comment>
    <comment ref="I3061" authorId="0">
      <text>
        <r>
          <rPr>
            <b/>
            <sz val="9"/>
            <color indexed="81"/>
            <rFont val="Tahoma"/>
            <family val="2"/>
          </rPr>
          <t>LPA:</t>
        </r>
        <r>
          <rPr>
            <sz val="9"/>
            <color indexed="81"/>
            <rFont val="Tahoma"/>
            <family val="2"/>
          </rPr>
          <t xml:space="preserve">
проверити збир!
</t>
        </r>
      </text>
    </comment>
    <comment ref="I3062" authorId="0">
      <text>
        <r>
          <rPr>
            <b/>
            <sz val="9"/>
            <color indexed="81"/>
            <rFont val="Tahoma"/>
            <family val="2"/>
          </rPr>
          <t>LPA:</t>
        </r>
        <r>
          <rPr>
            <sz val="9"/>
            <color indexed="81"/>
            <rFont val="Tahoma"/>
            <family val="2"/>
          </rPr>
          <t xml:space="preserve">
проверити збир!
</t>
        </r>
      </text>
    </comment>
    <comment ref="I3063" authorId="0">
      <text>
        <r>
          <rPr>
            <b/>
            <sz val="9"/>
            <color indexed="81"/>
            <rFont val="Tahoma"/>
            <family val="2"/>
          </rPr>
          <t>LPA:</t>
        </r>
        <r>
          <rPr>
            <sz val="9"/>
            <color indexed="81"/>
            <rFont val="Tahoma"/>
            <family val="2"/>
          </rPr>
          <t xml:space="preserve">
проверити збир!
</t>
        </r>
      </text>
    </comment>
    <comment ref="I3064" authorId="0">
      <text>
        <r>
          <rPr>
            <b/>
            <sz val="9"/>
            <color indexed="81"/>
            <rFont val="Tahoma"/>
            <family val="2"/>
          </rPr>
          <t>LPA:</t>
        </r>
        <r>
          <rPr>
            <sz val="9"/>
            <color indexed="81"/>
            <rFont val="Tahoma"/>
            <family val="2"/>
          </rPr>
          <t xml:space="preserve">
проверити збир!
</t>
        </r>
      </text>
    </comment>
    <comment ref="I3065" authorId="0">
      <text>
        <r>
          <rPr>
            <b/>
            <sz val="9"/>
            <color indexed="81"/>
            <rFont val="Tahoma"/>
            <family val="2"/>
          </rPr>
          <t>LPA:</t>
        </r>
        <r>
          <rPr>
            <sz val="9"/>
            <color indexed="81"/>
            <rFont val="Tahoma"/>
            <family val="2"/>
          </rPr>
          <t xml:space="preserve">
проверити збир!
</t>
        </r>
      </text>
    </comment>
    <comment ref="I3066" authorId="0">
      <text>
        <r>
          <rPr>
            <b/>
            <sz val="9"/>
            <color indexed="81"/>
            <rFont val="Tahoma"/>
            <family val="2"/>
          </rPr>
          <t>LPA:</t>
        </r>
        <r>
          <rPr>
            <sz val="9"/>
            <color indexed="81"/>
            <rFont val="Tahoma"/>
            <family val="2"/>
          </rPr>
          <t xml:space="preserve">
проверити збир!
</t>
        </r>
      </text>
    </comment>
    <comment ref="I3067" authorId="0">
      <text>
        <r>
          <rPr>
            <b/>
            <sz val="9"/>
            <color indexed="81"/>
            <rFont val="Tahoma"/>
            <family val="2"/>
          </rPr>
          <t>LPA:</t>
        </r>
        <r>
          <rPr>
            <sz val="9"/>
            <color indexed="81"/>
            <rFont val="Tahoma"/>
            <family val="2"/>
          </rPr>
          <t xml:space="preserve">
проверити збир!
</t>
        </r>
      </text>
    </comment>
    <comment ref="H3074" authorId="0">
      <text>
        <r>
          <rPr>
            <b/>
            <sz val="9"/>
            <color indexed="81"/>
            <rFont val="Tahoma"/>
            <family val="2"/>
          </rPr>
          <t>LPA:</t>
        </r>
        <r>
          <rPr>
            <sz val="9"/>
            <color indexed="81"/>
            <rFont val="Tahoma"/>
            <family val="2"/>
          </rPr>
          <t xml:space="preserve">
проверити збир!</t>
        </r>
      </text>
    </comment>
    <comment ref="I3074" authorId="0">
      <text>
        <r>
          <rPr>
            <b/>
            <sz val="9"/>
            <color indexed="81"/>
            <rFont val="Tahoma"/>
            <family val="2"/>
          </rPr>
          <t>LPA:</t>
        </r>
        <r>
          <rPr>
            <sz val="9"/>
            <color indexed="81"/>
            <rFont val="Tahoma"/>
            <family val="2"/>
          </rPr>
          <t xml:space="preserve">
проверити збир!
</t>
        </r>
      </text>
    </comment>
    <comment ref="I3075" authorId="0">
      <text>
        <r>
          <rPr>
            <b/>
            <sz val="9"/>
            <color indexed="81"/>
            <rFont val="Tahoma"/>
            <family val="2"/>
          </rPr>
          <t>LPA:</t>
        </r>
        <r>
          <rPr>
            <sz val="9"/>
            <color indexed="81"/>
            <rFont val="Tahoma"/>
            <family val="2"/>
          </rPr>
          <t xml:space="preserve">
проверити збир!
</t>
        </r>
      </text>
    </comment>
    <comment ref="I3076" authorId="0">
      <text>
        <r>
          <rPr>
            <b/>
            <sz val="9"/>
            <color indexed="81"/>
            <rFont val="Tahoma"/>
            <family val="2"/>
          </rPr>
          <t>LPA:</t>
        </r>
        <r>
          <rPr>
            <sz val="9"/>
            <color indexed="81"/>
            <rFont val="Tahoma"/>
            <family val="2"/>
          </rPr>
          <t xml:space="preserve">
проверити збир!
</t>
        </r>
      </text>
    </comment>
    <comment ref="I3077" authorId="0">
      <text>
        <r>
          <rPr>
            <b/>
            <sz val="9"/>
            <color indexed="81"/>
            <rFont val="Tahoma"/>
            <family val="2"/>
          </rPr>
          <t>LPA:</t>
        </r>
        <r>
          <rPr>
            <sz val="9"/>
            <color indexed="81"/>
            <rFont val="Tahoma"/>
            <family val="2"/>
          </rPr>
          <t xml:space="preserve">
проверити збир!
</t>
        </r>
      </text>
    </comment>
    <comment ref="I3078" authorId="0">
      <text>
        <r>
          <rPr>
            <b/>
            <sz val="9"/>
            <color indexed="81"/>
            <rFont val="Tahoma"/>
            <family val="2"/>
          </rPr>
          <t>LPA:</t>
        </r>
        <r>
          <rPr>
            <sz val="9"/>
            <color indexed="81"/>
            <rFont val="Tahoma"/>
            <family val="2"/>
          </rPr>
          <t xml:space="preserve">
проверити збир!
</t>
        </r>
      </text>
    </comment>
    <comment ref="I3079" authorId="0">
      <text>
        <r>
          <rPr>
            <b/>
            <sz val="9"/>
            <color indexed="81"/>
            <rFont val="Tahoma"/>
            <family val="2"/>
          </rPr>
          <t>LPA:</t>
        </r>
        <r>
          <rPr>
            <sz val="9"/>
            <color indexed="81"/>
            <rFont val="Tahoma"/>
            <family val="2"/>
          </rPr>
          <t xml:space="preserve">
проверити збир!
</t>
        </r>
      </text>
    </comment>
    <comment ref="I3080" authorId="0">
      <text>
        <r>
          <rPr>
            <b/>
            <sz val="9"/>
            <color indexed="81"/>
            <rFont val="Tahoma"/>
            <family val="2"/>
          </rPr>
          <t>LPA:</t>
        </r>
        <r>
          <rPr>
            <sz val="9"/>
            <color indexed="81"/>
            <rFont val="Tahoma"/>
            <family val="2"/>
          </rPr>
          <t xml:space="preserve">
проверити збир!
</t>
        </r>
      </text>
    </comment>
    <comment ref="I3081" authorId="0">
      <text>
        <r>
          <rPr>
            <b/>
            <sz val="9"/>
            <color indexed="81"/>
            <rFont val="Tahoma"/>
            <family val="2"/>
          </rPr>
          <t>LPA:</t>
        </r>
        <r>
          <rPr>
            <sz val="9"/>
            <color indexed="81"/>
            <rFont val="Tahoma"/>
            <family val="2"/>
          </rPr>
          <t xml:space="preserve">
проверити збир!
</t>
        </r>
      </text>
    </comment>
    <comment ref="I3082" authorId="0">
      <text>
        <r>
          <rPr>
            <b/>
            <sz val="9"/>
            <color indexed="81"/>
            <rFont val="Tahoma"/>
            <family val="2"/>
          </rPr>
          <t>LPA:</t>
        </r>
        <r>
          <rPr>
            <sz val="9"/>
            <color indexed="81"/>
            <rFont val="Tahoma"/>
            <family val="2"/>
          </rPr>
          <t xml:space="preserve">
проверити збир!
</t>
        </r>
      </text>
    </comment>
    <comment ref="I3083" authorId="0">
      <text>
        <r>
          <rPr>
            <b/>
            <sz val="9"/>
            <color indexed="81"/>
            <rFont val="Tahoma"/>
            <family val="2"/>
          </rPr>
          <t>LPA:</t>
        </r>
        <r>
          <rPr>
            <sz val="9"/>
            <color indexed="81"/>
            <rFont val="Tahoma"/>
            <family val="2"/>
          </rPr>
          <t xml:space="preserve">
проверити збир!
</t>
        </r>
      </text>
    </comment>
    <comment ref="I3084" authorId="0">
      <text>
        <r>
          <rPr>
            <b/>
            <sz val="9"/>
            <color indexed="81"/>
            <rFont val="Tahoma"/>
            <family val="2"/>
          </rPr>
          <t>LPA:</t>
        </r>
        <r>
          <rPr>
            <sz val="9"/>
            <color indexed="81"/>
            <rFont val="Tahoma"/>
            <family val="2"/>
          </rPr>
          <t xml:space="preserve">
проверити збир!
</t>
        </r>
      </text>
    </comment>
    <comment ref="I3085" authorId="0">
      <text>
        <r>
          <rPr>
            <b/>
            <sz val="9"/>
            <color indexed="81"/>
            <rFont val="Tahoma"/>
            <family val="2"/>
          </rPr>
          <t>LPA:</t>
        </r>
        <r>
          <rPr>
            <sz val="9"/>
            <color indexed="81"/>
            <rFont val="Tahoma"/>
            <family val="2"/>
          </rPr>
          <t xml:space="preserve">
проверити збир!
</t>
        </r>
      </text>
    </comment>
    <comment ref="I3086" authorId="0">
      <text>
        <r>
          <rPr>
            <b/>
            <sz val="9"/>
            <color indexed="81"/>
            <rFont val="Tahoma"/>
            <family val="2"/>
          </rPr>
          <t>LPA:</t>
        </r>
        <r>
          <rPr>
            <sz val="9"/>
            <color indexed="81"/>
            <rFont val="Tahoma"/>
            <family val="2"/>
          </rPr>
          <t xml:space="preserve">
проверити збир!
</t>
        </r>
      </text>
    </comment>
    <comment ref="I3087" authorId="0">
      <text>
        <r>
          <rPr>
            <b/>
            <sz val="9"/>
            <color indexed="81"/>
            <rFont val="Tahoma"/>
            <family val="2"/>
          </rPr>
          <t>LPA:</t>
        </r>
        <r>
          <rPr>
            <sz val="9"/>
            <color indexed="81"/>
            <rFont val="Tahoma"/>
            <family val="2"/>
          </rPr>
          <t xml:space="preserve">
проверити збир!
</t>
        </r>
      </text>
    </comment>
    <comment ref="I3088" authorId="0">
      <text>
        <r>
          <rPr>
            <b/>
            <sz val="9"/>
            <color indexed="81"/>
            <rFont val="Tahoma"/>
            <family val="2"/>
          </rPr>
          <t>LPA:</t>
        </r>
        <r>
          <rPr>
            <sz val="9"/>
            <color indexed="81"/>
            <rFont val="Tahoma"/>
            <family val="2"/>
          </rPr>
          <t xml:space="preserve">
проверити збир!
</t>
        </r>
      </text>
    </comment>
    <comment ref="I3089" authorId="0">
      <text>
        <r>
          <rPr>
            <b/>
            <sz val="9"/>
            <color indexed="81"/>
            <rFont val="Tahoma"/>
            <family val="2"/>
          </rPr>
          <t>LPA:</t>
        </r>
        <r>
          <rPr>
            <sz val="9"/>
            <color indexed="81"/>
            <rFont val="Tahoma"/>
            <family val="2"/>
          </rPr>
          <t xml:space="preserve">
проверити збир!
</t>
        </r>
      </text>
    </comment>
    <comment ref="I3160" authorId="0">
      <text>
        <r>
          <rPr>
            <b/>
            <sz val="9"/>
            <color indexed="81"/>
            <rFont val="Tahoma"/>
            <family val="2"/>
          </rPr>
          <t>LPA:</t>
        </r>
        <r>
          <rPr>
            <sz val="9"/>
            <color indexed="81"/>
            <rFont val="Tahoma"/>
            <family val="2"/>
          </rPr>
          <t xml:space="preserve">
проверити збир!
</t>
        </r>
      </text>
    </comment>
    <comment ref="I3161" authorId="0">
      <text>
        <r>
          <rPr>
            <b/>
            <sz val="9"/>
            <color indexed="81"/>
            <rFont val="Tahoma"/>
            <family val="2"/>
          </rPr>
          <t>LPA:</t>
        </r>
        <r>
          <rPr>
            <sz val="9"/>
            <color indexed="81"/>
            <rFont val="Tahoma"/>
            <family val="2"/>
          </rPr>
          <t xml:space="preserve">
проверити збир!
</t>
        </r>
      </text>
    </comment>
    <comment ref="I3162" authorId="0">
      <text>
        <r>
          <rPr>
            <b/>
            <sz val="9"/>
            <color indexed="81"/>
            <rFont val="Tahoma"/>
            <family val="2"/>
          </rPr>
          <t>LPA:</t>
        </r>
        <r>
          <rPr>
            <sz val="9"/>
            <color indexed="81"/>
            <rFont val="Tahoma"/>
            <family val="2"/>
          </rPr>
          <t xml:space="preserve">
проверити збир!
</t>
        </r>
      </text>
    </comment>
    <comment ref="I3163" authorId="0">
      <text>
        <r>
          <rPr>
            <b/>
            <sz val="9"/>
            <color indexed="81"/>
            <rFont val="Tahoma"/>
            <family val="2"/>
          </rPr>
          <t>LPA:</t>
        </r>
        <r>
          <rPr>
            <sz val="9"/>
            <color indexed="81"/>
            <rFont val="Tahoma"/>
            <family val="2"/>
          </rPr>
          <t xml:space="preserve">
проверити збир!
</t>
        </r>
      </text>
    </comment>
    <comment ref="I3164" authorId="0">
      <text>
        <r>
          <rPr>
            <b/>
            <sz val="9"/>
            <color indexed="81"/>
            <rFont val="Tahoma"/>
            <family val="2"/>
          </rPr>
          <t>LPA:</t>
        </r>
        <r>
          <rPr>
            <sz val="9"/>
            <color indexed="81"/>
            <rFont val="Tahoma"/>
            <family val="2"/>
          </rPr>
          <t xml:space="preserve">
проверити збир!
</t>
        </r>
      </text>
    </comment>
    <comment ref="I3165" authorId="0">
      <text>
        <r>
          <rPr>
            <b/>
            <sz val="9"/>
            <color indexed="81"/>
            <rFont val="Tahoma"/>
            <family val="2"/>
          </rPr>
          <t>LPA:</t>
        </r>
        <r>
          <rPr>
            <sz val="9"/>
            <color indexed="81"/>
            <rFont val="Tahoma"/>
            <family val="2"/>
          </rPr>
          <t xml:space="preserve">
проверити збир!
</t>
        </r>
      </text>
    </comment>
    <comment ref="I3166" authorId="0">
      <text>
        <r>
          <rPr>
            <b/>
            <sz val="9"/>
            <color indexed="81"/>
            <rFont val="Tahoma"/>
            <family val="2"/>
          </rPr>
          <t>LPA:</t>
        </r>
        <r>
          <rPr>
            <sz val="9"/>
            <color indexed="81"/>
            <rFont val="Tahoma"/>
            <family val="2"/>
          </rPr>
          <t xml:space="preserve">
проверити збир!
</t>
        </r>
      </text>
    </comment>
    <comment ref="I3167" authorId="0">
      <text>
        <r>
          <rPr>
            <b/>
            <sz val="9"/>
            <color indexed="81"/>
            <rFont val="Tahoma"/>
            <family val="2"/>
          </rPr>
          <t>LPA:</t>
        </r>
        <r>
          <rPr>
            <sz val="9"/>
            <color indexed="81"/>
            <rFont val="Tahoma"/>
            <family val="2"/>
          </rPr>
          <t xml:space="preserve">
проверити збир!
</t>
        </r>
      </text>
    </comment>
    <comment ref="I3168" authorId="0">
      <text>
        <r>
          <rPr>
            <b/>
            <sz val="9"/>
            <color indexed="81"/>
            <rFont val="Tahoma"/>
            <family val="2"/>
          </rPr>
          <t>LPA:</t>
        </r>
        <r>
          <rPr>
            <sz val="9"/>
            <color indexed="81"/>
            <rFont val="Tahoma"/>
            <family val="2"/>
          </rPr>
          <t xml:space="preserve">
проверити збир!
</t>
        </r>
      </text>
    </comment>
    <comment ref="I3169" authorId="0">
      <text>
        <r>
          <rPr>
            <b/>
            <sz val="9"/>
            <color indexed="81"/>
            <rFont val="Tahoma"/>
            <family val="2"/>
          </rPr>
          <t>LPA:</t>
        </r>
        <r>
          <rPr>
            <sz val="9"/>
            <color indexed="81"/>
            <rFont val="Tahoma"/>
            <family val="2"/>
          </rPr>
          <t xml:space="preserve">
проверити збир!
</t>
        </r>
      </text>
    </comment>
    <comment ref="I3170" authorId="0">
      <text>
        <r>
          <rPr>
            <b/>
            <sz val="9"/>
            <color indexed="81"/>
            <rFont val="Tahoma"/>
            <family val="2"/>
          </rPr>
          <t>LPA:</t>
        </r>
        <r>
          <rPr>
            <sz val="9"/>
            <color indexed="81"/>
            <rFont val="Tahoma"/>
            <family val="2"/>
          </rPr>
          <t xml:space="preserve">
проверити збир!
</t>
        </r>
      </text>
    </comment>
    <comment ref="I3171" authorId="0">
      <text>
        <r>
          <rPr>
            <b/>
            <sz val="9"/>
            <color indexed="81"/>
            <rFont val="Tahoma"/>
            <family val="2"/>
          </rPr>
          <t>LPA:</t>
        </r>
        <r>
          <rPr>
            <sz val="9"/>
            <color indexed="81"/>
            <rFont val="Tahoma"/>
            <family val="2"/>
          </rPr>
          <t xml:space="preserve">
проверити збир!
</t>
        </r>
      </text>
    </comment>
    <comment ref="I3172" authorId="0">
      <text>
        <r>
          <rPr>
            <b/>
            <sz val="9"/>
            <color indexed="81"/>
            <rFont val="Tahoma"/>
            <family val="2"/>
          </rPr>
          <t>LPA:</t>
        </r>
        <r>
          <rPr>
            <sz val="9"/>
            <color indexed="81"/>
            <rFont val="Tahoma"/>
            <family val="2"/>
          </rPr>
          <t xml:space="preserve">
проверити збир!
</t>
        </r>
      </text>
    </comment>
    <comment ref="H3175" authorId="0">
      <text>
        <r>
          <rPr>
            <b/>
            <sz val="9"/>
            <color indexed="81"/>
            <rFont val="Tahoma"/>
            <family val="2"/>
          </rPr>
          <t>LPA:</t>
        </r>
        <r>
          <rPr>
            <sz val="9"/>
            <color indexed="81"/>
            <rFont val="Tahoma"/>
            <family val="2"/>
          </rPr>
          <t xml:space="preserve">
проверити збир!</t>
        </r>
      </text>
    </comment>
    <comment ref="I3175" authorId="0">
      <text>
        <r>
          <rPr>
            <b/>
            <sz val="9"/>
            <color indexed="81"/>
            <rFont val="Tahoma"/>
            <family val="2"/>
          </rPr>
          <t>LPA:</t>
        </r>
        <r>
          <rPr>
            <sz val="9"/>
            <color indexed="81"/>
            <rFont val="Tahoma"/>
            <family val="2"/>
          </rPr>
          <t xml:space="preserve">
проверити збир!</t>
        </r>
      </text>
    </comment>
    <comment ref="I3176" authorId="0">
      <text>
        <r>
          <rPr>
            <b/>
            <sz val="9"/>
            <color indexed="81"/>
            <rFont val="Tahoma"/>
            <family val="2"/>
          </rPr>
          <t>LPA:</t>
        </r>
        <r>
          <rPr>
            <sz val="9"/>
            <color indexed="81"/>
            <rFont val="Tahoma"/>
            <family val="2"/>
          </rPr>
          <t xml:space="preserve">
проверити збир!
</t>
        </r>
      </text>
    </comment>
    <comment ref="I3177" authorId="0">
      <text>
        <r>
          <rPr>
            <b/>
            <sz val="9"/>
            <color indexed="81"/>
            <rFont val="Tahoma"/>
            <family val="2"/>
          </rPr>
          <t>LPA:</t>
        </r>
        <r>
          <rPr>
            <sz val="9"/>
            <color indexed="81"/>
            <rFont val="Tahoma"/>
            <family val="2"/>
          </rPr>
          <t xml:space="preserve">
проверити збир!
</t>
        </r>
      </text>
    </comment>
    <comment ref="I3178" authorId="0">
      <text>
        <r>
          <rPr>
            <b/>
            <sz val="9"/>
            <color indexed="81"/>
            <rFont val="Tahoma"/>
            <family val="2"/>
          </rPr>
          <t>LPA:</t>
        </r>
        <r>
          <rPr>
            <sz val="9"/>
            <color indexed="81"/>
            <rFont val="Tahoma"/>
            <family val="2"/>
          </rPr>
          <t xml:space="preserve">
проверити збир!
</t>
        </r>
      </text>
    </comment>
    <comment ref="I3179" authorId="0">
      <text>
        <r>
          <rPr>
            <b/>
            <sz val="9"/>
            <color indexed="81"/>
            <rFont val="Tahoma"/>
            <family val="2"/>
          </rPr>
          <t>LPA:</t>
        </r>
        <r>
          <rPr>
            <sz val="9"/>
            <color indexed="81"/>
            <rFont val="Tahoma"/>
            <family val="2"/>
          </rPr>
          <t xml:space="preserve">
проверити збир!
</t>
        </r>
      </text>
    </comment>
    <comment ref="I3180" authorId="0">
      <text>
        <r>
          <rPr>
            <b/>
            <sz val="9"/>
            <color indexed="81"/>
            <rFont val="Tahoma"/>
            <family val="2"/>
          </rPr>
          <t>LPA:</t>
        </r>
        <r>
          <rPr>
            <sz val="9"/>
            <color indexed="81"/>
            <rFont val="Tahoma"/>
            <family val="2"/>
          </rPr>
          <t xml:space="preserve">
проверити збир!
</t>
        </r>
      </text>
    </comment>
    <comment ref="I3181" authorId="0">
      <text>
        <r>
          <rPr>
            <b/>
            <sz val="9"/>
            <color indexed="81"/>
            <rFont val="Tahoma"/>
            <family val="2"/>
          </rPr>
          <t>LPA:</t>
        </r>
        <r>
          <rPr>
            <sz val="9"/>
            <color indexed="81"/>
            <rFont val="Tahoma"/>
            <family val="2"/>
          </rPr>
          <t xml:space="preserve">
проверити збир!
</t>
        </r>
      </text>
    </comment>
    <comment ref="I3182" authorId="0">
      <text>
        <r>
          <rPr>
            <b/>
            <sz val="9"/>
            <color indexed="81"/>
            <rFont val="Tahoma"/>
            <family val="2"/>
          </rPr>
          <t>LPA:</t>
        </r>
        <r>
          <rPr>
            <sz val="9"/>
            <color indexed="81"/>
            <rFont val="Tahoma"/>
            <family val="2"/>
          </rPr>
          <t xml:space="preserve">
проверити збир!
</t>
        </r>
      </text>
    </comment>
    <comment ref="I3183" authorId="0">
      <text>
        <r>
          <rPr>
            <b/>
            <sz val="9"/>
            <color indexed="81"/>
            <rFont val="Tahoma"/>
            <family val="2"/>
          </rPr>
          <t>LPA:</t>
        </r>
        <r>
          <rPr>
            <sz val="9"/>
            <color indexed="81"/>
            <rFont val="Tahoma"/>
            <family val="2"/>
          </rPr>
          <t xml:space="preserve">
проверити збир!
</t>
        </r>
      </text>
    </comment>
    <comment ref="I3184" authorId="0">
      <text>
        <r>
          <rPr>
            <b/>
            <sz val="9"/>
            <color indexed="81"/>
            <rFont val="Tahoma"/>
            <family val="2"/>
          </rPr>
          <t>LPA:</t>
        </r>
        <r>
          <rPr>
            <sz val="9"/>
            <color indexed="81"/>
            <rFont val="Tahoma"/>
            <family val="2"/>
          </rPr>
          <t xml:space="preserve">
проверити збир!
</t>
        </r>
      </text>
    </comment>
    <comment ref="I3185" authorId="0">
      <text>
        <r>
          <rPr>
            <b/>
            <sz val="9"/>
            <color indexed="81"/>
            <rFont val="Tahoma"/>
            <family val="2"/>
          </rPr>
          <t>LPA:</t>
        </r>
        <r>
          <rPr>
            <sz val="9"/>
            <color indexed="81"/>
            <rFont val="Tahoma"/>
            <family val="2"/>
          </rPr>
          <t xml:space="preserve">
проверити збир!
</t>
        </r>
      </text>
    </comment>
    <comment ref="I3186" authorId="0">
      <text>
        <r>
          <rPr>
            <b/>
            <sz val="9"/>
            <color indexed="81"/>
            <rFont val="Tahoma"/>
            <family val="2"/>
          </rPr>
          <t>LPA:</t>
        </r>
        <r>
          <rPr>
            <sz val="9"/>
            <color indexed="81"/>
            <rFont val="Tahoma"/>
            <family val="2"/>
          </rPr>
          <t xml:space="preserve">
проверити збир!
</t>
        </r>
      </text>
    </comment>
    <comment ref="I3187" authorId="0">
      <text>
        <r>
          <rPr>
            <b/>
            <sz val="9"/>
            <color indexed="81"/>
            <rFont val="Tahoma"/>
            <family val="2"/>
          </rPr>
          <t>LPA:</t>
        </r>
        <r>
          <rPr>
            <sz val="9"/>
            <color indexed="81"/>
            <rFont val="Tahoma"/>
            <family val="2"/>
          </rPr>
          <t xml:space="preserve">
проверити збир!
</t>
        </r>
      </text>
    </comment>
    <comment ref="I3188" authorId="0">
      <text>
        <r>
          <rPr>
            <b/>
            <sz val="9"/>
            <color indexed="81"/>
            <rFont val="Tahoma"/>
            <family val="2"/>
          </rPr>
          <t>LPA:</t>
        </r>
        <r>
          <rPr>
            <sz val="9"/>
            <color indexed="81"/>
            <rFont val="Tahoma"/>
            <family val="2"/>
          </rPr>
          <t xml:space="preserve">
проверити збир!
</t>
        </r>
      </text>
    </comment>
    <comment ref="I3189" authorId="0">
      <text>
        <r>
          <rPr>
            <b/>
            <sz val="9"/>
            <color indexed="81"/>
            <rFont val="Tahoma"/>
            <family val="2"/>
          </rPr>
          <t>LPA:</t>
        </r>
        <r>
          <rPr>
            <sz val="9"/>
            <color indexed="81"/>
            <rFont val="Tahoma"/>
            <family val="2"/>
          </rPr>
          <t xml:space="preserve">
проверити збир!
</t>
        </r>
      </text>
    </comment>
    <comment ref="I3190" authorId="0">
      <text>
        <r>
          <rPr>
            <b/>
            <sz val="9"/>
            <color indexed="81"/>
            <rFont val="Tahoma"/>
            <family val="2"/>
          </rPr>
          <t>LPA:</t>
        </r>
        <r>
          <rPr>
            <sz val="9"/>
            <color indexed="81"/>
            <rFont val="Tahoma"/>
            <family val="2"/>
          </rPr>
          <t xml:space="preserve">
проверити збир!
</t>
        </r>
      </text>
    </comment>
    <comment ref="I3259" authorId="0">
      <text>
        <r>
          <rPr>
            <b/>
            <sz val="9"/>
            <color indexed="81"/>
            <rFont val="Tahoma"/>
            <family val="2"/>
          </rPr>
          <t>LPA:</t>
        </r>
        <r>
          <rPr>
            <sz val="9"/>
            <color indexed="81"/>
            <rFont val="Tahoma"/>
            <family val="2"/>
          </rPr>
          <t xml:space="preserve">
проверити збир!
</t>
        </r>
      </text>
    </comment>
    <comment ref="I3260" authorId="0">
      <text>
        <r>
          <rPr>
            <b/>
            <sz val="9"/>
            <color indexed="81"/>
            <rFont val="Tahoma"/>
            <family val="2"/>
          </rPr>
          <t>LPA:</t>
        </r>
        <r>
          <rPr>
            <sz val="9"/>
            <color indexed="81"/>
            <rFont val="Tahoma"/>
            <family val="2"/>
          </rPr>
          <t xml:space="preserve">
проверити збир!
</t>
        </r>
      </text>
    </comment>
    <comment ref="I3261" authorId="0">
      <text>
        <r>
          <rPr>
            <b/>
            <sz val="9"/>
            <color indexed="81"/>
            <rFont val="Tahoma"/>
            <family val="2"/>
          </rPr>
          <t>LPA:</t>
        </r>
        <r>
          <rPr>
            <sz val="9"/>
            <color indexed="81"/>
            <rFont val="Tahoma"/>
            <family val="2"/>
          </rPr>
          <t xml:space="preserve">
проверити збир!
</t>
        </r>
      </text>
    </comment>
    <comment ref="I3262" authorId="0">
      <text>
        <r>
          <rPr>
            <b/>
            <sz val="9"/>
            <color indexed="81"/>
            <rFont val="Tahoma"/>
            <family val="2"/>
          </rPr>
          <t>LPA:</t>
        </r>
        <r>
          <rPr>
            <sz val="9"/>
            <color indexed="81"/>
            <rFont val="Tahoma"/>
            <family val="2"/>
          </rPr>
          <t xml:space="preserve">
проверити збир!
</t>
        </r>
      </text>
    </comment>
    <comment ref="I3263" authorId="0">
      <text>
        <r>
          <rPr>
            <b/>
            <sz val="9"/>
            <color indexed="81"/>
            <rFont val="Tahoma"/>
            <family val="2"/>
          </rPr>
          <t>LPA:</t>
        </r>
        <r>
          <rPr>
            <sz val="9"/>
            <color indexed="81"/>
            <rFont val="Tahoma"/>
            <family val="2"/>
          </rPr>
          <t xml:space="preserve">
проверити збир!
</t>
        </r>
      </text>
    </comment>
    <comment ref="I3264" authorId="0">
      <text>
        <r>
          <rPr>
            <b/>
            <sz val="9"/>
            <color indexed="81"/>
            <rFont val="Tahoma"/>
            <family val="2"/>
          </rPr>
          <t>LPA:</t>
        </r>
        <r>
          <rPr>
            <sz val="9"/>
            <color indexed="81"/>
            <rFont val="Tahoma"/>
            <family val="2"/>
          </rPr>
          <t xml:space="preserve">
проверити збир!
</t>
        </r>
      </text>
    </comment>
    <comment ref="I3265" authorId="0">
      <text>
        <r>
          <rPr>
            <b/>
            <sz val="9"/>
            <color indexed="81"/>
            <rFont val="Tahoma"/>
            <family val="2"/>
          </rPr>
          <t>LPA:</t>
        </r>
        <r>
          <rPr>
            <sz val="9"/>
            <color indexed="81"/>
            <rFont val="Tahoma"/>
            <family val="2"/>
          </rPr>
          <t xml:space="preserve">
проверити збир!
</t>
        </r>
      </text>
    </comment>
    <comment ref="I3266" authorId="0">
      <text>
        <r>
          <rPr>
            <b/>
            <sz val="9"/>
            <color indexed="81"/>
            <rFont val="Tahoma"/>
            <family val="2"/>
          </rPr>
          <t>LPA:</t>
        </r>
        <r>
          <rPr>
            <sz val="9"/>
            <color indexed="81"/>
            <rFont val="Tahoma"/>
            <family val="2"/>
          </rPr>
          <t xml:space="preserve">
проверити збир!
</t>
        </r>
      </text>
    </comment>
    <comment ref="I3267" authorId="0">
      <text>
        <r>
          <rPr>
            <b/>
            <sz val="9"/>
            <color indexed="81"/>
            <rFont val="Tahoma"/>
            <family val="2"/>
          </rPr>
          <t>LPA:</t>
        </r>
        <r>
          <rPr>
            <sz val="9"/>
            <color indexed="81"/>
            <rFont val="Tahoma"/>
            <family val="2"/>
          </rPr>
          <t xml:space="preserve">
проверити збир!
</t>
        </r>
      </text>
    </comment>
    <comment ref="I3268" authorId="0">
      <text>
        <r>
          <rPr>
            <b/>
            <sz val="9"/>
            <color indexed="81"/>
            <rFont val="Tahoma"/>
            <family val="2"/>
          </rPr>
          <t>LPA:</t>
        </r>
        <r>
          <rPr>
            <sz val="9"/>
            <color indexed="81"/>
            <rFont val="Tahoma"/>
            <family val="2"/>
          </rPr>
          <t xml:space="preserve">
проверити збир!
</t>
        </r>
      </text>
    </comment>
    <comment ref="I3269" authorId="0">
      <text>
        <r>
          <rPr>
            <b/>
            <sz val="9"/>
            <color indexed="81"/>
            <rFont val="Tahoma"/>
            <family val="2"/>
          </rPr>
          <t>LPA:</t>
        </r>
        <r>
          <rPr>
            <sz val="9"/>
            <color indexed="81"/>
            <rFont val="Tahoma"/>
            <family val="2"/>
          </rPr>
          <t xml:space="preserve">
проверити збир!
</t>
        </r>
      </text>
    </comment>
    <comment ref="I3270" authorId="0">
      <text>
        <r>
          <rPr>
            <b/>
            <sz val="9"/>
            <color indexed="81"/>
            <rFont val="Tahoma"/>
            <family val="2"/>
          </rPr>
          <t>LPA:</t>
        </r>
        <r>
          <rPr>
            <sz val="9"/>
            <color indexed="81"/>
            <rFont val="Tahoma"/>
            <family val="2"/>
          </rPr>
          <t xml:space="preserve">
проверити збир!
</t>
        </r>
      </text>
    </comment>
    <comment ref="I3271" authorId="0">
      <text>
        <r>
          <rPr>
            <b/>
            <sz val="9"/>
            <color indexed="81"/>
            <rFont val="Tahoma"/>
            <family val="2"/>
          </rPr>
          <t>LPA:</t>
        </r>
        <r>
          <rPr>
            <sz val="9"/>
            <color indexed="81"/>
            <rFont val="Tahoma"/>
            <family val="2"/>
          </rPr>
          <t xml:space="preserve">
проверити збир!
</t>
        </r>
      </text>
    </comment>
    <comment ref="H3274" authorId="0">
      <text>
        <r>
          <rPr>
            <b/>
            <sz val="9"/>
            <color indexed="81"/>
            <rFont val="Tahoma"/>
            <family val="2"/>
          </rPr>
          <t>LPA:</t>
        </r>
        <r>
          <rPr>
            <sz val="9"/>
            <color indexed="81"/>
            <rFont val="Tahoma"/>
            <family val="2"/>
          </rPr>
          <t xml:space="preserve">
проверити збир!</t>
        </r>
      </text>
    </comment>
    <comment ref="I3274" authorId="0">
      <text>
        <r>
          <rPr>
            <b/>
            <sz val="9"/>
            <color indexed="81"/>
            <rFont val="Tahoma"/>
            <family val="2"/>
          </rPr>
          <t>LPA:</t>
        </r>
        <r>
          <rPr>
            <sz val="9"/>
            <color indexed="81"/>
            <rFont val="Tahoma"/>
            <family val="2"/>
          </rPr>
          <t xml:space="preserve">
проверити збир!</t>
        </r>
      </text>
    </comment>
    <comment ref="I3275" authorId="0">
      <text>
        <r>
          <rPr>
            <b/>
            <sz val="9"/>
            <color indexed="81"/>
            <rFont val="Tahoma"/>
            <family val="2"/>
          </rPr>
          <t>LPA:</t>
        </r>
        <r>
          <rPr>
            <sz val="9"/>
            <color indexed="81"/>
            <rFont val="Tahoma"/>
            <family val="2"/>
          </rPr>
          <t xml:space="preserve">
проверити збир!
</t>
        </r>
      </text>
    </comment>
    <comment ref="I3276" authorId="0">
      <text>
        <r>
          <rPr>
            <b/>
            <sz val="9"/>
            <color indexed="81"/>
            <rFont val="Tahoma"/>
            <family val="2"/>
          </rPr>
          <t>LPA:</t>
        </r>
        <r>
          <rPr>
            <sz val="9"/>
            <color indexed="81"/>
            <rFont val="Tahoma"/>
            <family val="2"/>
          </rPr>
          <t xml:space="preserve">
проверити збир!
</t>
        </r>
      </text>
    </comment>
    <comment ref="I3277" authorId="0">
      <text>
        <r>
          <rPr>
            <b/>
            <sz val="9"/>
            <color indexed="81"/>
            <rFont val="Tahoma"/>
            <family val="2"/>
          </rPr>
          <t>LPA:</t>
        </r>
        <r>
          <rPr>
            <sz val="9"/>
            <color indexed="81"/>
            <rFont val="Tahoma"/>
            <family val="2"/>
          </rPr>
          <t xml:space="preserve">
проверити збир!
</t>
        </r>
      </text>
    </comment>
    <comment ref="I3278" authorId="0">
      <text>
        <r>
          <rPr>
            <b/>
            <sz val="9"/>
            <color indexed="81"/>
            <rFont val="Tahoma"/>
            <family val="2"/>
          </rPr>
          <t>LPA:</t>
        </r>
        <r>
          <rPr>
            <sz val="9"/>
            <color indexed="81"/>
            <rFont val="Tahoma"/>
            <family val="2"/>
          </rPr>
          <t xml:space="preserve">
проверити збир!
</t>
        </r>
      </text>
    </comment>
    <comment ref="I3279" authorId="0">
      <text>
        <r>
          <rPr>
            <b/>
            <sz val="9"/>
            <color indexed="81"/>
            <rFont val="Tahoma"/>
            <family val="2"/>
          </rPr>
          <t>LPA:</t>
        </r>
        <r>
          <rPr>
            <sz val="9"/>
            <color indexed="81"/>
            <rFont val="Tahoma"/>
            <family val="2"/>
          </rPr>
          <t xml:space="preserve">
проверити збир!
</t>
        </r>
      </text>
    </comment>
    <comment ref="I3280" authorId="0">
      <text>
        <r>
          <rPr>
            <b/>
            <sz val="9"/>
            <color indexed="81"/>
            <rFont val="Tahoma"/>
            <family val="2"/>
          </rPr>
          <t>LPA:</t>
        </r>
        <r>
          <rPr>
            <sz val="9"/>
            <color indexed="81"/>
            <rFont val="Tahoma"/>
            <family val="2"/>
          </rPr>
          <t xml:space="preserve">
проверити збир!
</t>
        </r>
      </text>
    </comment>
    <comment ref="I3281" authorId="0">
      <text>
        <r>
          <rPr>
            <b/>
            <sz val="9"/>
            <color indexed="81"/>
            <rFont val="Tahoma"/>
            <family val="2"/>
          </rPr>
          <t>LPA:</t>
        </r>
        <r>
          <rPr>
            <sz val="9"/>
            <color indexed="81"/>
            <rFont val="Tahoma"/>
            <family val="2"/>
          </rPr>
          <t xml:space="preserve">
проверити збир!
</t>
        </r>
      </text>
    </comment>
    <comment ref="I3282" authorId="0">
      <text>
        <r>
          <rPr>
            <b/>
            <sz val="9"/>
            <color indexed="81"/>
            <rFont val="Tahoma"/>
            <family val="2"/>
          </rPr>
          <t>LPA:</t>
        </r>
        <r>
          <rPr>
            <sz val="9"/>
            <color indexed="81"/>
            <rFont val="Tahoma"/>
            <family val="2"/>
          </rPr>
          <t xml:space="preserve">
проверити збир!
</t>
        </r>
      </text>
    </comment>
    <comment ref="I3283" authorId="0">
      <text>
        <r>
          <rPr>
            <b/>
            <sz val="9"/>
            <color indexed="81"/>
            <rFont val="Tahoma"/>
            <family val="2"/>
          </rPr>
          <t>LPA:</t>
        </r>
        <r>
          <rPr>
            <sz val="9"/>
            <color indexed="81"/>
            <rFont val="Tahoma"/>
            <family val="2"/>
          </rPr>
          <t xml:space="preserve">
проверити збир!
</t>
        </r>
      </text>
    </comment>
    <comment ref="I3284" authorId="0">
      <text>
        <r>
          <rPr>
            <b/>
            <sz val="9"/>
            <color indexed="81"/>
            <rFont val="Tahoma"/>
            <family val="2"/>
          </rPr>
          <t>LPA:</t>
        </r>
        <r>
          <rPr>
            <sz val="9"/>
            <color indexed="81"/>
            <rFont val="Tahoma"/>
            <family val="2"/>
          </rPr>
          <t xml:space="preserve">
проверити збир!
</t>
        </r>
      </text>
    </comment>
    <comment ref="I3285" authorId="0">
      <text>
        <r>
          <rPr>
            <b/>
            <sz val="9"/>
            <color indexed="81"/>
            <rFont val="Tahoma"/>
            <family val="2"/>
          </rPr>
          <t>LPA:</t>
        </r>
        <r>
          <rPr>
            <sz val="9"/>
            <color indexed="81"/>
            <rFont val="Tahoma"/>
            <family val="2"/>
          </rPr>
          <t xml:space="preserve">
проверити збир!
</t>
        </r>
      </text>
    </comment>
    <comment ref="I3286" authorId="0">
      <text>
        <r>
          <rPr>
            <b/>
            <sz val="9"/>
            <color indexed="81"/>
            <rFont val="Tahoma"/>
            <family val="2"/>
          </rPr>
          <t>LPA:</t>
        </r>
        <r>
          <rPr>
            <sz val="9"/>
            <color indexed="81"/>
            <rFont val="Tahoma"/>
            <family val="2"/>
          </rPr>
          <t xml:space="preserve">
проверити збир!
</t>
        </r>
      </text>
    </comment>
    <comment ref="I3287" authorId="0">
      <text>
        <r>
          <rPr>
            <b/>
            <sz val="9"/>
            <color indexed="81"/>
            <rFont val="Tahoma"/>
            <family val="2"/>
          </rPr>
          <t>LPA:</t>
        </r>
        <r>
          <rPr>
            <sz val="9"/>
            <color indexed="81"/>
            <rFont val="Tahoma"/>
            <family val="2"/>
          </rPr>
          <t xml:space="preserve">
проверити збир!
</t>
        </r>
      </text>
    </comment>
    <comment ref="I3288" authorId="0">
      <text>
        <r>
          <rPr>
            <b/>
            <sz val="9"/>
            <color indexed="81"/>
            <rFont val="Tahoma"/>
            <family val="2"/>
          </rPr>
          <t>LPA:</t>
        </r>
        <r>
          <rPr>
            <sz val="9"/>
            <color indexed="81"/>
            <rFont val="Tahoma"/>
            <family val="2"/>
          </rPr>
          <t xml:space="preserve">
проверити збир!
</t>
        </r>
      </text>
    </comment>
    <comment ref="I3289" authorId="0">
      <text>
        <r>
          <rPr>
            <b/>
            <sz val="9"/>
            <color indexed="81"/>
            <rFont val="Tahoma"/>
            <family val="2"/>
          </rPr>
          <t>LPA:</t>
        </r>
        <r>
          <rPr>
            <sz val="9"/>
            <color indexed="81"/>
            <rFont val="Tahoma"/>
            <family val="2"/>
          </rPr>
          <t xml:space="preserve">
проверити збир!
</t>
        </r>
      </text>
    </comment>
    <comment ref="H3293" authorId="0">
      <text>
        <r>
          <rPr>
            <b/>
            <sz val="9"/>
            <color indexed="81"/>
            <rFont val="Tahoma"/>
            <family val="2"/>
          </rPr>
          <t>LPA:</t>
        </r>
        <r>
          <rPr>
            <sz val="9"/>
            <color indexed="81"/>
            <rFont val="Tahoma"/>
            <family val="2"/>
          </rPr>
          <t xml:space="preserve">
проверити збир!</t>
        </r>
      </text>
    </comment>
    <comment ref="I3293" authorId="0">
      <text>
        <r>
          <rPr>
            <b/>
            <sz val="9"/>
            <color indexed="81"/>
            <rFont val="Tahoma"/>
            <family val="2"/>
          </rPr>
          <t>LPA:</t>
        </r>
        <r>
          <rPr>
            <sz val="9"/>
            <color indexed="81"/>
            <rFont val="Tahoma"/>
            <family val="2"/>
          </rPr>
          <t xml:space="preserve">
проверити збир!
</t>
        </r>
      </text>
    </comment>
    <comment ref="I3294" authorId="0">
      <text>
        <r>
          <rPr>
            <b/>
            <sz val="9"/>
            <color indexed="81"/>
            <rFont val="Tahoma"/>
            <family val="2"/>
          </rPr>
          <t>LPA:</t>
        </r>
        <r>
          <rPr>
            <sz val="9"/>
            <color indexed="81"/>
            <rFont val="Tahoma"/>
            <family val="2"/>
          </rPr>
          <t xml:space="preserve">
проверити збир!
</t>
        </r>
      </text>
    </comment>
    <comment ref="I3295" authorId="0">
      <text>
        <r>
          <rPr>
            <b/>
            <sz val="9"/>
            <color indexed="81"/>
            <rFont val="Tahoma"/>
            <family val="2"/>
          </rPr>
          <t>LPA:</t>
        </r>
        <r>
          <rPr>
            <sz val="9"/>
            <color indexed="81"/>
            <rFont val="Tahoma"/>
            <family val="2"/>
          </rPr>
          <t xml:space="preserve">
проверити збир!
</t>
        </r>
      </text>
    </comment>
    <comment ref="I3296" authorId="0">
      <text>
        <r>
          <rPr>
            <b/>
            <sz val="9"/>
            <color indexed="81"/>
            <rFont val="Tahoma"/>
            <family val="2"/>
          </rPr>
          <t>LPA:</t>
        </r>
        <r>
          <rPr>
            <sz val="9"/>
            <color indexed="81"/>
            <rFont val="Tahoma"/>
            <family val="2"/>
          </rPr>
          <t xml:space="preserve">
проверити збир!
</t>
        </r>
      </text>
    </comment>
    <comment ref="I3297" authorId="0">
      <text>
        <r>
          <rPr>
            <b/>
            <sz val="9"/>
            <color indexed="81"/>
            <rFont val="Tahoma"/>
            <family val="2"/>
          </rPr>
          <t>LPA:</t>
        </r>
        <r>
          <rPr>
            <sz val="9"/>
            <color indexed="81"/>
            <rFont val="Tahoma"/>
            <family val="2"/>
          </rPr>
          <t xml:space="preserve">
проверити збир!
</t>
        </r>
      </text>
    </comment>
    <comment ref="I3298" authorId="0">
      <text>
        <r>
          <rPr>
            <b/>
            <sz val="9"/>
            <color indexed="81"/>
            <rFont val="Tahoma"/>
            <family val="2"/>
          </rPr>
          <t>LPA:</t>
        </r>
        <r>
          <rPr>
            <sz val="9"/>
            <color indexed="81"/>
            <rFont val="Tahoma"/>
            <family val="2"/>
          </rPr>
          <t xml:space="preserve">
проверити збир!
</t>
        </r>
      </text>
    </comment>
    <comment ref="I3299" authorId="0">
      <text>
        <r>
          <rPr>
            <b/>
            <sz val="9"/>
            <color indexed="81"/>
            <rFont val="Tahoma"/>
            <family val="2"/>
          </rPr>
          <t>LPA:</t>
        </r>
        <r>
          <rPr>
            <sz val="9"/>
            <color indexed="81"/>
            <rFont val="Tahoma"/>
            <family val="2"/>
          </rPr>
          <t xml:space="preserve">
проверити збир!
</t>
        </r>
      </text>
    </comment>
    <comment ref="I3300" authorId="0">
      <text>
        <r>
          <rPr>
            <b/>
            <sz val="9"/>
            <color indexed="81"/>
            <rFont val="Tahoma"/>
            <family val="2"/>
          </rPr>
          <t>LPA:</t>
        </r>
        <r>
          <rPr>
            <sz val="9"/>
            <color indexed="81"/>
            <rFont val="Tahoma"/>
            <family val="2"/>
          </rPr>
          <t xml:space="preserve">
проверити збир!
</t>
        </r>
      </text>
    </comment>
    <comment ref="I3301" authorId="0">
      <text>
        <r>
          <rPr>
            <b/>
            <sz val="9"/>
            <color indexed="81"/>
            <rFont val="Tahoma"/>
            <family val="2"/>
          </rPr>
          <t>LPA:</t>
        </r>
        <r>
          <rPr>
            <sz val="9"/>
            <color indexed="81"/>
            <rFont val="Tahoma"/>
            <family val="2"/>
          </rPr>
          <t xml:space="preserve">
проверити збир!
</t>
        </r>
      </text>
    </comment>
    <comment ref="I3302" authorId="0">
      <text>
        <r>
          <rPr>
            <b/>
            <sz val="9"/>
            <color indexed="81"/>
            <rFont val="Tahoma"/>
            <family val="2"/>
          </rPr>
          <t>LPA:</t>
        </r>
        <r>
          <rPr>
            <sz val="9"/>
            <color indexed="81"/>
            <rFont val="Tahoma"/>
            <family val="2"/>
          </rPr>
          <t xml:space="preserve">
проверити збир!
</t>
        </r>
      </text>
    </comment>
    <comment ref="I3303" authorId="0">
      <text>
        <r>
          <rPr>
            <b/>
            <sz val="9"/>
            <color indexed="81"/>
            <rFont val="Tahoma"/>
            <family val="2"/>
          </rPr>
          <t>LPA:</t>
        </r>
        <r>
          <rPr>
            <sz val="9"/>
            <color indexed="81"/>
            <rFont val="Tahoma"/>
            <family val="2"/>
          </rPr>
          <t xml:space="preserve">
проверити збир!
</t>
        </r>
      </text>
    </comment>
    <comment ref="I3304" authorId="0">
      <text>
        <r>
          <rPr>
            <b/>
            <sz val="9"/>
            <color indexed="81"/>
            <rFont val="Tahoma"/>
            <family val="2"/>
          </rPr>
          <t>LPA:</t>
        </r>
        <r>
          <rPr>
            <sz val="9"/>
            <color indexed="81"/>
            <rFont val="Tahoma"/>
            <family val="2"/>
          </rPr>
          <t xml:space="preserve">
проверити збир!
</t>
        </r>
      </text>
    </comment>
    <comment ref="I3305" authorId="0">
      <text>
        <r>
          <rPr>
            <b/>
            <sz val="9"/>
            <color indexed="81"/>
            <rFont val="Tahoma"/>
            <family val="2"/>
          </rPr>
          <t>LPA:</t>
        </r>
        <r>
          <rPr>
            <sz val="9"/>
            <color indexed="81"/>
            <rFont val="Tahoma"/>
            <family val="2"/>
          </rPr>
          <t xml:space="preserve">
проверити збир!
</t>
        </r>
      </text>
    </comment>
    <comment ref="I3306" authorId="0">
      <text>
        <r>
          <rPr>
            <b/>
            <sz val="9"/>
            <color indexed="81"/>
            <rFont val="Tahoma"/>
            <family val="2"/>
          </rPr>
          <t>LPA:</t>
        </r>
        <r>
          <rPr>
            <sz val="9"/>
            <color indexed="81"/>
            <rFont val="Tahoma"/>
            <family val="2"/>
          </rPr>
          <t xml:space="preserve">
проверити збир!
</t>
        </r>
      </text>
    </comment>
    <comment ref="I3307" authorId="0">
      <text>
        <r>
          <rPr>
            <b/>
            <sz val="9"/>
            <color indexed="81"/>
            <rFont val="Tahoma"/>
            <family val="2"/>
          </rPr>
          <t>LPA:</t>
        </r>
        <r>
          <rPr>
            <sz val="9"/>
            <color indexed="81"/>
            <rFont val="Tahoma"/>
            <family val="2"/>
          </rPr>
          <t xml:space="preserve">
проверити збир!
</t>
        </r>
      </text>
    </comment>
    <comment ref="I3308" authorId="0">
      <text>
        <r>
          <rPr>
            <b/>
            <sz val="9"/>
            <color indexed="81"/>
            <rFont val="Tahoma"/>
            <family val="2"/>
          </rPr>
          <t>LPA:</t>
        </r>
        <r>
          <rPr>
            <sz val="9"/>
            <color indexed="81"/>
            <rFont val="Tahoma"/>
            <family val="2"/>
          </rPr>
          <t xml:space="preserve">
проверити збир!
</t>
        </r>
      </text>
    </comment>
    <comment ref="I3379" authorId="0">
      <text>
        <r>
          <rPr>
            <b/>
            <sz val="9"/>
            <color indexed="81"/>
            <rFont val="Tahoma"/>
            <family val="2"/>
          </rPr>
          <t>LPA:</t>
        </r>
        <r>
          <rPr>
            <sz val="9"/>
            <color indexed="81"/>
            <rFont val="Tahoma"/>
            <family val="2"/>
          </rPr>
          <t xml:space="preserve">
проверити збир!
</t>
        </r>
      </text>
    </comment>
    <comment ref="I3380" authorId="0">
      <text>
        <r>
          <rPr>
            <b/>
            <sz val="9"/>
            <color indexed="81"/>
            <rFont val="Tahoma"/>
            <family val="2"/>
          </rPr>
          <t>LPA:</t>
        </r>
        <r>
          <rPr>
            <sz val="9"/>
            <color indexed="81"/>
            <rFont val="Tahoma"/>
            <family val="2"/>
          </rPr>
          <t xml:space="preserve">
проверити збир!
</t>
        </r>
      </text>
    </comment>
    <comment ref="I3381" authorId="0">
      <text>
        <r>
          <rPr>
            <b/>
            <sz val="9"/>
            <color indexed="81"/>
            <rFont val="Tahoma"/>
            <family val="2"/>
          </rPr>
          <t>LPA:</t>
        </r>
        <r>
          <rPr>
            <sz val="9"/>
            <color indexed="81"/>
            <rFont val="Tahoma"/>
            <family val="2"/>
          </rPr>
          <t xml:space="preserve">
проверити збир!
</t>
        </r>
      </text>
    </comment>
    <comment ref="I3382" authorId="0">
      <text>
        <r>
          <rPr>
            <b/>
            <sz val="9"/>
            <color indexed="81"/>
            <rFont val="Tahoma"/>
            <family val="2"/>
          </rPr>
          <t>LPA:</t>
        </r>
        <r>
          <rPr>
            <sz val="9"/>
            <color indexed="81"/>
            <rFont val="Tahoma"/>
            <family val="2"/>
          </rPr>
          <t xml:space="preserve">
проверити збир!
</t>
        </r>
      </text>
    </comment>
    <comment ref="I3383" authorId="0">
      <text>
        <r>
          <rPr>
            <b/>
            <sz val="9"/>
            <color indexed="81"/>
            <rFont val="Tahoma"/>
            <family val="2"/>
          </rPr>
          <t>LPA:</t>
        </r>
        <r>
          <rPr>
            <sz val="9"/>
            <color indexed="81"/>
            <rFont val="Tahoma"/>
            <family val="2"/>
          </rPr>
          <t xml:space="preserve">
проверити збир!
</t>
        </r>
      </text>
    </comment>
    <comment ref="I3384" authorId="0">
      <text>
        <r>
          <rPr>
            <b/>
            <sz val="9"/>
            <color indexed="81"/>
            <rFont val="Tahoma"/>
            <family val="2"/>
          </rPr>
          <t>LPA:</t>
        </r>
        <r>
          <rPr>
            <sz val="9"/>
            <color indexed="81"/>
            <rFont val="Tahoma"/>
            <family val="2"/>
          </rPr>
          <t xml:space="preserve">
проверити збир!
</t>
        </r>
      </text>
    </comment>
    <comment ref="I3385" authorId="0">
      <text>
        <r>
          <rPr>
            <b/>
            <sz val="9"/>
            <color indexed="81"/>
            <rFont val="Tahoma"/>
            <family val="2"/>
          </rPr>
          <t>LPA:</t>
        </r>
        <r>
          <rPr>
            <sz val="9"/>
            <color indexed="81"/>
            <rFont val="Tahoma"/>
            <family val="2"/>
          </rPr>
          <t xml:space="preserve">
проверити збир!
</t>
        </r>
      </text>
    </comment>
    <comment ref="I3386" authorId="0">
      <text>
        <r>
          <rPr>
            <b/>
            <sz val="9"/>
            <color indexed="81"/>
            <rFont val="Tahoma"/>
            <family val="2"/>
          </rPr>
          <t>LPA:</t>
        </r>
        <r>
          <rPr>
            <sz val="9"/>
            <color indexed="81"/>
            <rFont val="Tahoma"/>
            <family val="2"/>
          </rPr>
          <t xml:space="preserve">
проверити збир!
</t>
        </r>
      </text>
    </comment>
    <comment ref="I3387" authorId="0">
      <text>
        <r>
          <rPr>
            <b/>
            <sz val="9"/>
            <color indexed="81"/>
            <rFont val="Tahoma"/>
            <family val="2"/>
          </rPr>
          <t>LPA:</t>
        </r>
        <r>
          <rPr>
            <sz val="9"/>
            <color indexed="81"/>
            <rFont val="Tahoma"/>
            <family val="2"/>
          </rPr>
          <t xml:space="preserve">
проверити збир!
</t>
        </r>
      </text>
    </comment>
    <comment ref="I3388" authorId="0">
      <text>
        <r>
          <rPr>
            <b/>
            <sz val="9"/>
            <color indexed="81"/>
            <rFont val="Tahoma"/>
            <family val="2"/>
          </rPr>
          <t>LPA:</t>
        </r>
        <r>
          <rPr>
            <sz val="9"/>
            <color indexed="81"/>
            <rFont val="Tahoma"/>
            <family val="2"/>
          </rPr>
          <t xml:space="preserve">
проверити збир!
</t>
        </r>
      </text>
    </comment>
    <comment ref="I3389" authorId="0">
      <text>
        <r>
          <rPr>
            <b/>
            <sz val="9"/>
            <color indexed="81"/>
            <rFont val="Tahoma"/>
            <family val="2"/>
          </rPr>
          <t>LPA:</t>
        </r>
        <r>
          <rPr>
            <sz val="9"/>
            <color indexed="81"/>
            <rFont val="Tahoma"/>
            <family val="2"/>
          </rPr>
          <t xml:space="preserve">
проверити збир!
</t>
        </r>
      </text>
    </comment>
    <comment ref="I3390" authorId="0">
      <text>
        <r>
          <rPr>
            <b/>
            <sz val="9"/>
            <color indexed="81"/>
            <rFont val="Tahoma"/>
            <family val="2"/>
          </rPr>
          <t>LPA:</t>
        </r>
        <r>
          <rPr>
            <sz val="9"/>
            <color indexed="81"/>
            <rFont val="Tahoma"/>
            <family val="2"/>
          </rPr>
          <t xml:space="preserve">
проверити збир!
</t>
        </r>
      </text>
    </comment>
    <comment ref="I3391" authorId="0">
      <text>
        <r>
          <rPr>
            <b/>
            <sz val="9"/>
            <color indexed="81"/>
            <rFont val="Tahoma"/>
            <family val="2"/>
          </rPr>
          <t>LPA:</t>
        </r>
        <r>
          <rPr>
            <sz val="9"/>
            <color indexed="81"/>
            <rFont val="Tahoma"/>
            <family val="2"/>
          </rPr>
          <t xml:space="preserve">
проверити збир!
</t>
        </r>
      </text>
    </comment>
    <comment ref="H3394" authorId="0">
      <text>
        <r>
          <rPr>
            <b/>
            <sz val="9"/>
            <color indexed="81"/>
            <rFont val="Tahoma"/>
            <family val="2"/>
          </rPr>
          <t>LPA:</t>
        </r>
        <r>
          <rPr>
            <sz val="9"/>
            <color indexed="81"/>
            <rFont val="Tahoma"/>
            <family val="2"/>
          </rPr>
          <t xml:space="preserve">
проверити збир!</t>
        </r>
      </text>
    </comment>
    <comment ref="I3394" authorId="0">
      <text>
        <r>
          <rPr>
            <b/>
            <sz val="9"/>
            <color indexed="81"/>
            <rFont val="Tahoma"/>
            <family val="2"/>
          </rPr>
          <t>LPA:</t>
        </r>
        <r>
          <rPr>
            <sz val="9"/>
            <color indexed="81"/>
            <rFont val="Tahoma"/>
            <family val="2"/>
          </rPr>
          <t xml:space="preserve">
проверити збир!</t>
        </r>
      </text>
    </comment>
    <comment ref="I3395" authorId="0">
      <text>
        <r>
          <rPr>
            <b/>
            <sz val="9"/>
            <color indexed="81"/>
            <rFont val="Tahoma"/>
            <family val="2"/>
          </rPr>
          <t>LPA:</t>
        </r>
        <r>
          <rPr>
            <sz val="9"/>
            <color indexed="81"/>
            <rFont val="Tahoma"/>
            <family val="2"/>
          </rPr>
          <t xml:space="preserve">
проверити збир!
</t>
        </r>
      </text>
    </comment>
    <comment ref="I3396" authorId="0">
      <text>
        <r>
          <rPr>
            <b/>
            <sz val="9"/>
            <color indexed="81"/>
            <rFont val="Tahoma"/>
            <family val="2"/>
          </rPr>
          <t>LPA:</t>
        </r>
        <r>
          <rPr>
            <sz val="9"/>
            <color indexed="81"/>
            <rFont val="Tahoma"/>
            <family val="2"/>
          </rPr>
          <t xml:space="preserve">
проверити збир!
</t>
        </r>
      </text>
    </comment>
    <comment ref="I3397" authorId="0">
      <text>
        <r>
          <rPr>
            <b/>
            <sz val="9"/>
            <color indexed="81"/>
            <rFont val="Tahoma"/>
            <family val="2"/>
          </rPr>
          <t>LPA:</t>
        </r>
        <r>
          <rPr>
            <sz val="9"/>
            <color indexed="81"/>
            <rFont val="Tahoma"/>
            <family val="2"/>
          </rPr>
          <t xml:space="preserve">
проверити збир!
</t>
        </r>
      </text>
    </comment>
    <comment ref="I3398" authorId="0">
      <text>
        <r>
          <rPr>
            <b/>
            <sz val="9"/>
            <color indexed="81"/>
            <rFont val="Tahoma"/>
            <family val="2"/>
          </rPr>
          <t>LPA:</t>
        </r>
        <r>
          <rPr>
            <sz val="9"/>
            <color indexed="81"/>
            <rFont val="Tahoma"/>
            <family val="2"/>
          </rPr>
          <t xml:space="preserve">
проверити збир!
</t>
        </r>
      </text>
    </comment>
    <comment ref="I3399" authorId="0">
      <text>
        <r>
          <rPr>
            <b/>
            <sz val="9"/>
            <color indexed="81"/>
            <rFont val="Tahoma"/>
            <family val="2"/>
          </rPr>
          <t>LPA:</t>
        </r>
        <r>
          <rPr>
            <sz val="9"/>
            <color indexed="81"/>
            <rFont val="Tahoma"/>
            <family val="2"/>
          </rPr>
          <t xml:space="preserve">
проверити збир!
</t>
        </r>
      </text>
    </comment>
    <comment ref="I3400" authorId="0">
      <text>
        <r>
          <rPr>
            <b/>
            <sz val="9"/>
            <color indexed="81"/>
            <rFont val="Tahoma"/>
            <family val="2"/>
          </rPr>
          <t>LPA:</t>
        </r>
        <r>
          <rPr>
            <sz val="9"/>
            <color indexed="81"/>
            <rFont val="Tahoma"/>
            <family val="2"/>
          </rPr>
          <t xml:space="preserve">
проверити збир!
</t>
        </r>
      </text>
    </comment>
    <comment ref="I3401" authorId="0">
      <text>
        <r>
          <rPr>
            <b/>
            <sz val="9"/>
            <color indexed="81"/>
            <rFont val="Tahoma"/>
            <family val="2"/>
          </rPr>
          <t>LPA:</t>
        </r>
        <r>
          <rPr>
            <sz val="9"/>
            <color indexed="81"/>
            <rFont val="Tahoma"/>
            <family val="2"/>
          </rPr>
          <t xml:space="preserve">
проверити збир!
</t>
        </r>
      </text>
    </comment>
    <comment ref="I3402" authorId="0">
      <text>
        <r>
          <rPr>
            <b/>
            <sz val="9"/>
            <color indexed="81"/>
            <rFont val="Tahoma"/>
            <family val="2"/>
          </rPr>
          <t>LPA:</t>
        </r>
        <r>
          <rPr>
            <sz val="9"/>
            <color indexed="81"/>
            <rFont val="Tahoma"/>
            <family val="2"/>
          </rPr>
          <t xml:space="preserve">
проверити збир!
</t>
        </r>
      </text>
    </comment>
    <comment ref="I3403" authorId="0">
      <text>
        <r>
          <rPr>
            <b/>
            <sz val="9"/>
            <color indexed="81"/>
            <rFont val="Tahoma"/>
            <family val="2"/>
          </rPr>
          <t>LPA:</t>
        </r>
        <r>
          <rPr>
            <sz val="9"/>
            <color indexed="81"/>
            <rFont val="Tahoma"/>
            <family val="2"/>
          </rPr>
          <t xml:space="preserve">
проверити збир!
</t>
        </r>
      </text>
    </comment>
    <comment ref="I3404" authorId="0">
      <text>
        <r>
          <rPr>
            <b/>
            <sz val="9"/>
            <color indexed="81"/>
            <rFont val="Tahoma"/>
            <family val="2"/>
          </rPr>
          <t>LPA:</t>
        </r>
        <r>
          <rPr>
            <sz val="9"/>
            <color indexed="81"/>
            <rFont val="Tahoma"/>
            <family val="2"/>
          </rPr>
          <t xml:space="preserve">
проверити збир!
</t>
        </r>
      </text>
    </comment>
    <comment ref="I3405" authorId="0">
      <text>
        <r>
          <rPr>
            <b/>
            <sz val="9"/>
            <color indexed="81"/>
            <rFont val="Tahoma"/>
            <family val="2"/>
          </rPr>
          <t>LPA:</t>
        </r>
        <r>
          <rPr>
            <sz val="9"/>
            <color indexed="81"/>
            <rFont val="Tahoma"/>
            <family val="2"/>
          </rPr>
          <t xml:space="preserve">
проверити збир!
</t>
        </r>
      </text>
    </comment>
    <comment ref="I3406" authorId="0">
      <text>
        <r>
          <rPr>
            <b/>
            <sz val="9"/>
            <color indexed="81"/>
            <rFont val="Tahoma"/>
            <family val="2"/>
          </rPr>
          <t>LPA:</t>
        </r>
        <r>
          <rPr>
            <sz val="9"/>
            <color indexed="81"/>
            <rFont val="Tahoma"/>
            <family val="2"/>
          </rPr>
          <t xml:space="preserve">
проверити збир!
</t>
        </r>
      </text>
    </comment>
    <comment ref="I3407" authorId="0">
      <text>
        <r>
          <rPr>
            <b/>
            <sz val="9"/>
            <color indexed="81"/>
            <rFont val="Tahoma"/>
            <family val="2"/>
          </rPr>
          <t>LPA:</t>
        </r>
        <r>
          <rPr>
            <sz val="9"/>
            <color indexed="81"/>
            <rFont val="Tahoma"/>
            <family val="2"/>
          </rPr>
          <t xml:space="preserve">
проверити збир!
</t>
        </r>
      </text>
    </comment>
    <comment ref="I3408" authorId="0">
      <text>
        <r>
          <rPr>
            <b/>
            <sz val="9"/>
            <color indexed="81"/>
            <rFont val="Tahoma"/>
            <family val="2"/>
          </rPr>
          <t>LPA:</t>
        </r>
        <r>
          <rPr>
            <sz val="9"/>
            <color indexed="81"/>
            <rFont val="Tahoma"/>
            <family val="2"/>
          </rPr>
          <t xml:space="preserve">
проверити збир!
</t>
        </r>
      </text>
    </comment>
    <comment ref="I3409" authorId="0">
      <text>
        <r>
          <rPr>
            <b/>
            <sz val="9"/>
            <color indexed="81"/>
            <rFont val="Tahoma"/>
            <family val="2"/>
          </rPr>
          <t>LPA:</t>
        </r>
        <r>
          <rPr>
            <sz val="9"/>
            <color indexed="81"/>
            <rFont val="Tahoma"/>
            <family val="2"/>
          </rPr>
          <t xml:space="preserve">
проверити збир!
</t>
        </r>
      </text>
    </comment>
    <comment ref="I3478" authorId="0">
      <text>
        <r>
          <rPr>
            <b/>
            <sz val="9"/>
            <color indexed="81"/>
            <rFont val="Tahoma"/>
            <family val="2"/>
          </rPr>
          <t>LPA:</t>
        </r>
        <r>
          <rPr>
            <sz val="9"/>
            <color indexed="81"/>
            <rFont val="Tahoma"/>
            <family val="2"/>
          </rPr>
          <t xml:space="preserve">
проверити збир!
</t>
        </r>
      </text>
    </comment>
    <comment ref="I3479" authorId="0">
      <text>
        <r>
          <rPr>
            <b/>
            <sz val="9"/>
            <color indexed="81"/>
            <rFont val="Tahoma"/>
            <family val="2"/>
          </rPr>
          <t>LPA:</t>
        </r>
        <r>
          <rPr>
            <sz val="9"/>
            <color indexed="81"/>
            <rFont val="Tahoma"/>
            <family val="2"/>
          </rPr>
          <t xml:space="preserve">
проверити збир!
</t>
        </r>
      </text>
    </comment>
    <comment ref="I3480" authorId="0">
      <text>
        <r>
          <rPr>
            <b/>
            <sz val="9"/>
            <color indexed="81"/>
            <rFont val="Tahoma"/>
            <family val="2"/>
          </rPr>
          <t>LPA:</t>
        </r>
        <r>
          <rPr>
            <sz val="9"/>
            <color indexed="81"/>
            <rFont val="Tahoma"/>
            <family val="2"/>
          </rPr>
          <t xml:space="preserve">
проверити збир!
</t>
        </r>
      </text>
    </comment>
    <comment ref="I3481" authorId="0">
      <text>
        <r>
          <rPr>
            <b/>
            <sz val="9"/>
            <color indexed="81"/>
            <rFont val="Tahoma"/>
            <family val="2"/>
          </rPr>
          <t>LPA:</t>
        </r>
        <r>
          <rPr>
            <sz val="9"/>
            <color indexed="81"/>
            <rFont val="Tahoma"/>
            <family val="2"/>
          </rPr>
          <t xml:space="preserve">
проверити збир!
</t>
        </r>
      </text>
    </comment>
    <comment ref="I3482" authorId="0">
      <text>
        <r>
          <rPr>
            <b/>
            <sz val="9"/>
            <color indexed="81"/>
            <rFont val="Tahoma"/>
            <family val="2"/>
          </rPr>
          <t>LPA:</t>
        </r>
        <r>
          <rPr>
            <sz val="9"/>
            <color indexed="81"/>
            <rFont val="Tahoma"/>
            <family val="2"/>
          </rPr>
          <t xml:space="preserve">
проверити збир!
</t>
        </r>
      </text>
    </comment>
    <comment ref="I3483" authorId="0">
      <text>
        <r>
          <rPr>
            <b/>
            <sz val="9"/>
            <color indexed="81"/>
            <rFont val="Tahoma"/>
            <family val="2"/>
          </rPr>
          <t>LPA:</t>
        </r>
        <r>
          <rPr>
            <sz val="9"/>
            <color indexed="81"/>
            <rFont val="Tahoma"/>
            <family val="2"/>
          </rPr>
          <t xml:space="preserve">
проверити збир!
</t>
        </r>
      </text>
    </comment>
    <comment ref="I3484" authorId="0">
      <text>
        <r>
          <rPr>
            <b/>
            <sz val="9"/>
            <color indexed="81"/>
            <rFont val="Tahoma"/>
            <family val="2"/>
          </rPr>
          <t>LPA:</t>
        </r>
        <r>
          <rPr>
            <sz val="9"/>
            <color indexed="81"/>
            <rFont val="Tahoma"/>
            <family val="2"/>
          </rPr>
          <t xml:space="preserve">
проверити збир!
</t>
        </r>
      </text>
    </comment>
    <comment ref="I3485" authorId="0">
      <text>
        <r>
          <rPr>
            <b/>
            <sz val="9"/>
            <color indexed="81"/>
            <rFont val="Tahoma"/>
            <family val="2"/>
          </rPr>
          <t>LPA:</t>
        </r>
        <r>
          <rPr>
            <sz val="9"/>
            <color indexed="81"/>
            <rFont val="Tahoma"/>
            <family val="2"/>
          </rPr>
          <t xml:space="preserve">
проверити збир!
</t>
        </r>
      </text>
    </comment>
    <comment ref="I3486" authorId="0">
      <text>
        <r>
          <rPr>
            <b/>
            <sz val="9"/>
            <color indexed="81"/>
            <rFont val="Tahoma"/>
            <family val="2"/>
          </rPr>
          <t>LPA:</t>
        </r>
        <r>
          <rPr>
            <sz val="9"/>
            <color indexed="81"/>
            <rFont val="Tahoma"/>
            <family val="2"/>
          </rPr>
          <t xml:space="preserve">
проверити збир!
</t>
        </r>
      </text>
    </comment>
    <comment ref="I3487" authorId="0">
      <text>
        <r>
          <rPr>
            <b/>
            <sz val="9"/>
            <color indexed="81"/>
            <rFont val="Tahoma"/>
            <family val="2"/>
          </rPr>
          <t>LPA:</t>
        </r>
        <r>
          <rPr>
            <sz val="9"/>
            <color indexed="81"/>
            <rFont val="Tahoma"/>
            <family val="2"/>
          </rPr>
          <t xml:space="preserve">
проверити збир!
</t>
        </r>
      </text>
    </comment>
    <comment ref="I3488" authorId="0">
      <text>
        <r>
          <rPr>
            <b/>
            <sz val="9"/>
            <color indexed="81"/>
            <rFont val="Tahoma"/>
            <family val="2"/>
          </rPr>
          <t>LPA:</t>
        </r>
        <r>
          <rPr>
            <sz val="9"/>
            <color indexed="81"/>
            <rFont val="Tahoma"/>
            <family val="2"/>
          </rPr>
          <t xml:space="preserve">
проверити збир!
</t>
        </r>
      </text>
    </comment>
    <comment ref="I3489" authorId="0">
      <text>
        <r>
          <rPr>
            <b/>
            <sz val="9"/>
            <color indexed="81"/>
            <rFont val="Tahoma"/>
            <family val="2"/>
          </rPr>
          <t>LPA:</t>
        </r>
        <r>
          <rPr>
            <sz val="9"/>
            <color indexed="81"/>
            <rFont val="Tahoma"/>
            <family val="2"/>
          </rPr>
          <t xml:space="preserve">
проверити збир!
</t>
        </r>
      </text>
    </comment>
    <comment ref="I3490" authorId="0">
      <text>
        <r>
          <rPr>
            <b/>
            <sz val="9"/>
            <color indexed="81"/>
            <rFont val="Tahoma"/>
            <family val="2"/>
          </rPr>
          <t>LPA:</t>
        </r>
        <r>
          <rPr>
            <sz val="9"/>
            <color indexed="81"/>
            <rFont val="Tahoma"/>
            <family val="2"/>
          </rPr>
          <t xml:space="preserve">
проверити збир!
</t>
        </r>
      </text>
    </comment>
    <comment ref="H3493" authorId="0">
      <text>
        <r>
          <rPr>
            <b/>
            <sz val="9"/>
            <color indexed="81"/>
            <rFont val="Tahoma"/>
            <family val="2"/>
          </rPr>
          <t>LPA:</t>
        </r>
        <r>
          <rPr>
            <sz val="9"/>
            <color indexed="81"/>
            <rFont val="Tahoma"/>
            <family val="2"/>
          </rPr>
          <t xml:space="preserve">
проверити збир!</t>
        </r>
      </text>
    </comment>
    <comment ref="I3493" authorId="0">
      <text>
        <r>
          <rPr>
            <b/>
            <sz val="9"/>
            <color indexed="81"/>
            <rFont val="Tahoma"/>
            <family val="2"/>
          </rPr>
          <t>LPA:</t>
        </r>
        <r>
          <rPr>
            <sz val="9"/>
            <color indexed="81"/>
            <rFont val="Tahoma"/>
            <family val="2"/>
          </rPr>
          <t xml:space="preserve">
проверити збир!</t>
        </r>
      </text>
    </comment>
    <comment ref="I3494" authorId="0">
      <text>
        <r>
          <rPr>
            <b/>
            <sz val="9"/>
            <color indexed="81"/>
            <rFont val="Tahoma"/>
            <family val="2"/>
          </rPr>
          <t>LPA:</t>
        </r>
        <r>
          <rPr>
            <sz val="9"/>
            <color indexed="81"/>
            <rFont val="Tahoma"/>
            <family val="2"/>
          </rPr>
          <t xml:space="preserve">
проверити збир!
</t>
        </r>
      </text>
    </comment>
    <comment ref="I3495" authorId="0">
      <text>
        <r>
          <rPr>
            <b/>
            <sz val="9"/>
            <color indexed="81"/>
            <rFont val="Tahoma"/>
            <family val="2"/>
          </rPr>
          <t>LPA:</t>
        </r>
        <r>
          <rPr>
            <sz val="9"/>
            <color indexed="81"/>
            <rFont val="Tahoma"/>
            <family val="2"/>
          </rPr>
          <t xml:space="preserve">
проверити збир!
</t>
        </r>
      </text>
    </comment>
    <comment ref="I3496" authorId="0">
      <text>
        <r>
          <rPr>
            <b/>
            <sz val="9"/>
            <color indexed="81"/>
            <rFont val="Tahoma"/>
            <family val="2"/>
          </rPr>
          <t>LPA:</t>
        </r>
        <r>
          <rPr>
            <sz val="9"/>
            <color indexed="81"/>
            <rFont val="Tahoma"/>
            <family val="2"/>
          </rPr>
          <t xml:space="preserve">
проверити збир!
</t>
        </r>
      </text>
    </comment>
    <comment ref="I3497" authorId="0">
      <text>
        <r>
          <rPr>
            <b/>
            <sz val="9"/>
            <color indexed="81"/>
            <rFont val="Tahoma"/>
            <family val="2"/>
          </rPr>
          <t>LPA:</t>
        </r>
        <r>
          <rPr>
            <sz val="9"/>
            <color indexed="81"/>
            <rFont val="Tahoma"/>
            <family val="2"/>
          </rPr>
          <t xml:space="preserve">
проверити збир!
</t>
        </r>
      </text>
    </comment>
    <comment ref="I3498" authorId="0">
      <text>
        <r>
          <rPr>
            <b/>
            <sz val="9"/>
            <color indexed="81"/>
            <rFont val="Tahoma"/>
            <family val="2"/>
          </rPr>
          <t>LPA:</t>
        </r>
        <r>
          <rPr>
            <sz val="9"/>
            <color indexed="81"/>
            <rFont val="Tahoma"/>
            <family val="2"/>
          </rPr>
          <t xml:space="preserve">
проверити збир!
</t>
        </r>
      </text>
    </comment>
    <comment ref="I3499" authorId="0">
      <text>
        <r>
          <rPr>
            <b/>
            <sz val="9"/>
            <color indexed="81"/>
            <rFont val="Tahoma"/>
            <family val="2"/>
          </rPr>
          <t>LPA:</t>
        </r>
        <r>
          <rPr>
            <sz val="9"/>
            <color indexed="81"/>
            <rFont val="Tahoma"/>
            <family val="2"/>
          </rPr>
          <t xml:space="preserve">
проверити збир!
</t>
        </r>
      </text>
    </comment>
    <comment ref="I3500" authorId="0">
      <text>
        <r>
          <rPr>
            <b/>
            <sz val="9"/>
            <color indexed="81"/>
            <rFont val="Tahoma"/>
            <family val="2"/>
          </rPr>
          <t>LPA:</t>
        </r>
        <r>
          <rPr>
            <sz val="9"/>
            <color indexed="81"/>
            <rFont val="Tahoma"/>
            <family val="2"/>
          </rPr>
          <t xml:space="preserve">
проверити збир!
</t>
        </r>
      </text>
    </comment>
    <comment ref="I3501" authorId="0">
      <text>
        <r>
          <rPr>
            <b/>
            <sz val="9"/>
            <color indexed="81"/>
            <rFont val="Tahoma"/>
            <family val="2"/>
          </rPr>
          <t>LPA:</t>
        </r>
        <r>
          <rPr>
            <sz val="9"/>
            <color indexed="81"/>
            <rFont val="Tahoma"/>
            <family val="2"/>
          </rPr>
          <t xml:space="preserve">
проверити збир!
</t>
        </r>
      </text>
    </comment>
    <comment ref="I3502" authorId="0">
      <text>
        <r>
          <rPr>
            <b/>
            <sz val="9"/>
            <color indexed="81"/>
            <rFont val="Tahoma"/>
            <family val="2"/>
          </rPr>
          <t>LPA:</t>
        </r>
        <r>
          <rPr>
            <sz val="9"/>
            <color indexed="81"/>
            <rFont val="Tahoma"/>
            <family val="2"/>
          </rPr>
          <t xml:space="preserve">
проверити збир!
</t>
        </r>
      </text>
    </comment>
    <comment ref="I3503" authorId="0">
      <text>
        <r>
          <rPr>
            <b/>
            <sz val="9"/>
            <color indexed="81"/>
            <rFont val="Tahoma"/>
            <family val="2"/>
          </rPr>
          <t>LPA:</t>
        </r>
        <r>
          <rPr>
            <sz val="9"/>
            <color indexed="81"/>
            <rFont val="Tahoma"/>
            <family val="2"/>
          </rPr>
          <t xml:space="preserve">
проверити збир!
</t>
        </r>
      </text>
    </comment>
    <comment ref="I3504" authorId="0">
      <text>
        <r>
          <rPr>
            <b/>
            <sz val="9"/>
            <color indexed="81"/>
            <rFont val="Tahoma"/>
            <family val="2"/>
          </rPr>
          <t>LPA:</t>
        </r>
        <r>
          <rPr>
            <sz val="9"/>
            <color indexed="81"/>
            <rFont val="Tahoma"/>
            <family val="2"/>
          </rPr>
          <t xml:space="preserve">
проверити збир!
</t>
        </r>
      </text>
    </comment>
    <comment ref="I3505" authorId="0">
      <text>
        <r>
          <rPr>
            <b/>
            <sz val="9"/>
            <color indexed="81"/>
            <rFont val="Tahoma"/>
            <family val="2"/>
          </rPr>
          <t>LPA:</t>
        </r>
        <r>
          <rPr>
            <sz val="9"/>
            <color indexed="81"/>
            <rFont val="Tahoma"/>
            <family val="2"/>
          </rPr>
          <t xml:space="preserve">
проверити збир!
</t>
        </r>
      </text>
    </comment>
    <comment ref="I3506" authorId="0">
      <text>
        <r>
          <rPr>
            <b/>
            <sz val="9"/>
            <color indexed="81"/>
            <rFont val="Tahoma"/>
            <family val="2"/>
          </rPr>
          <t>LPA:</t>
        </r>
        <r>
          <rPr>
            <sz val="9"/>
            <color indexed="81"/>
            <rFont val="Tahoma"/>
            <family val="2"/>
          </rPr>
          <t xml:space="preserve">
проверити збир!
</t>
        </r>
      </text>
    </comment>
    <comment ref="I3507" authorId="0">
      <text>
        <r>
          <rPr>
            <b/>
            <sz val="9"/>
            <color indexed="81"/>
            <rFont val="Tahoma"/>
            <family val="2"/>
          </rPr>
          <t>LPA:</t>
        </r>
        <r>
          <rPr>
            <sz val="9"/>
            <color indexed="81"/>
            <rFont val="Tahoma"/>
            <family val="2"/>
          </rPr>
          <t xml:space="preserve">
проверити збир!
</t>
        </r>
      </text>
    </comment>
    <comment ref="I3508" authorId="0">
      <text>
        <r>
          <rPr>
            <b/>
            <sz val="9"/>
            <color indexed="81"/>
            <rFont val="Tahoma"/>
            <family val="2"/>
          </rPr>
          <t>LPA:</t>
        </r>
        <r>
          <rPr>
            <sz val="9"/>
            <color indexed="81"/>
            <rFont val="Tahoma"/>
            <family val="2"/>
          </rPr>
          <t xml:space="preserve">
проверити збир!
</t>
        </r>
      </text>
    </comment>
    <comment ref="I3577" authorId="0">
      <text>
        <r>
          <rPr>
            <b/>
            <sz val="9"/>
            <color indexed="81"/>
            <rFont val="Tahoma"/>
            <family val="2"/>
          </rPr>
          <t>LPA:</t>
        </r>
        <r>
          <rPr>
            <sz val="9"/>
            <color indexed="81"/>
            <rFont val="Tahoma"/>
            <family val="2"/>
          </rPr>
          <t xml:space="preserve">
проверити збир!
</t>
        </r>
      </text>
    </comment>
    <comment ref="I3578" authorId="0">
      <text>
        <r>
          <rPr>
            <b/>
            <sz val="9"/>
            <color indexed="81"/>
            <rFont val="Tahoma"/>
            <family val="2"/>
          </rPr>
          <t>LPA:</t>
        </r>
        <r>
          <rPr>
            <sz val="9"/>
            <color indexed="81"/>
            <rFont val="Tahoma"/>
            <family val="2"/>
          </rPr>
          <t xml:space="preserve">
проверити збир!
</t>
        </r>
      </text>
    </comment>
    <comment ref="I3579" authorId="0">
      <text>
        <r>
          <rPr>
            <b/>
            <sz val="9"/>
            <color indexed="81"/>
            <rFont val="Tahoma"/>
            <family val="2"/>
          </rPr>
          <t>LPA:</t>
        </r>
        <r>
          <rPr>
            <sz val="9"/>
            <color indexed="81"/>
            <rFont val="Tahoma"/>
            <family val="2"/>
          </rPr>
          <t xml:space="preserve">
проверити збир!
</t>
        </r>
      </text>
    </comment>
    <comment ref="I3580" authorId="0">
      <text>
        <r>
          <rPr>
            <b/>
            <sz val="9"/>
            <color indexed="81"/>
            <rFont val="Tahoma"/>
            <family val="2"/>
          </rPr>
          <t>LPA:</t>
        </r>
        <r>
          <rPr>
            <sz val="9"/>
            <color indexed="81"/>
            <rFont val="Tahoma"/>
            <family val="2"/>
          </rPr>
          <t xml:space="preserve">
проверити збир!
</t>
        </r>
      </text>
    </comment>
    <comment ref="I3581" authorId="0">
      <text>
        <r>
          <rPr>
            <b/>
            <sz val="9"/>
            <color indexed="81"/>
            <rFont val="Tahoma"/>
            <family val="2"/>
          </rPr>
          <t>LPA:</t>
        </r>
        <r>
          <rPr>
            <sz val="9"/>
            <color indexed="81"/>
            <rFont val="Tahoma"/>
            <family val="2"/>
          </rPr>
          <t xml:space="preserve">
проверити збир!
</t>
        </r>
      </text>
    </comment>
    <comment ref="I3582" authorId="0">
      <text>
        <r>
          <rPr>
            <b/>
            <sz val="9"/>
            <color indexed="81"/>
            <rFont val="Tahoma"/>
            <family val="2"/>
          </rPr>
          <t>LPA:</t>
        </r>
        <r>
          <rPr>
            <sz val="9"/>
            <color indexed="81"/>
            <rFont val="Tahoma"/>
            <family val="2"/>
          </rPr>
          <t xml:space="preserve">
проверити збир!
</t>
        </r>
      </text>
    </comment>
    <comment ref="I3583" authorId="0">
      <text>
        <r>
          <rPr>
            <b/>
            <sz val="9"/>
            <color indexed="81"/>
            <rFont val="Tahoma"/>
            <family val="2"/>
          </rPr>
          <t>LPA:</t>
        </r>
        <r>
          <rPr>
            <sz val="9"/>
            <color indexed="81"/>
            <rFont val="Tahoma"/>
            <family val="2"/>
          </rPr>
          <t xml:space="preserve">
проверити збир!
</t>
        </r>
      </text>
    </comment>
    <comment ref="I3584" authorId="0">
      <text>
        <r>
          <rPr>
            <b/>
            <sz val="9"/>
            <color indexed="81"/>
            <rFont val="Tahoma"/>
            <family val="2"/>
          </rPr>
          <t>LPA:</t>
        </r>
        <r>
          <rPr>
            <sz val="9"/>
            <color indexed="81"/>
            <rFont val="Tahoma"/>
            <family val="2"/>
          </rPr>
          <t xml:space="preserve">
проверити збир!
</t>
        </r>
      </text>
    </comment>
    <comment ref="I3585" authorId="0">
      <text>
        <r>
          <rPr>
            <b/>
            <sz val="9"/>
            <color indexed="81"/>
            <rFont val="Tahoma"/>
            <family val="2"/>
          </rPr>
          <t>LPA:</t>
        </r>
        <r>
          <rPr>
            <sz val="9"/>
            <color indexed="81"/>
            <rFont val="Tahoma"/>
            <family val="2"/>
          </rPr>
          <t xml:space="preserve">
проверити збир!
</t>
        </r>
      </text>
    </comment>
    <comment ref="I3586" authorId="0">
      <text>
        <r>
          <rPr>
            <b/>
            <sz val="9"/>
            <color indexed="81"/>
            <rFont val="Tahoma"/>
            <family val="2"/>
          </rPr>
          <t>LPA:</t>
        </r>
        <r>
          <rPr>
            <sz val="9"/>
            <color indexed="81"/>
            <rFont val="Tahoma"/>
            <family val="2"/>
          </rPr>
          <t xml:space="preserve">
проверити збир!
</t>
        </r>
      </text>
    </comment>
    <comment ref="I3587" authorId="0">
      <text>
        <r>
          <rPr>
            <b/>
            <sz val="9"/>
            <color indexed="81"/>
            <rFont val="Tahoma"/>
            <family val="2"/>
          </rPr>
          <t>LPA:</t>
        </r>
        <r>
          <rPr>
            <sz val="9"/>
            <color indexed="81"/>
            <rFont val="Tahoma"/>
            <family val="2"/>
          </rPr>
          <t xml:space="preserve">
проверити збир!
</t>
        </r>
      </text>
    </comment>
    <comment ref="I3588" authorId="0">
      <text>
        <r>
          <rPr>
            <b/>
            <sz val="9"/>
            <color indexed="81"/>
            <rFont val="Tahoma"/>
            <family val="2"/>
          </rPr>
          <t>LPA:</t>
        </r>
        <r>
          <rPr>
            <sz val="9"/>
            <color indexed="81"/>
            <rFont val="Tahoma"/>
            <family val="2"/>
          </rPr>
          <t xml:space="preserve">
проверити збир!
</t>
        </r>
      </text>
    </comment>
    <comment ref="I3589" authorId="0">
      <text>
        <r>
          <rPr>
            <b/>
            <sz val="9"/>
            <color indexed="81"/>
            <rFont val="Tahoma"/>
            <family val="2"/>
          </rPr>
          <t>LPA:</t>
        </r>
        <r>
          <rPr>
            <sz val="9"/>
            <color indexed="81"/>
            <rFont val="Tahoma"/>
            <family val="2"/>
          </rPr>
          <t xml:space="preserve">
проверити збир!
</t>
        </r>
      </text>
    </comment>
    <comment ref="H3592" authorId="0">
      <text>
        <r>
          <rPr>
            <b/>
            <sz val="9"/>
            <color indexed="81"/>
            <rFont val="Tahoma"/>
            <family val="2"/>
          </rPr>
          <t>LPA:</t>
        </r>
        <r>
          <rPr>
            <sz val="9"/>
            <color indexed="81"/>
            <rFont val="Tahoma"/>
            <family val="2"/>
          </rPr>
          <t xml:space="preserve">
проверити збир!</t>
        </r>
      </text>
    </comment>
    <comment ref="I3592" authorId="0">
      <text>
        <r>
          <rPr>
            <b/>
            <sz val="9"/>
            <color indexed="81"/>
            <rFont val="Tahoma"/>
            <family val="2"/>
          </rPr>
          <t>LPA:</t>
        </r>
        <r>
          <rPr>
            <sz val="9"/>
            <color indexed="81"/>
            <rFont val="Tahoma"/>
            <family val="2"/>
          </rPr>
          <t xml:space="preserve">
проверити збир!</t>
        </r>
      </text>
    </comment>
    <comment ref="I3593" authorId="0">
      <text>
        <r>
          <rPr>
            <b/>
            <sz val="9"/>
            <color indexed="81"/>
            <rFont val="Tahoma"/>
            <family val="2"/>
          </rPr>
          <t>LPA:</t>
        </r>
        <r>
          <rPr>
            <sz val="9"/>
            <color indexed="81"/>
            <rFont val="Tahoma"/>
            <family val="2"/>
          </rPr>
          <t xml:space="preserve">
проверити збир!
</t>
        </r>
      </text>
    </comment>
    <comment ref="I3594" authorId="0">
      <text>
        <r>
          <rPr>
            <b/>
            <sz val="9"/>
            <color indexed="81"/>
            <rFont val="Tahoma"/>
            <family val="2"/>
          </rPr>
          <t>LPA:</t>
        </r>
        <r>
          <rPr>
            <sz val="9"/>
            <color indexed="81"/>
            <rFont val="Tahoma"/>
            <family val="2"/>
          </rPr>
          <t xml:space="preserve">
проверити збир!
</t>
        </r>
      </text>
    </comment>
    <comment ref="I3595" authorId="0">
      <text>
        <r>
          <rPr>
            <b/>
            <sz val="9"/>
            <color indexed="81"/>
            <rFont val="Tahoma"/>
            <family val="2"/>
          </rPr>
          <t>LPA:</t>
        </r>
        <r>
          <rPr>
            <sz val="9"/>
            <color indexed="81"/>
            <rFont val="Tahoma"/>
            <family val="2"/>
          </rPr>
          <t xml:space="preserve">
проверити збир!
</t>
        </r>
      </text>
    </comment>
    <comment ref="I3596" authorId="0">
      <text>
        <r>
          <rPr>
            <b/>
            <sz val="9"/>
            <color indexed="81"/>
            <rFont val="Tahoma"/>
            <family val="2"/>
          </rPr>
          <t>LPA:</t>
        </r>
        <r>
          <rPr>
            <sz val="9"/>
            <color indexed="81"/>
            <rFont val="Tahoma"/>
            <family val="2"/>
          </rPr>
          <t xml:space="preserve">
проверити збир!
</t>
        </r>
      </text>
    </comment>
    <comment ref="I3597" authorId="0">
      <text>
        <r>
          <rPr>
            <b/>
            <sz val="9"/>
            <color indexed="81"/>
            <rFont val="Tahoma"/>
            <family val="2"/>
          </rPr>
          <t>LPA:</t>
        </r>
        <r>
          <rPr>
            <sz val="9"/>
            <color indexed="81"/>
            <rFont val="Tahoma"/>
            <family val="2"/>
          </rPr>
          <t xml:space="preserve">
проверити збир!
</t>
        </r>
      </text>
    </comment>
    <comment ref="I3598" authorId="0">
      <text>
        <r>
          <rPr>
            <b/>
            <sz val="9"/>
            <color indexed="81"/>
            <rFont val="Tahoma"/>
            <family val="2"/>
          </rPr>
          <t>LPA:</t>
        </r>
        <r>
          <rPr>
            <sz val="9"/>
            <color indexed="81"/>
            <rFont val="Tahoma"/>
            <family val="2"/>
          </rPr>
          <t xml:space="preserve">
проверити збир!
</t>
        </r>
      </text>
    </comment>
    <comment ref="I3599" authorId="0">
      <text>
        <r>
          <rPr>
            <b/>
            <sz val="9"/>
            <color indexed="81"/>
            <rFont val="Tahoma"/>
            <family val="2"/>
          </rPr>
          <t>LPA:</t>
        </r>
        <r>
          <rPr>
            <sz val="9"/>
            <color indexed="81"/>
            <rFont val="Tahoma"/>
            <family val="2"/>
          </rPr>
          <t xml:space="preserve">
проверити збир!
</t>
        </r>
      </text>
    </comment>
    <comment ref="I3600" authorId="0">
      <text>
        <r>
          <rPr>
            <b/>
            <sz val="9"/>
            <color indexed="81"/>
            <rFont val="Tahoma"/>
            <family val="2"/>
          </rPr>
          <t>LPA:</t>
        </r>
        <r>
          <rPr>
            <sz val="9"/>
            <color indexed="81"/>
            <rFont val="Tahoma"/>
            <family val="2"/>
          </rPr>
          <t xml:space="preserve">
проверити збир!
</t>
        </r>
      </text>
    </comment>
    <comment ref="I3601" authorId="0">
      <text>
        <r>
          <rPr>
            <b/>
            <sz val="9"/>
            <color indexed="81"/>
            <rFont val="Tahoma"/>
            <family val="2"/>
          </rPr>
          <t>LPA:</t>
        </r>
        <r>
          <rPr>
            <sz val="9"/>
            <color indexed="81"/>
            <rFont val="Tahoma"/>
            <family val="2"/>
          </rPr>
          <t xml:space="preserve">
проверити збир!
</t>
        </r>
      </text>
    </comment>
    <comment ref="I3602" authorId="0">
      <text>
        <r>
          <rPr>
            <b/>
            <sz val="9"/>
            <color indexed="81"/>
            <rFont val="Tahoma"/>
            <family val="2"/>
          </rPr>
          <t>LPA:</t>
        </r>
        <r>
          <rPr>
            <sz val="9"/>
            <color indexed="81"/>
            <rFont val="Tahoma"/>
            <family val="2"/>
          </rPr>
          <t xml:space="preserve">
проверити збир!
</t>
        </r>
      </text>
    </comment>
    <comment ref="I3603" authorId="0">
      <text>
        <r>
          <rPr>
            <b/>
            <sz val="9"/>
            <color indexed="81"/>
            <rFont val="Tahoma"/>
            <family val="2"/>
          </rPr>
          <t>LPA:</t>
        </r>
        <r>
          <rPr>
            <sz val="9"/>
            <color indexed="81"/>
            <rFont val="Tahoma"/>
            <family val="2"/>
          </rPr>
          <t xml:space="preserve">
проверити збир!
</t>
        </r>
      </text>
    </comment>
    <comment ref="I3604" authorId="0">
      <text>
        <r>
          <rPr>
            <b/>
            <sz val="9"/>
            <color indexed="81"/>
            <rFont val="Tahoma"/>
            <family val="2"/>
          </rPr>
          <t>LPA:</t>
        </r>
        <r>
          <rPr>
            <sz val="9"/>
            <color indexed="81"/>
            <rFont val="Tahoma"/>
            <family val="2"/>
          </rPr>
          <t xml:space="preserve">
проверити збир!
</t>
        </r>
      </text>
    </comment>
    <comment ref="I3605" authorId="0">
      <text>
        <r>
          <rPr>
            <b/>
            <sz val="9"/>
            <color indexed="81"/>
            <rFont val="Tahoma"/>
            <family val="2"/>
          </rPr>
          <t>LPA:</t>
        </r>
        <r>
          <rPr>
            <sz val="9"/>
            <color indexed="81"/>
            <rFont val="Tahoma"/>
            <family val="2"/>
          </rPr>
          <t xml:space="preserve">
проверити збир!
</t>
        </r>
      </text>
    </comment>
    <comment ref="I3606" authorId="0">
      <text>
        <r>
          <rPr>
            <b/>
            <sz val="9"/>
            <color indexed="81"/>
            <rFont val="Tahoma"/>
            <family val="2"/>
          </rPr>
          <t>LPA:</t>
        </r>
        <r>
          <rPr>
            <sz val="9"/>
            <color indexed="81"/>
            <rFont val="Tahoma"/>
            <family val="2"/>
          </rPr>
          <t xml:space="preserve">
проверити збир!
</t>
        </r>
      </text>
    </comment>
    <comment ref="I3607" authorId="0">
      <text>
        <r>
          <rPr>
            <b/>
            <sz val="9"/>
            <color indexed="81"/>
            <rFont val="Tahoma"/>
            <family val="2"/>
          </rPr>
          <t>LPA:</t>
        </r>
        <r>
          <rPr>
            <sz val="9"/>
            <color indexed="81"/>
            <rFont val="Tahoma"/>
            <family val="2"/>
          </rPr>
          <t xml:space="preserve">
проверити збир!
</t>
        </r>
      </text>
    </comment>
    <comment ref="H3611" authorId="0">
      <text>
        <r>
          <rPr>
            <b/>
            <sz val="9"/>
            <color indexed="81"/>
            <rFont val="Tahoma"/>
            <family val="2"/>
          </rPr>
          <t>LPA:</t>
        </r>
        <r>
          <rPr>
            <sz val="9"/>
            <color indexed="81"/>
            <rFont val="Tahoma"/>
            <family val="2"/>
          </rPr>
          <t xml:space="preserve">
проверити збир!</t>
        </r>
      </text>
    </comment>
    <comment ref="I3611" authorId="0">
      <text>
        <r>
          <rPr>
            <b/>
            <sz val="9"/>
            <color indexed="81"/>
            <rFont val="Tahoma"/>
            <family val="2"/>
          </rPr>
          <t>LPA:</t>
        </r>
        <r>
          <rPr>
            <sz val="9"/>
            <color indexed="81"/>
            <rFont val="Tahoma"/>
            <family val="2"/>
          </rPr>
          <t xml:space="preserve">
проверити збир!
</t>
        </r>
      </text>
    </comment>
    <comment ref="I3612" authorId="0">
      <text>
        <r>
          <rPr>
            <b/>
            <sz val="9"/>
            <color indexed="81"/>
            <rFont val="Tahoma"/>
            <family val="2"/>
          </rPr>
          <t>LPA:</t>
        </r>
        <r>
          <rPr>
            <sz val="9"/>
            <color indexed="81"/>
            <rFont val="Tahoma"/>
            <family val="2"/>
          </rPr>
          <t xml:space="preserve">
проверити збир!
</t>
        </r>
      </text>
    </comment>
    <comment ref="I3613" authorId="0">
      <text>
        <r>
          <rPr>
            <b/>
            <sz val="9"/>
            <color indexed="81"/>
            <rFont val="Tahoma"/>
            <family val="2"/>
          </rPr>
          <t>LPA:</t>
        </r>
        <r>
          <rPr>
            <sz val="9"/>
            <color indexed="81"/>
            <rFont val="Tahoma"/>
            <family val="2"/>
          </rPr>
          <t xml:space="preserve">
проверити збир!
</t>
        </r>
      </text>
    </comment>
    <comment ref="I3614" authorId="0">
      <text>
        <r>
          <rPr>
            <b/>
            <sz val="9"/>
            <color indexed="81"/>
            <rFont val="Tahoma"/>
            <family val="2"/>
          </rPr>
          <t>LPA:</t>
        </r>
        <r>
          <rPr>
            <sz val="9"/>
            <color indexed="81"/>
            <rFont val="Tahoma"/>
            <family val="2"/>
          </rPr>
          <t xml:space="preserve">
проверити збир!
</t>
        </r>
      </text>
    </comment>
    <comment ref="I3615" authorId="0">
      <text>
        <r>
          <rPr>
            <b/>
            <sz val="9"/>
            <color indexed="81"/>
            <rFont val="Tahoma"/>
            <family val="2"/>
          </rPr>
          <t>LPA:</t>
        </r>
        <r>
          <rPr>
            <sz val="9"/>
            <color indexed="81"/>
            <rFont val="Tahoma"/>
            <family val="2"/>
          </rPr>
          <t xml:space="preserve">
проверити збир!
</t>
        </r>
      </text>
    </comment>
    <comment ref="I3616" authorId="0">
      <text>
        <r>
          <rPr>
            <b/>
            <sz val="9"/>
            <color indexed="81"/>
            <rFont val="Tahoma"/>
            <family val="2"/>
          </rPr>
          <t>LPA:</t>
        </r>
        <r>
          <rPr>
            <sz val="9"/>
            <color indexed="81"/>
            <rFont val="Tahoma"/>
            <family val="2"/>
          </rPr>
          <t xml:space="preserve">
проверити збир!
</t>
        </r>
      </text>
    </comment>
    <comment ref="I3617" authorId="0">
      <text>
        <r>
          <rPr>
            <b/>
            <sz val="9"/>
            <color indexed="81"/>
            <rFont val="Tahoma"/>
            <family val="2"/>
          </rPr>
          <t>LPA:</t>
        </r>
        <r>
          <rPr>
            <sz val="9"/>
            <color indexed="81"/>
            <rFont val="Tahoma"/>
            <family val="2"/>
          </rPr>
          <t xml:space="preserve">
проверити збир!
</t>
        </r>
      </text>
    </comment>
    <comment ref="I3618" authorId="0">
      <text>
        <r>
          <rPr>
            <b/>
            <sz val="9"/>
            <color indexed="81"/>
            <rFont val="Tahoma"/>
            <family val="2"/>
          </rPr>
          <t>LPA:</t>
        </r>
        <r>
          <rPr>
            <sz val="9"/>
            <color indexed="81"/>
            <rFont val="Tahoma"/>
            <family val="2"/>
          </rPr>
          <t xml:space="preserve">
проверити збир!
</t>
        </r>
      </text>
    </comment>
    <comment ref="I3619" authorId="0">
      <text>
        <r>
          <rPr>
            <b/>
            <sz val="9"/>
            <color indexed="81"/>
            <rFont val="Tahoma"/>
            <family val="2"/>
          </rPr>
          <t>LPA:</t>
        </r>
        <r>
          <rPr>
            <sz val="9"/>
            <color indexed="81"/>
            <rFont val="Tahoma"/>
            <family val="2"/>
          </rPr>
          <t xml:space="preserve">
проверити збир!
</t>
        </r>
      </text>
    </comment>
    <comment ref="I3620" authorId="0">
      <text>
        <r>
          <rPr>
            <b/>
            <sz val="9"/>
            <color indexed="81"/>
            <rFont val="Tahoma"/>
            <family val="2"/>
          </rPr>
          <t>LPA:</t>
        </r>
        <r>
          <rPr>
            <sz val="9"/>
            <color indexed="81"/>
            <rFont val="Tahoma"/>
            <family val="2"/>
          </rPr>
          <t xml:space="preserve">
проверити збир!
</t>
        </r>
      </text>
    </comment>
    <comment ref="I3621" authorId="0">
      <text>
        <r>
          <rPr>
            <b/>
            <sz val="9"/>
            <color indexed="81"/>
            <rFont val="Tahoma"/>
            <family val="2"/>
          </rPr>
          <t>LPA:</t>
        </r>
        <r>
          <rPr>
            <sz val="9"/>
            <color indexed="81"/>
            <rFont val="Tahoma"/>
            <family val="2"/>
          </rPr>
          <t xml:space="preserve">
проверити збир!
</t>
        </r>
      </text>
    </comment>
    <comment ref="I3622" authorId="0">
      <text>
        <r>
          <rPr>
            <b/>
            <sz val="9"/>
            <color indexed="81"/>
            <rFont val="Tahoma"/>
            <family val="2"/>
          </rPr>
          <t>LPA:</t>
        </r>
        <r>
          <rPr>
            <sz val="9"/>
            <color indexed="81"/>
            <rFont val="Tahoma"/>
            <family val="2"/>
          </rPr>
          <t xml:space="preserve">
проверити збир!
</t>
        </r>
      </text>
    </comment>
    <comment ref="I3623" authorId="0">
      <text>
        <r>
          <rPr>
            <b/>
            <sz val="9"/>
            <color indexed="81"/>
            <rFont val="Tahoma"/>
            <family val="2"/>
          </rPr>
          <t>LPA:</t>
        </r>
        <r>
          <rPr>
            <sz val="9"/>
            <color indexed="81"/>
            <rFont val="Tahoma"/>
            <family val="2"/>
          </rPr>
          <t xml:space="preserve">
проверити збир!
</t>
        </r>
      </text>
    </comment>
    <comment ref="I3624" authorId="0">
      <text>
        <r>
          <rPr>
            <b/>
            <sz val="9"/>
            <color indexed="81"/>
            <rFont val="Tahoma"/>
            <family val="2"/>
          </rPr>
          <t>LPA:</t>
        </r>
        <r>
          <rPr>
            <sz val="9"/>
            <color indexed="81"/>
            <rFont val="Tahoma"/>
            <family val="2"/>
          </rPr>
          <t xml:space="preserve">
проверити збир!
</t>
        </r>
      </text>
    </comment>
    <comment ref="I3625" authorId="0">
      <text>
        <r>
          <rPr>
            <b/>
            <sz val="9"/>
            <color indexed="81"/>
            <rFont val="Tahoma"/>
            <family val="2"/>
          </rPr>
          <t>LPA:</t>
        </r>
        <r>
          <rPr>
            <sz val="9"/>
            <color indexed="81"/>
            <rFont val="Tahoma"/>
            <family val="2"/>
          </rPr>
          <t xml:space="preserve">
проверити збир!
</t>
        </r>
      </text>
    </comment>
    <comment ref="I3626" authorId="0">
      <text>
        <r>
          <rPr>
            <b/>
            <sz val="9"/>
            <color indexed="81"/>
            <rFont val="Tahoma"/>
            <family val="2"/>
          </rPr>
          <t>LPA:</t>
        </r>
        <r>
          <rPr>
            <sz val="9"/>
            <color indexed="81"/>
            <rFont val="Tahoma"/>
            <family val="2"/>
          </rPr>
          <t xml:space="preserve">
проверити збир!
</t>
        </r>
      </text>
    </comment>
    <comment ref="I3672" authorId="0">
      <text>
        <r>
          <rPr>
            <b/>
            <sz val="9"/>
            <color indexed="81"/>
            <rFont val="Tahoma"/>
            <family val="2"/>
          </rPr>
          <t>LPA:</t>
        </r>
        <r>
          <rPr>
            <sz val="9"/>
            <color indexed="81"/>
            <rFont val="Tahoma"/>
            <family val="2"/>
          </rPr>
          <t xml:space="preserve">
проверити збир!
</t>
        </r>
      </text>
    </comment>
    <comment ref="I3673" authorId="0">
      <text>
        <r>
          <rPr>
            <b/>
            <sz val="9"/>
            <color indexed="81"/>
            <rFont val="Tahoma"/>
            <family val="2"/>
          </rPr>
          <t>LPA:</t>
        </r>
        <r>
          <rPr>
            <sz val="9"/>
            <color indexed="81"/>
            <rFont val="Tahoma"/>
            <family val="2"/>
          </rPr>
          <t xml:space="preserve">
проверити збир!
</t>
        </r>
      </text>
    </comment>
    <comment ref="I3674" authorId="0">
      <text>
        <r>
          <rPr>
            <b/>
            <sz val="9"/>
            <color indexed="81"/>
            <rFont val="Tahoma"/>
            <family val="2"/>
          </rPr>
          <t>LPA:</t>
        </r>
        <r>
          <rPr>
            <sz val="9"/>
            <color indexed="81"/>
            <rFont val="Tahoma"/>
            <family val="2"/>
          </rPr>
          <t xml:space="preserve">
проверити збир!
</t>
        </r>
      </text>
    </comment>
    <comment ref="I3675" authorId="0">
      <text>
        <r>
          <rPr>
            <b/>
            <sz val="9"/>
            <color indexed="81"/>
            <rFont val="Tahoma"/>
            <family val="2"/>
          </rPr>
          <t>LPA:</t>
        </r>
        <r>
          <rPr>
            <sz val="9"/>
            <color indexed="81"/>
            <rFont val="Tahoma"/>
            <family val="2"/>
          </rPr>
          <t xml:space="preserve">
проверити збир!
</t>
        </r>
      </text>
    </comment>
    <comment ref="I3676" authorId="0">
      <text>
        <r>
          <rPr>
            <b/>
            <sz val="9"/>
            <color indexed="81"/>
            <rFont val="Tahoma"/>
            <family val="2"/>
          </rPr>
          <t>LPA:</t>
        </r>
        <r>
          <rPr>
            <sz val="9"/>
            <color indexed="81"/>
            <rFont val="Tahoma"/>
            <family val="2"/>
          </rPr>
          <t xml:space="preserve">
проверити збир!
</t>
        </r>
      </text>
    </comment>
    <comment ref="I3677" authorId="0">
      <text>
        <r>
          <rPr>
            <b/>
            <sz val="9"/>
            <color indexed="81"/>
            <rFont val="Tahoma"/>
            <family val="2"/>
          </rPr>
          <t>LPA:</t>
        </r>
        <r>
          <rPr>
            <sz val="9"/>
            <color indexed="81"/>
            <rFont val="Tahoma"/>
            <family val="2"/>
          </rPr>
          <t xml:space="preserve">
проверити збир!
</t>
        </r>
      </text>
    </comment>
    <comment ref="I3678" authorId="0">
      <text>
        <r>
          <rPr>
            <b/>
            <sz val="9"/>
            <color indexed="81"/>
            <rFont val="Tahoma"/>
            <family val="2"/>
          </rPr>
          <t>LPA:</t>
        </r>
        <r>
          <rPr>
            <sz val="9"/>
            <color indexed="81"/>
            <rFont val="Tahoma"/>
            <family val="2"/>
          </rPr>
          <t xml:space="preserve">
проверити збир!
</t>
        </r>
      </text>
    </comment>
    <comment ref="I3679" authorId="0">
      <text>
        <r>
          <rPr>
            <b/>
            <sz val="9"/>
            <color indexed="81"/>
            <rFont val="Tahoma"/>
            <family val="2"/>
          </rPr>
          <t>LPA:</t>
        </r>
        <r>
          <rPr>
            <sz val="9"/>
            <color indexed="81"/>
            <rFont val="Tahoma"/>
            <family val="2"/>
          </rPr>
          <t xml:space="preserve">
проверити збир!
</t>
        </r>
      </text>
    </comment>
    <comment ref="I3680" authorId="0">
      <text>
        <r>
          <rPr>
            <b/>
            <sz val="9"/>
            <color indexed="81"/>
            <rFont val="Tahoma"/>
            <family val="2"/>
          </rPr>
          <t>LPA:</t>
        </r>
        <r>
          <rPr>
            <sz val="9"/>
            <color indexed="81"/>
            <rFont val="Tahoma"/>
            <family val="2"/>
          </rPr>
          <t xml:space="preserve">
проверити збир!
</t>
        </r>
      </text>
    </comment>
    <comment ref="I3681" authorId="0">
      <text>
        <r>
          <rPr>
            <b/>
            <sz val="9"/>
            <color indexed="81"/>
            <rFont val="Tahoma"/>
            <family val="2"/>
          </rPr>
          <t>LPA:</t>
        </r>
        <r>
          <rPr>
            <sz val="9"/>
            <color indexed="81"/>
            <rFont val="Tahoma"/>
            <family val="2"/>
          </rPr>
          <t xml:space="preserve">
проверити збир!
</t>
        </r>
      </text>
    </comment>
    <comment ref="I3682" authorId="0">
      <text>
        <r>
          <rPr>
            <b/>
            <sz val="9"/>
            <color indexed="81"/>
            <rFont val="Tahoma"/>
            <family val="2"/>
          </rPr>
          <t>LPA:</t>
        </r>
        <r>
          <rPr>
            <sz val="9"/>
            <color indexed="81"/>
            <rFont val="Tahoma"/>
            <family val="2"/>
          </rPr>
          <t xml:space="preserve">
проверити збир!
</t>
        </r>
      </text>
    </comment>
    <comment ref="I3683" authorId="0">
      <text>
        <r>
          <rPr>
            <b/>
            <sz val="9"/>
            <color indexed="81"/>
            <rFont val="Tahoma"/>
            <family val="2"/>
          </rPr>
          <t>LPA:</t>
        </r>
        <r>
          <rPr>
            <sz val="9"/>
            <color indexed="81"/>
            <rFont val="Tahoma"/>
            <family val="2"/>
          </rPr>
          <t xml:space="preserve">
проверити збир!
</t>
        </r>
      </text>
    </comment>
    <comment ref="I3684" authorId="0">
      <text>
        <r>
          <rPr>
            <b/>
            <sz val="9"/>
            <color indexed="81"/>
            <rFont val="Tahoma"/>
            <family val="2"/>
          </rPr>
          <t>LPA:</t>
        </r>
        <r>
          <rPr>
            <sz val="9"/>
            <color indexed="81"/>
            <rFont val="Tahoma"/>
            <family val="2"/>
          </rPr>
          <t xml:space="preserve">
проверити збир!
</t>
        </r>
      </text>
    </comment>
    <comment ref="H3687" authorId="0">
      <text>
        <r>
          <rPr>
            <b/>
            <sz val="9"/>
            <color indexed="81"/>
            <rFont val="Tahoma"/>
            <family val="2"/>
          </rPr>
          <t>LPA:</t>
        </r>
        <r>
          <rPr>
            <sz val="9"/>
            <color indexed="81"/>
            <rFont val="Tahoma"/>
            <family val="2"/>
          </rPr>
          <t xml:space="preserve">
проверити збир!</t>
        </r>
      </text>
    </comment>
    <comment ref="I3687" authorId="0">
      <text>
        <r>
          <rPr>
            <b/>
            <sz val="9"/>
            <color indexed="81"/>
            <rFont val="Tahoma"/>
            <family val="2"/>
          </rPr>
          <t>LPA:</t>
        </r>
        <r>
          <rPr>
            <sz val="9"/>
            <color indexed="81"/>
            <rFont val="Tahoma"/>
            <family val="2"/>
          </rPr>
          <t xml:space="preserve">
проверити збир!</t>
        </r>
      </text>
    </comment>
    <comment ref="H3690" authorId="0">
      <text>
        <r>
          <rPr>
            <b/>
            <sz val="9"/>
            <color indexed="81"/>
            <rFont val="Tahoma"/>
            <family val="2"/>
          </rPr>
          <t>LPA:</t>
        </r>
        <r>
          <rPr>
            <sz val="9"/>
            <color indexed="81"/>
            <rFont val="Tahoma"/>
            <family val="2"/>
          </rPr>
          <t xml:space="preserve">
проверити збир!</t>
        </r>
      </text>
    </comment>
    <comment ref="I3690" authorId="0">
      <text>
        <r>
          <rPr>
            <b/>
            <sz val="9"/>
            <color indexed="81"/>
            <rFont val="Tahoma"/>
            <family val="2"/>
          </rPr>
          <t>LPA:</t>
        </r>
        <r>
          <rPr>
            <sz val="9"/>
            <color indexed="81"/>
            <rFont val="Tahoma"/>
            <family val="2"/>
          </rPr>
          <t xml:space="preserve">
проверити збир!
</t>
        </r>
      </text>
    </comment>
    <comment ref="I3998" authorId="0">
      <text>
        <r>
          <rPr>
            <b/>
            <sz val="9"/>
            <color indexed="81"/>
            <rFont val="Tahoma"/>
            <family val="2"/>
          </rPr>
          <t>LPA:</t>
        </r>
        <r>
          <rPr>
            <sz val="9"/>
            <color indexed="81"/>
            <rFont val="Tahoma"/>
            <family val="2"/>
          </rPr>
          <t xml:space="preserve">
проверити збир!
</t>
        </r>
      </text>
    </comment>
    <comment ref="I3999" authorId="0">
      <text>
        <r>
          <rPr>
            <b/>
            <sz val="9"/>
            <color indexed="81"/>
            <rFont val="Tahoma"/>
            <family val="2"/>
          </rPr>
          <t>LPA:</t>
        </r>
        <r>
          <rPr>
            <sz val="9"/>
            <color indexed="81"/>
            <rFont val="Tahoma"/>
            <family val="2"/>
          </rPr>
          <t xml:space="preserve">
проверити збир!
</t>
        </r>
      </text>
    </comment>
    <comment ref="I4000" authorId="0">
      <text>
        <r>
          <rPr>
            <b/>
            <sz val="9"/>
            <color indexed="81"/>
            <rFont val="Tahoma"/>
            <family val="2"/>
          </rPr>
          <t>LPA:</t>
        </r>
        <r>
          <rPr>
            <sz val="9"/>
            <color indexed="81"/>
            <rFont val="Tahoma"/>
            <family val="2"/>
          </rPr>
          <t xml:space="preserve">
проверити збир!
</t>
        </r>
      </text>
    </comment>
    <comment ref="I4001" authorId="0">
      <text>
        <r>
          <rPr>
            <b/>
            <sz val="9"/>
            <color indexed="81"/>
            <rFont val="Tahoma"/>
            <family val="2"/>
          </rPr>
          <t>LPA:</t>
        </r>
        <r>
          <rPr>
            <sz val="9"/>
            <color indexed="81"/>
            <rFont val="Tahoma"/>
            <family val="2"/>
          </rPr>
          <t xml:space="preserve">
проверити збир!
</t>
        </r>
      </text>
    </comment>
    <comment ref="I4002" authorId="0">
      <text>
        <r>
          <rPr>
            <b/>
            <sz val="9"/>
            <color indexed="81"/>
            <rFont val="Tahoma"/>
            <family val="2"/>
          </rPr>
          <t>LPA:</t>
        </r>
        <r>
          <rPr>
            <sz val="9"/>
            <color indexed="81"/>
            <rFont val="Tahoma"/>
            <family val="2"/>
          </rPr>
          <t xml:space="preserve">
проверити збир!
</t>
        </r>
      </text>
    </comment>
    <comment ref="I4003" authorId="0">
      <text>
        <r>
          <rPr>
            <b/>
            <sz val="9"/>
            <color indexed="81"/>
            <rFont val="Tahoma"/>
            <family val="2"/>
          </rPr>
          <t>LPA:</t>
        </r>
        <r>
          <rPr>
            <sz val="9"/>
            <color indexed="81"/>
            <rFont val="Tahoma"/>
            <family val="2"/>
          </rPr>
          <t xml:space="preserve">
проверити збир!
</t>
        </r>
      </text>
    </comment>
    <comment ref="I4004" authorId="0">
      <text>
        <r>
          <rPr>
            <b/>
            <sz val="9"/>
            <color indexed="81"/>
            <rFont val="Tahoma"/>
            <family val="2"/>
          </rPr>
          <t>LPA:</t>
        </r>
        <r>
          <rPr>
            <sz val="9"/>
            <color indexed="81"/>
            <rFont val="Tahoma"/>
            <family val="2"/>
          </rPr>
          <t xml:space="preserve">
проверити збир!
</t>
        </r>
      </text>
    </comment>
    <comment ref="I4005" authorId="0">
      <text>
        <r>
          <rPr>
            <b/>
            <sz val="9"/>
            <color indexed="81"/>
            <rFont val="Tahoma"/>
            <family val="2"/>
          </rPr>
          <t>LPA:</t>
        </r>
        <r>
          <rPr>
            <sz val="9"/>
            <color indexed="81"/>
            <rFont val="Tahoma"/>
            <family val="2"/>
          </rPr>
          <t xml:space="preserve">
проверити збир!
</t>
        </r>
      </text>
    </comment>
    <comment ref="I4006" authorId="0">
      <text>
        <r>
          <rPr>
            <b/>
            <sz val="9"/>
            <color indexed="81"/>
            <rFont val="Tahoma"/>
            <family val="2"/>
          </rPr>
          <t>LPA:</t>
        </r>
        <r>
          <rPr>
            <sz val="9"/>
            <color indexed="81"/>
            <rFont val="Tahoma"/>
            <family val="2"/>
          </rPr>
          <t xml:space="preserve">
проверити збир!
</t>
        </r>
      </text>
    </comment>
    <comment ref="I4007" authorId="0">
      <text>
        <r>
          <rPr>
            <b/>
            <sz val="9"/>
            <color indexed="81"/>
            <rFont val="Tahoma"/>
            <family val="2"/>
          </rPr>
          <t>LPA:</t>
        </r>
        <r>
          <rPr>
            <sz val="9"/>
            <color indexed="81"/>
            <rFont val="Tahoma"/>
            <family val="2"/>
          </rPr>
          <t xml:space="preserve">
проверити збир!
</t>
        </r>
      </text>
    </comment>
    <comment ref="I4008" authorId="0">
      <text>
        <r>
          <rPr>
            <b/>
            <sz val="9"/>
            <color indexed="81"/>
            <rFont val="Tahoma"/>
            <family val="2"/>
          </rPr>
          <t>LPA:</t>
        </r>
        <r>
          <rPr>
            <sz val="9"/>
            <color indexed="81"/>
            <rFont val="Tahoma"/>
            <family val="2"/>
          </rPr>
          <t xml:space="preserve">
проверити збир!
</t>
        </r>
      </text>
    </comment>
    <comment ref="I4009" authorId="0">
      <text>
        <r>
          <rPr>
            <b/>
            <sz val="9"/>
            <color indexed="81"/>
            <rFont val="Tahoma"/>
            <family val="2"/>
          </rPr>
          <t>LPA:</t>
        </r>
        <r>
          <rPr>
            <sz val="9"/>
            <color indexed="81"/>
            <rFont val="Tahoma"/>
            <family val="2"/>
          </rPr>
          <t xml:space="preserve">
проверити збир!
</t>
        </r>
      </text>
    </comment>
    <comment ref="I4010" authorId="0">
      <text>
        <r>
          <rPr>
            <b/>
            <sz val="9"/>
            <color indexed="81"/>
            <rFont val="Tahoma"/>
            <family val="2"/>
          </rPr>
          <t>LPA:</t>
        </r>
        <r>
          <rPr>
            <sz val="9"/>
            <color indexed="81"/>
            <rFont val="Tahoma"/>
            <family val="2"/>
          </rPr>
          <t xml:space="preserve">
проверити збир!
</t>
        </r>
      </text>
    </comment>
    <comment ref="H4013" authorId="0">
      <text>
        <r>
          <rPr>
            <b/>
            <sz val="9"/>
            <color indexed="81"/>
            <rFont val="Tahoma"/>
            <family val="2"/>
          </rPr>
          <t>LPA:</t>
        </r>
        <r>
          <rPr>
            <sz val="9"/>
            <color indexed="81"/>
            <rFont val="Tahoma"/>
            <family val="2"/>
          </rPr>
          <t xml:space="preserve">
проверити збир!</t>
        </r>
      </text>
    </comment>
    <comment ref="I4013" authorId="0">
      <text>
        <r>
          <rPr>
            <b/>
            <sz val="9"/>
            <color indexed="81"/>
            <rFont val="Tahoma"/>
            <family val="2"/>
          </rPr>
          <t>LPA:</t>
        </r>
        <r>
          <rPr>
            <sz val="9"/>
            <color indexed="81"/>
            <rFont val="Tahoma"/>
            <family val="2"/>
          </rPr>
          <t xml:space="preserve">
проверити збир!</t>
        </r>
      </text>
    </comment>
    <comment ref="I4014" authorId="0">
      <text>
        <r>
          <rPr>
            <b/>
            <sz val="9"/>
            <color indexed="81"/>
            <rFont val="Tahoma"/>
            <family val="2"/>
          </rPr>
          <t>LPA:</t>
        </r>
        <r>
          <rPr>
            <sz val="9"/>
            <color indexed="81"/>
            <rFont val="Tahoma"/>
            <family val="2"/>
          </rPr>
          <t xml:space="preserve">
проверити збир!
</t>
        </r>
      </text>
    </comment>
    <comment ref="I4015" authorId="0">
      <text>
        <r>
          <rPr>
            <b/>
            <sz val="9"/>
            <color indexed="81"/>
            <rFont val="Tahoma"/>
            <family val="2"/>
          </rPr>
          <t>LPA:</t>
        </r>
        <r>
          <rPr>
            <sz val="9"/>
            <color indexed="81"/>
            <rFont val="Tahoma"/>
            <family val="2"/>
          </rPr>
          <t xml:space="preserve">
проверити збир!
</t>
        </r>
      </text>
    </comment>
    <comment ref="I4016" authorId="0">
      <text>
        <r>
          <rPr>
            <b/>
            <sz val="9"/>
            <color indexed="81"/>
            <rFont val="Tahoma"/>
            <family val="2"/>
          </rPr>
          <t>LPA:</t>
        </r>
        <r>
          <rPr>
            <sz val="9"/>
            <color indexed="81"/>
            <rFont val="Tahoma"/>
            <family val="2"/>
          </rPr>
          <t xml:space="preserve">
проверити збир!
</t>
        </r>
      </text>
    </comment>
    <comment ref="I4017" authorId="0">
      <text>
        <r>
          <rPr>
            <b/>
            <sz val="9"/>
            <color indexed="81"/>
            <rFont val="Tahoma"/>
            <family val="2"/>
          </rPr>
          <t>LPA:</t>
        </r>
        <r>
          <rPr>
            <sz val="9"/>
            <color indexed="81"/>
            <rFont val="Tahoma"/>
            <family val="2"/>
          </rPr>
          <t xml:space="preserve">
проверити збир!
</t>
        </r>
      </text>
    </comment>
    <comment ref="I4018" authorId="0">
      <text>
        <r>
          <rPr>
            <b/>
            <sz val="9"/>
            <color indexed="81"/>
            <rFont val="Tahoma"/>
            <family val="2"/>
          </rPr>
          <t>LPA:</t>
        </r>
        <r>
          <rPr>
            <sz val="9"/>
            <color indexed="81"/>
            <rFont val="Tahoma"/>
            <family val="2"/>
          </rPr>
          <t xml:space="preserve">
проверити збир!
</t>
        </r>
      </text>
    </comment>
    <comment ref="I4019" authorId="0">
      <text>
        <r>
          <rPr>
            <b/>
            <sz val="9"/>
            <color indexed="81"/>
            <rFont val="Tahoma"/>
            <family val="2"/>
          </rPr>
          <t>LPA:</t>
        </r>
        <r>
          <rPr>
            <sz val="9"/>
            <color indexed="81"/>
            <rFont val="Tahoma"/>
            <family val="2"/>
          </rPr>
          <t xml:space="preserve">
проверити збир!
</t>
        </r>
      </text>
    </comment>
    <comment ref="I4020" authorId="0">
      <text>
        <r>
          <rPr>
            <b/>
            <sz val="9"/>
            <color indexed="81"/>
            <rFont val="Tahoma"/>
            <family val="2"/>
          </rPr>
          <t>LPA:</t>
        </r>
        <r>
          <rPr>
            <sz val="9"/>
            <color indexed="81"/>
            <rFont val="Tahoma"/>
            <family val="2"/>
          </rPr>
          <t xml:space="preserve">
проверити збир!
</t>
        </r>
      </text>
    </comment>
    <comment ref="I4021" authorId="0">
      <text>
        <r>
          <rPr>
            <b/>
            <sz val="9"/>
            <color indexed="81"/>
            <rFont val="Tahoma"/>
            <family val="2"/>
          </rPr>
          <t>LPA:</t>
        </r>
        <r>
          <rPr>
            <sz val="9"/>
            <color indexed="81"/>
            <rFont val="Tahoma"/>
            <family val="2"/>
          </rPr>
          <t xml:space="preserve">
проверити збир!
</t>
        </r>
      </text>
    </comment>
    <comment ref="I4022" authorId="0">
      <text>
        <r>
          <rPr>
            <b/>
            <sz val="9"/>
            <color indexed="81"/>
            <rFont val="Tahoma"/>
            <family val="2"/>
          </rPr>
          <t>LPA:</t>
        </r>
        <r>
          <rPr>
            <sz val="9"/>
            <color indexed="81"/>
            <rFont val="Tahoma"/>
            <family val="2"/>
          </rPr>
          <t xml:space="preserve">
проверити збир!
</t>
        </r>
      </text>
    </comment>
    <comment ref="I4023" authorId="0">
      <text>
        <r>
          <rPr>
            <b/>
            <sz val="9"/>
            <color indexed="81"/>
            <rFont val="Tahoma"/>
            <family val="2"/>
          </rPr>
          <t>LPA:</t>
        </r>
        <r>
          <rPr>
            <sz val="9"/>
            <color indexed="81"/>
            <rFont val="Tahoma"/>
            <family val="2"/>
          </rPr>
          <t xml:space="preserve">
проверити збир!
</t>
        </r>
      </text>
    </comment>
    <comment ref="I4024" authorId="0">
      <text>
        <r>
          <rPr>
            <b/>
            <sz val="9"/>
            <color indexed="81"/>
            <rFont val="Tahoma"/>
            <family val="2"/>
          </rPr>
          <t>LPA:</t>
        </r>
        <r>
          <rPr>
            <sz val="9"/>
            <color indexed="81"/>
            <rFont val="Tahoma"/>
            <family val="2"/>
          </rPr>
          <t xml:space="preserve">
проверити збир!
</t>
        </r>
      </text>
    </comment>
    <comment ref="I4025" authorId="0">
      <text>
        <r>
          <rPr>
            <b/>
            <sz val="9"/>
            <color indexed="81"/>
            <rFont val="Tahoma"/>
            <family val="2"/>
          </rPr>
          <t>LPA:</t>
        </r>
        <r>
          <rPr>
            <sz val="9"/>
            <color indexed="81"/>
            <rFont val="Tahoma"/>
            <family val="2"/>
          </rPr>
          <t xml:space="preserve">
проверити збир!
</t>
        </r>
      </text>
    </comment>
    <comment ref="I4026" authorId="0">
      <text>
        <r>
          <rPr>
            <b/>
            <sz val="9"/>
            <color indexed="81"/>
            <rFont val="Tahoma"/>
            <family val="2"/>
          </rPr>
          <t>LPA:</t>
        </r>
        <r>
          <rPr>
            <sz val="9"/>
            <color indexed="81"/>
            <rFont val="Tahoma"/>
            <family val="2"/>
          </rPr>
          <t xml:space="preserve">
проверити збир!
</t>
        </r>
      </text>
    </comment>
    <comment ref="I4027" authorId="0">
      <text>
        <r>
          <rPr>
            <b/>
            <sz val="9"/>
            <color indexed="81"/>
            <rFont val="Tahoma"/>
            <family val="2"/>
          </rPr>
          <t>LPA:</t>
        </r>
        <r>
          <rPr>
            <sz val="9"/>
            <color indexed="81"/>
            <rFont val="Tahoma"/>
            <family val="2"/>
          </rPr>
          <t xml:space="preserve">
проверити збир!
</t>
        </r>
      </text>
    </comment>
    <comment ref="I4028" authorId="0">
      <text>
        <r>
          <rPr>
            <b/>
            <sz val="9"/>
            <color indexed="81"/>
            <rFont val="Tahoma"/>
            <family val="2"/>
          </rPr>
          <t>LPA:</t>
        </r>
        <r>
          <rPr>
            <sz val="9"/>
            <color indexed="81"/>
            <rFont val="Tahoma"/>
            <family val="2"/>
          </rPr>
          <t xml:space="preserve">
проверити збир!
</t>
        </r>
      </text>
    </comment>
    <comment ref="I4097" authorId="0">
      <text>
        <r>
          <rPr>
            <b/>
            <sz val="9"/>
            <color indexed="81"/>
            <rFont val="Tahoma"/>
            <family val="2"/>
          </rPr>
          <t>LPA:</t>
        </r>
        <r>
          <rPr>
            <sz val="9"/>
            <color indexed="81"/>
            <rFont val="Tahoma"/>
            <family val="2"/>
          </rPr>
          <t xml:space="preserve">
проверити збир!
</t>
        </r>
      </text>
    </comment>
    <comment ref="I4098" authorId="0">
      <text>
        <r>
          <rPr>
            <b/>
            <sz val="9"/>
            <color indexed="81"/>
            <rFont val="Tahoma"/>
            <family val="2"/>
          </rPr>
          <t>LPA:</t>
        </r>
        <r>
          <rPr>
            <sz val="9"/>
            <color indexed="81"/>
            <rFont val="Tahoma"/>
            <family val="2"/>
          </rPr>
          <t xml:space="preserve">
проверити збир!
</t>
        </r>
      </text>
    </comment>
    <comment ref="I4099" authorId="0">
      <text>
        <r>
          <rPr>
            <b/>
            <sz val="9"/>
            <color indexed="81"/>
            <rFont val="Tahoma"/>
            <family val="2"/>
          </rPr>
          <t>LPA:</t>
        </r>
        <r>
          <rPr>
            <sz val="9"/>
            <color indexed="81"/>
            <rFont val="Tahoma"/>
            <family val="2"/>
          </rPr>
          <t xml:space="preserve">
проверити збир!
</t>
        </r>
      </text>
    </comment>
    <comment ref="I4100" authorId="0">
      <text>
        <r>
          <rPr>
            <b/>
            <sz val="9"/>
            <color indexed="81"/>
            <rFont val="Tahoma"/>
            <family val="2"/>
          </rPr>
          <t>LPA:</t>
        </r>
        <r>
          <rPr>
            <sz val="9"/>
            <color indexed="81"/>
            <rFont val="Tahoma"/>
            <family val="2"/>
          </rPr>
          <t xml:space="preserve">
проверити збир!
</t>
        </r>
      </text>
    </comment>
    <comment ref="I4101" authorId="0">
      <text>
        <r>
          <rPr>
            <b/>
            <sz val="9"/>
            <color indexed="81"/>
            <rFont val="Tahoma"/>
            <family val="2"/>
          </rPr>
          <t>LPA:</t>
        </r>
        <r>
          <rPr>
            <sz val="9"/>
            <color indexed="81"/>
            <rFont val="Tahoma"/>
            <family val="2"/>
          </rPr>
          <t xml:space="preserve">
проверити збир!
</t>
        </r>
      </text>
    </comment>
    <comment ref="I4102" authorId="0">
      <text>
        <r>
          <rPr>
            <b/>
            <sz val="9"/>
            <color indexed="81"/>
            <rFont val="Tahoma"/>
            <family val="2"/>
          </rPr>
          <t>LPA:</t>
        </r>
        <r>
          <rPr>
            <sz val="9"/>
            <color indexed="81"/>
            <rFont val="Tahoma"/>
            <family val="2"/>
          </rPr>
          <t xml:space="preserve">
проверити збир!
</t>
        </r>
      </text>
    </comment>
    <comment ref="I4103" authorId="0">
      <text>
        <r>
          <rPr>
            <b/>
            <sz val="9"/>
            <color indexed="81"/>
            <rFont val="Tahoma"/>
            <family val="2"/>
          </rPr>
          <t>LPA:</t>
        </r>
        <r>
          <rPr>
            <sz val="9"/>
            <color indexed="81"/>
            <rFont val="Tahoma"/>
            <family val="2"/>
          </rPr>
          <t xml:space="preserve">
проверити збир!
</t>
        </r>
      </text>
    </comment>
    <comment ref="I4104" authorId="0">
      <text>
        <r>
          <rPr>
            <b/>
            <sz val="9"/>
            <color indexed="81"/>
            <rFont val="Tahoma"/>
            <family val="2"/>
          </rPr>
          <t>LPA:</t>
        </r>
        <r>
          <rPr>
            <sz val="9"/>
            <color indexed="81"/>
            <rFont val="Tahoma"/>
            <family val="2"/>
          </rPr>
          <t xml:space="preserve">
проверити збир!
</t>
        </r>
      </text>
    </comment>
    <comment ref="I4105" authorId="0">
      <text>
        <r>
          <rPr>
            <b/>
            <sz val="9"/>
            <color indexed="81"/>
            <rFont val="Tahoma"/>
            <family val="2"/>
          </rPr>
          <t>LPA:</t>
        </r>
        <r>
          <rPr>
            <sz val="9"/>
            <color indexed="81"/>
            <rFont val="Tahoma"/>
            <family val="2"/>
          </rPr>
          <t xml:space="preserve">
проверити збир!
</t>
        </r>
      </text>
    </comment>
    <comment ref="I4106" authorId="0">
      <text>
        <r>
          <rPr>
            <b/>
            <sz val="9"/>
            <color indexed="81"/>
            <rFont val="Tahoma"/>
            <family val="2"/>
          </rPr>
          <t>LPA:</t>
        </r>
        <r>
          <rPr>
            <sz val="9"/>
            <color indexed="81"/>
            <rFont val="Tahoma"/>
            <family val="2"/>
          </rPr>
          <t xml:space="preserve">
проверити збир!
</t>
        </r>
      </text>
    </comment>
    <comment ref="I4107" authorId="0">
      <text>
        <r>
          <rPr>
            <b/>
            <sz val="9"/>
            <color indexed="81"/>
            <rFont val="Tahoma"/>
            <family val="2"/>
          </rPr>
          <t>LPA:</t>
        </r>
        <r>
          <rPr>
            <sz val="9"/>
            <color indexed="81"/>
            <rFont val="Tahoma"/>
            <family val="2"/>
          </rPr>
          <t xml:space="preserve">
проверити збир!
</t>
        </r>
      </text>
    </comment>
    <comment ref="I4108" authorId="0">
      <text>
        <r>
          <rPr>
            <b/>
            <sz val="9"/>
            <color indexed="81"/>
            <rFont val="Tahoma"/>
            <family val="2"/>
          </rPr>
          <t>LPA:</t>
        </r>
        <r>
          <rPr>
            <sz val="9"/>
            <color indexed="81"/>
            <rFont val="Tahoma"/>
            <family val="2"/>
          </rPr>
          <t xml:space="preserve">
проверити збир!
</t>
        </r>
      </text>
    </comment>
    <comment ref="I4109" authorId="0">
      <text>
        <r>
          <rPr>
            <b/>
            <sz val="9"/>
            <color indexed="81"/>
            <rFont val="Tahoma"/>
            <family val="2"/>
          </rPr>
          <t>LPA:</t>
        </r>
        <r>
          <rPr>
            <sz val="9"/>
            <color indexed="81"/>
            <rFont val="Tahoma"/>
            <family val="2"/>
          </rPr>
          <t xml:space="preserve">
проверити збир!
</t>
        </r>
      </text>
    </comment>
    <comment ref="H4112" authorId="0">
      <text>
        <r>
          <rPr>
            <b/>
            <sz val="9"/>
            <color indexed="81"/>
            <rFont val="Tahoma"/>
            <family val="2"/>
          </rPr>
          <t>LPA:</t>
        </r>
        <r>
          <rPr>
            <sz val="9"/>
            <color indexed="81"/>
            <rFont val="Tahoma"/>
            <family val="2"/>
          </rPr>
          <t xml:space="preserve">
проверити збир!</t>
        </r>
      </text>
    </comment>
    <comment ref="I4112" authorId="0">
      <text>
        <r>
          <rPr>
            <b/>
            <sz val="9"/>
            <color indexed="81"/>
            <rFont val="Tahoma"/>
            <family val="2"/>
          </rPr>
          <t>LPA:</t>
        </r>
        <r>
          <rPr>
            <sz val="9"/>
            <color indexed="81"/>
            <rFont val="Tahoma"/>
            <family val="2"/>
          </rPr>
          <t xml:space="preserve">
проверити збир!</t>
        </r>
      </text>
    </comment>
    <comment ref="I4113" authorId="0">
      <text>
        <r>
          <rPr>
            <b/>
            <sz val="9"/>
            <color indexed="81"/>
            <rFont val="Tahoma"/>
            <family val="2"/>
          </rPr>
          <t>LPA:</t>
        </r>
        <r>
          <rPr>
            <sz val="9"/>
            <color indexed="81"/>
            <rFont val="Tahoma"/>
            <family val="2"/>
          </rPr>
          <t xml:space="preserve">
проверити збир!
</t>
        </r>
      </text>
    </comment>
    <comment ref="I4114" authorId="0">
      <text>
        <r>
          <rPr>
            <b/>
            <sz val="9"/>
            <color indexed="81"/>
            <rFont val="Tahoma"/>
            <family val="2"/>
          </rPr>
          <t>LPA:</t>
        </r>
        <r>
          <rPr>
            <sz val="9"/>
            <color indexed="81"/>
            <rFont val="Tahoma"/>
            <family val="2"/>
          </rPr>
          <t xml:space="preserve">
проверити збир!
</t>
        </r>
      </text>
    </comment>
    <comment ref="I4115" authorId="0">
      <text>
        <r>
          <rPr>
            <b/>
            <sz val="9"/>
            <color indexed="81"/>
            <rFont val="Tahoma"/>
            <family val="2"/>
          </rPr>
          <t>LPA:</t>
        </r>
        <r>
          <rPr>
            <sz val="9"/>
            <color indexed="81"/>
            <rFont val="Tahoma"/>
            <family val="2"/>
          </rPr>
          <t xml:space="preserve">
проверити збир!
</t>
        </r>
      </text>
    </comment>
    <comment ref="I4116" authorId="0">
      <text>
        <r>
          <rPr>
            <b/>
            <sz val="9"/>
            <color indexed="81"/>
            <rFont val="Tahoma"/>
            <family val="2"/>
          </rPr>
          <t>LPA:</t>
        </r>
        <r>
          <rPr>
            <sz val="9"/>
            <color indexed="81"/>
            <rFont val="Tahoma"/>
            <family val="2"/>
          </rPr>
          <t xml:space="preserve">
проверити збир!
</t>
        </r>
      </text>
    </comment>
    <comment ref="I4117" authorId="0">
      <text>
        <r>
          <rPr>
            <b/>
            <sz val="9"/>
            <color indexed="81"/>
            <rFont val="Tahoma"/>
            <family val="2"/>
          </rPr>
          <t>LPA:</t>
        </r>
        <r>
          <rPr>
            <sz val="9"/>
            <color indexed="81"/>
            <rFont val="Tahoma"/>
            <family val="2"/>
          </rPr>
          <t xml:space="preserve">
проверити збир!
</t>
        </r>
      </text>
    </comment>
    <comment ref="I4118" authorId="0">
      <text>
        <r>
          <rPr>
            <b/>
            <sz val="9"/>
            <color indexed="81"/>
            <rFont val="Tahoma"/>
            <family val="2"/>
          </rPr>
          <t>LPA:</t>
        </r>
        <r>
          <rPr>
            <sz val="9"/>
            <color indexed="81"/>
            <rFont val="Tahoma"/>
            <family val="2"/>
          </rPr>
          <t xml:space="preserve">
проверити збир!
</t>
        </r>
      </text>
    </comment>
    <comment ref="I4119" authorId="0">
      <text>
        <r>
          <rPr>
            <b/>
            <sz val="9"/>
            <color indexed="81"/>
            <rFont val="Tahoma"/>
            <family val="2"/>
          </rPr>
          <t>LPA:</t>
        </r>
        <r>
          <rPr>
            <sz val="9"/>
            <color indexed="81"/>
            <rFont val="Tahoma"/>
            <family val="2"/>
          </rPr>
          <t xml:space="preserve">
проверити збир!
</t>
        </r>
      </text>
    </comment>
    <comment ref="I4120" authorId="0">
      <text>
        <r>
          <rPr>
            <b/>
            <sz val="9"/>
            <color indexed="81"/>
            <rFont val="Tahoma"/>
            <family val="2"/>
          </rPr>
          <t>LPA:</t>
        </r>
        <r>
          <rPr>
            <sz val="9"/>
            <color indexed="81"/>
            <rFont val="Tahoma"/>
            <family val="2"/>
          </rPr>
          <t xml:space="preserve">
проверити збир!
</t>
        </r>
      </text>
    </comment>
    <comment ref="I4121" authorId="0">
      <text>
        <r>
          <rPr>
            <b/>
            <sz val="9"/>
            <color indexed="81"/>
            <rFont val="Tahoma"/>
            <family val="2"/>
          </rPr>
          <t>LPA:</t>
        </r>
        <r>
          <rPr>
            <sz val="9"/>
            <color indexed="81"/>
            <rFont val="Tahoma"/>
            <family val="2"/>
          </rPr>
          <t xml:space="preserve">
проверити збир!
</t>
        </r>
      </text>
    </comment>
    <comment ref="I4122" authorId="0">
      <text>
        <r>
          <rPr>
            <b/>
            <sz val="9"/>
            <color indexed="81"/>
            <rFont val="Tahoma"/>
            <family val="2"/>
          </rPr>
          <t>LPA:</t>
        </r>
        <r>
          <rPr>
            <sz val="9"/>
            <color indexed="81"/>
            <rFont val="Tahoma"/>
            <family val="2"/>
          </rPr>
          <t xml:space="preserve">
проверити збир!
</t>
        </r>
      </text>
    </comment>
    <comment ref="I4123" authorId="0">
      <text>
        <r>
          <rPr>
            <b/>
            <sz val="9"/>
            <color indexed="81"/>
            <rFont val="Tahoma"/>
            <family val="2"/>
          </rPr>
          <t>LPA:</t>
        </r>
        <r>
          <rPr>
            <sz val="9"/>
            <color indexed="81"/>
            <rFont val="Tahoma"/>
            <family val="2"/>
          </rPr>
          <t xml:space="preserve">
проверити збир!
</t>
        </r>
      </text>
    </comment>
    <comment ref="I4124" authorId="0">
      <text>
        <r>
          <rPr>
            <b/>
            <sz val="9"/>
            <color indexed="81"/>
            <rFont val="Tahoma"/>
            <family val="2"/>
          </rPr>
          <t>LPA:</t>
        </r>
        <r>
          <rPr>
            <sz val="9"/>
            <color indexed="81"/>
            <rFont val="Tahoma"/>
            <family val="2"/>
          </rPr>
          <t xml:space="preserve">
проверити збир!
</t>
        </r>
      </text>
    </comment>
    <comment ref="I4125" authorId="0">
      <text>
        <r>
          <rPr>
            <b/>
            <sz val="9"/>
            <color indexed="81"/>
            <rFont val="Tahoma"/>
            <family val="2"/>
          </rPr>
          <t>LPA:</t>
        </r>
        <r>
          <rPr>
            <sz val="9"/>
            <color indexed="81"/>
            <rFont val="Tahoma"/>
            <family val="2"/>
          </rPr>
          <t xml:space="preserve">
проверити збир!
</t>
        </r>
      </text>
    </comment>
    <comment ref="I4126" authorId="0">
      <text>
        <r>
          <rPr>
            <b/>
            <sz val="9"/>
            <color indexed="81"/>
            <rFont val="Tahoma"/>
            <family val="2"/>
          </rPr>
          <t>LPA:</t>
        </r>
        <r>
          <rPr>
            <sz val="9"/>
            <color indexed="81"/>
            <rFont val="Tahoma"/>
            <family val="2"/>
          </rPr>
          <t xml:space="preserve">
проверити збир!
</t>
        </r>
      </text>
    </comment>
    <comment ref="I4127" authorId="0">
      <text>
        <r>
          <rPr>
            <b/>
            <sz val="9"/>
            <color indexed="81"/>
            <rFont val="Tahoma"/>
            <family val="2"/>
          </rPr>
          <t>LPA:</t>
        </r>
        <r>
          <rPr>
            <sz val="9"/>
            <color indexed="81"/>
            <rFont val="Tahoma"/>
            <family val="2"/>
          </rPr>
          <t xml:space="preserve">
проверити збир!
</t>
        </r>
      </text>
    </comment>
    <comment ref="I4196" authorId="0">
      <text>
        <r>
          <rPr>
            <b/>
            <sz val="9"/>
            <color indexed="81"/>
            <rFont val="Tahoma"/>
            <family val="2"/>
          </rPr>
          <t>LPA:</t>
        </r>
        <r>
          <rPr>
            <sz val="9"/>
            <color indexed="81"/>
            <rFont val="Tahoma"/>
            <family val="2"/>
          </rPr>
          <t xml:space="preserve">
проверити збир!
</t>
        </r>
      </text>
    </comment>
    <comment ref="I4197" authorId="0">
      <text>
        <r>
          <rPr>
            <b/>
            <sz val="9"/>
            <color indexed="81"/>
            <rFont val="Tahoma"/>
            <family val="2"/>
          </rPr>
          <t>LPA:</t>
        </r>
        <r>
          <rPr>
            <sz val="9"/>
            <color indexed="81"/>
            <rFont val="Tahoma"/>
            <family val="2"/>
          </rPr>
          <t xml:space="preserve">
проверити збир!
</t>
        </r>
      </text>
    </comment>
    <comment ref="I4198" authorId="0">
      <text>
        <r>
          <rPr>
            <b/>
            <sz val="9"/>
            <color indexed="81"/>
            <rFont val="Tahoma"/>
            <family val="2"/>
          </rPr>
          <t>LPA:</t>
        </r>
        <r>
          <rPr>
            <sz val="9"/>
            <color indexed="81"/>
            <rFont val="Tahoma"/>
            <family val="2"/>
          </rPr>
          <t xml:space="preserve">
проверити збир!
</t>
        </r>
      </text>
    </comment>
    <comment ref="I4199" authorId="0">
      <text>
        <r>
          <rPr>
            <b/>
            <sz val="9"/>
            <color indexed="81"/>
            <rFont val="Tahoma"/>
            <family val="2"/>
          </rPr>
          <t>LPA:</t>
        </r>
        <r>
          <rPr>
            <sz val="9"/>
            <color indexed="81"/>
            <rFont val="Tahoma"/>
            <family val="2"/>
          </rPr>
          <t xml:space="preserve">
проверити збир!
</t>
        </r>
      </text>
    </comment>
    <comment ref="I4200" authorId="0">
      <text>
        <r>
          <rPr>
            <b/>
            <sz val="9"/>
            <color indexed="81"/>
            <rFont val="Tahoma"/>
            <family val="2"/>
          </rPr>
          <t>LPA:</t>
        </r>
        <r>
          <rPr>
            <sz val="9"/>
            <color indexed="81"/>
            <rFont val="Tahoma"/>
            <family val="2"/>
          </rPr>
          <t xml:space="preserve">
проверити збир!
</t>
        </r>
      </text>
    </comment>
    <comment ref="I4201" authorId="0">
      <text>
        <r>
          <rPr>
            <b/>
            <sz val="9"/>
            <color indexed="81"/>
            <rFont val="Tahoma"/>
            <family val="2"/>
          </rPr>
          <t>LPA:</t>
        </r>
        <r>
          <rPr>
            <sz val="9"/>
            <color indexed="81"/>
            <rFont val="Tahoma"/>
            <family val="2"/>
          </rPr>
          <t xml:space="preserve">
проверити збир!
</t>
        </r>
      </text>
    </comment>
    <comment ref="I4202" authorId="0">
      <text>
        <r>
          <rPr>
            <b/>
            <sz val="9"/>
            <color indexed="81"/>
            <rFont val="Tahoma"/>
            <family val="2"/>
          </rPr>
          <t>LPA:</t>
        </r>
        <r>
          <rPr>
            <sz val="9"/>
            <color indexed="81"/>
            <rFont val="Tahoma"/>
            <family val="2"/>
          </rPr>
          <t xml:space="preserve">
проверити збир!
</t>
        </r>
      </text>
    </comment>
    <comment ref="I4203" authorId="0">
      <text>
        <r>
          <rPr>
            <b/>
            <sz val="9"/>
            <color indexed="81"/>
            <rFont val="Tahoma"/>
            <family val="2"/>
          </rPr>
          <t>LPA:</t>
        </r>
        <r>
          <rPr>
            <sz val="9"/>
            <color indexed="81"/>
            <rFont val="Tahoma"/>
            <family val="2"/>
          </rPr>
          <t xml:space="preserve">
проверити збир!
</t>
        </r>
      </text>
    </comment>
    <comment ref="I4204" authorId="0">
      <text>
        <r>
          <rPr>
            <b/>
            <sz val="9"/>
            <color indexed="81"/>
            <rFont val="Tahoma"/>
            <family val="2"/>
          </rPr>
          <t>LPA:</t>
        </r>
        <r>
          <rPr>
            <sz val="9"/>
            <color indexed="81"/>
            <rFont val="Tahoma"/>
            <family val="2"/>
          </rPr>
          <t xml:space="preserve">
проверити збир!
</t>
        </r>
      </text>
    </comment>
    <comment ref="I4205" authorId="0">
      <text>
        <r>
          <rPr>
            <b/>
            <sz val="9"/>
            <color indexed="81"/>
            <rFont val="Tahoma"/>
            <family val="2"/>
          </rPr>
          <t>LPA:</t>
        </r>
        <r>
          <rPr>
            <sz val="9"/>
            <color indexed="81"/>
            <rFont val="Tahoma"/>
            <family val="2"/>
          </rPr>
          <t xml:space="preserve">
проверити збир!
</t>
        </r>
      </text>
    </comment>
    <comment ref="I4206" authorId="0">
      <text>
        <r>
          <rPr>
            <b/>
            <sz val="9"/>
            <color indexed="81"/>
            <rFont val="Tahoma"/>
            <family val="2"/>
          </rPr>
          <t>LPA:</t>
        </r>
        <r>
          <rPr>
            <sz val="9"/>
            <color indexed="81"/>
            <rFont val="Tahoma"/>
            <family val="2"/>
          </rPr>
          <t xml:space="preserve">
проверити збир!
</t>
        </r>
      </text>
    </comment>
    <comment ref="I4207" authorId="0">
      <text>
        <r>
          <rPr>
            <b/>
            <sz val="9"/>
            <color indexed="81"/>
            <rFont val="Tahoma"/>
            <family val="2"/>
          </rPr>
          <t>LPA:</t>
        </r>
        <r>
          <rPr>
            <sz val="9"/>
            <color indexed="81"/>
            <rFont val="Tahoma"/>
            <family val="2"/>
          </rPr>
          <t xml:space="preserve">
проверити збир!
</t>
        </r>
      </text>
    </comment>
    <comment ref="I4208" authorId="0">
      <text>
        <r>
          <rPr>
            <b/>
            <sz val="9"/>
            <color indexed="81"/>
            <rFont val="Tahoma"/>
            <family val="2"/>
          </rPr>
          <t>LPA:</t>
        </r>
        <r>
          <rPr>
            <sz val="9"/>
            <color indexed="81"/>
            <rFont val="Tahoma"/>
            <family val="2"/>
          </rPr>
          <t xml:space="preserve">
проверити збир!
</t>
        </r>
      </text>
    </comment>
    <comment ref="H4211" authorId="0">
      <text>
        <r>
          <rPr>
            <b/>
            <sz val="9"/>
            <color indexed="81"/>
            <rFont val="Tahoma"/>
            <family val="2"/>
          </rPr>
          <t>LPA:</t>
        </r>
        <r>
          <rPr>
            <sz val="9"/>
            <color indexed="81"/>
            <rFont val="Tahoma"/>
            <family val="2"/>
          </rPr>
          <t xml:space="preserve">
проверити збир!</t>
        </r>
      </text>
    </comment>
    <comment ref="I4211" authorId="0">
      <text>
        <r>
          <rPr>
            <b/>
            <sz val="9"/>
            <color indexed="81"/>
            <rFont val="Tahoma"/>
            <family val="2"/>
          </rPr>
          <t>LPA:</t>
        </r>
        <r>
          <rPr>
            <sz val="9"/>
            <color indexed="81"/>
            <rFont val="Tahoma"/>
            <family val="2"/>
          </rPr>
          <t xml:space="preserve">
проверити збир!</t>
        </r>
      </text>
    </comment>
    <comment ref="I4212" authorId="0">
      <text>
        <r>
          <rPr>
            <b/>
            <sz val="9"/>
            <color indexed="81"/>
            <rFont val="Tahoma"/>
            <family val="2"/>
          </rPr>
          <t>LPA:</t>
        </r>
        <r>
          <rPr>
            <sz val="9"/>
            <color indexed="81"/>
            <rFont val="Tahoma"/>
            <family val="2"/>
          </rPr>
          <t xml:space="preserve">
проверити збир!
</t>
        </r>
      </text>
    </comment>
    <comment ref="I4213" authorId="0">
      <text>
        <r>
          <rPr>
            <b/>
            <sz val="9"/>
            <color indexed="81"/>
            <rFont val="Tahoma"/>
            <family val="2"/>
          </rPr>
          <t>LPA:</t>
        </r>
        <r>
          <rPr>
            <sz val="9"/>
            <color indexed="81"/>
            <rFont val="Tahoma"/>
            <family val="2"/>
          </rPr>
          <t xml:space="preserve">
проверити збир!
</t>
        </r>
      </text>
    </comment>
    <comment ref="I4214" authorId="0">
      <text>
        <r>
          <rPr>
            <b/>
            <sz val="9"/>
            <color indexed="81"/>
            <rFont val="Tahoma"/>
            <family val="2"/>
          </rPr>
          <t>LPA:</t>
        </r>
        <r>
          <rPr>
            <sz val="9"/>
            <color indexed="81"/>
            <rFont val="Tahoma"/>
            <family val="2"/>
          </rPr>
          <t xml:space="preserve">
проверити збир!
</t>
        </r>
      </text>
    </comment>
    <comment ref="I4215" authorId="0">
      <text>
        <r>
          <rPr>
            <b/>
            <sz val="9"/>
            <color indexed="81"/>
            <rFont val="Tahoma"/>
            <family val="2"/>
          </rPr>
          <t>LPA:</t>
        </r>
        <r>
          <rPr>
            <sz val="9"/>
            <color indexed="81"/>
            <rFont val="Tahoma"/>
            <family val="2"/>
          </rPr>
          <t xml:space="preserve">
проверити збир!
</t>
        </r>
      </text>
    </comment>
    <comment ref="I4216" authorId="0">
      <text>
        <r>
          <rPr>
            <b/>
            <sz val="9"/>
            <color indexed="81"/>
            <rFont val="Tahoma"/>
            <family val="2"/>
          </rPr>
          <t>LPA:</t>
        </r>
        <r>
          <rPr>
            <sz val="9"/>
            <color indexed="81"/>
            <rFont val="Tahoma"/>
            <family val="2"/>
          </rPr>
          <t xml:space="preserve">
проверити збир!
</t>
        </r>
      </text>
    </comment>
    <comment ref="I4217" authorId="0">
      <text>
        <r>
          <rPr>
            <b/>
            <sz val="9"/>
            <color indexed="81"/>
            <rFont val="Tahoma"/>
            <family val="2"/>
          </rPr>
          <t>LPA:</t>
        </r>
        <r>
          <rPr>
            <sz val="9"/>
            <color indexed="81"/>
            <rFont val="Tahoma"/>
            <family val="2"/>
          </rPr>
          <t xml:space="preserve">
проверити збир!
</t>
        </r>
      </text>
    </comment>
    <comment ref="I4218" authorId="0">
      <text>
        <r>
          <rPr>
            <b/>
            <sz val="9"/>
            <color indexed="81"/>
            <rFont val="Tahoma"/>
            <family val="2"/>
          </rPr>
          <t>LPA:</t>
        </r>
        <r>
          <rPr>
            <sz val="9"/>
            <color indexed="81"/>
            <rFont val="Tahoma"/>
            <family val="2"/>
          </rPr>
          <t xml:space="preserve">
проверити збир!
</t>
        </r>
      </text>
    </comment>
    <comment ref="I4219" authorId="0">
      <text>
        <r>
          <rPr>
            <b/>
            <sz val="9"/>
            <color indexed="81"/>
            <rFont val="Tahoma"/>
            <family val="2"/>
          </rPr>
          <t>LPA:</t>
        </r>
        <r>
          <rPr>
            <sz val="9"/>
            <color indexed="81"/>
            <rFont val="Tahoma"/>
            <family val="2"/>
          </rPr>
          <t xml:space="preserve">
проверити збир!
</t>
        </r>
      </text>
    </comment>
    <comment ref="I4220" authorId="0">
      <text>
        <r>
          <rPr>
            <b/>
            <sz val="9"/>
            <color indexed="81"/>
            <rFont val="Tahoma"/>
            <family val="2"/>
          </rPr>
          <t>LPA:</t>
        </r>
        <r>
          <rPr>
            <sz val="9"/>
            <color indexed="81"/>
            <rFont val="Tahoma"/>
            <family val="2"/>
          </rPr>
          <t xml:space="preserve">
проверити збир!
</t>
        </r>
      </text>
    </comment>
    <comment ref="I4221" authorId="0">
      <text>
        <r>
          <rPr>
            <b/>
            <sz val="9"/>
            <color indexed="81"/>
            <rFont val="Tahoma"/>
            <family val="2"/>
          </rPr>
          <t>LPA:</t>
        </r>
        <r>
          <rPr>
            <sz val="9"/>
            <color indexed="81"/>
            <rFont val="Tahoma"/>
            <family val="2"/>
          </rPr>
          <t xml:space="preserve">
проверити збир!
</t>
        </r>
      </text>
    </comment>
    <comment ref="I4222" authorId="0">
      <text>
        <r>
          <rPr>
            <b/>
            <sz val="9"/>
            <color indexed="81"/>
            <rFont val="Tahoma"/>
            <family val="2"/>
          </rPr>
          <t>LPA:</t>
        </r>
        <r>
          <rPr>
            <sz val="9"/>
            <color indexed="81"/>
            <rFont val="Tahoma"/>
            <family val="2"/>
          </rPr>
          <t xml:space="preserve">
проверити збир!
</t>
        </r>
      </text>
    </comment>
    <comment ref="I4223" authorId="0">
      <text>
        <r>
          <rPr>
            <b/>
            <sz val="9"/>
            <color indexed="81"/>
            <rFont val="Tahoma"/>
            <family val="2"/>
          </rPr>
          <t>LPA:</t>
        </r>
        <r>
          <rPr>
            <sz val="9"/>
            <color indexed="81"/>
            <rFont val="Tahoma"/>
            <family val="2"/>
          </rPr>
          <t xml:space="preserve">
проверити збир!
</t>
        </r>
      </text>
    </comment>
    <comment ref="I4224" authorId="0">
      <text>
        <r>
          <rPr>
            <b/>
            <sz val="9"/>
            <color indexed="81"/>
            <rFont val="Tahoma"/>
            <family val="2"/>
          </rPr>
          <t>LPA:</t>
        </r>
        <r>
          <rPr>
            <sz val="9"/>
            <color indexed="81"/>
            <rFont val="Tahoma"/>
            <family val="2"/>
          </rPr>
          <t xml:space="preserve">
проверити збир!
</t>
        </r>
      </text>
    </comment>
    <comment ref="I4225" authorId="0">
      <text>
        <r>
          <rPr>
            <b/>
            <sz val="9"/>
            <color indexed="81"/>
            <rFont val="Tahoma"/>
            <family val="2"/>
          </rPr>
          <t>LPA:</t>
        </r>
        <r>
          <rPr>
            <sz val="9"/>
            <color indexed="81"/>
            <rFont val="Tahoma"/>
            <family val="2"/>
          </rPr>
          <t xml:space="preserve">
проверити збир!
</t>
        </r>
      </text>
    </comment>
    <comment ref="I4226" authorId="0">
      <text>
        <r>
          <rPr>
            <b/>
            <sz val="9"/>
            <color indexed="81"/>
            <rFont val="Tahoma"/>
            <family val="2"/>
          </rPr>
          <t>LPA:</t>
        </r>
        <r>
          <rPr>
            <sz val="9"/>
            <color indexed="81"/>
            <rFont val="Tahoma"/>
            <family val="2"/>
          </rPr>
          <t xml:space="preserve">
проверити збир!
</t>
        </r>
      </text>
    </comment>
    <comment ref="I4295" authorId="0">
      <text>
        <r>
          <rPr>
            <b/>
            <sz val="9"/>
            <color indexed="81"/>
            <rFont val="Tahoma"/>
            <family val="2"/>
          </rPr>
          <t>LPA:</t>
        </r>
        <r>
          <rPr>
            <sz val="9"/>
            <color indexed="81"/>
            <rFont val="Tahoma"/>
            <family val="2"/>
          </rPr>
          <t xml:space="preserve">
проверити збир!
</t>
        </r>
      </text>
    </comment>
    <comment ref="I4296" authorId="0">
      <text>
        <r>
          <rPr>
            <b/>
            <sz val="9"/>
            <color indexed="81"/>
            <rFont val="Tahoma"/>
            <family val="2"/>
          </rPr>
          <t>LPA:</t>
        </r>
        <r>
          <rPr>
            <sz val="9"/>
            <color indexed="81"/>
            <rFont val="Tahoma"/>
            <family val="2"/>
          </rPr>
          <t xml:space="preserve">
проверити збир!
</t>
        </r>
      </text>
    </comment>
    <comment ref="I4297" authorId="0">
      <text>
        <r>
          <rPr>
            <b/>
            <sz val="9"/>
            <color indexed="81"/>
            <rFont val="Tahoma"/>
            <family val="2"/>
          </rPr>
          <t>LPA:</t>
        </r>
        <r>
          <rPr>
            <sz val="9"/>
            <color indexed="81"/>
            <rFont val="Tahoma"/>
            <family val="2"/>
          </rPr>
          <t xml:space="preserve">
проверити збир!
</t>
        </r>
      </text>
    </comment>
    <comment ref="I4298" authorId="0">
      <text>
        <r>
          <rPr>
            <b/>
            <sz val="9"/>
            <color indexed="81"/>
            <rFont val="Tahoma"/>
            <family val="2"/>
          </rPr>
          <t>LPA:</t>
        </r>
        <r>
          <rPr>
            <sz val="9"/>
            <color indexed="81"/>
            <rFont val="Tahoma"/>
            <family val="2"/>
          </rPr>
          <t xml:space="preserve">
проверити збир!
</t>
        </r>
      </text>
    </comment>
    <comment ref="I4299" authorId="0">
      <text>
        <r>
          <rPr>
            <b/>
            <sz val="9"/>
            <color indexed="81"/>
            <rFont val="Tahoma"/>
            <family val="2"/>
          </rPr>
          <t>LPA:</t>
        </r>
        <r>
          <rPr>
            <sz val="9"/>
            <color indexed="81"/>
            <rFont val="Tahoma"/>
            <family val="2"/>
          </rPr>
          <t xml:space="preserve">
проверити збир!
</t>
        </r>
      </text>
    </comment>
    <comment ref="I4300" authorId="0">
      <text>
        <r>
          <rPr>
            <b/>
            <sz val="9"/>
            <color indexed="81"/>
            <rFont val="Tahoma"/>
            <family val="2"/>
          </rPr>
          <t>LPA:</t>
        </r>
        <r>
          <rPr>
            <sz val="9"/>
            <color indexed="81"/>
            <rFont val="Tahoma"/>
            <family val="2"/>
          </rPr>
          <t xml:space="preserve">
проверити збир!
</t>
        </r>
      </text>
    </comment>
    <comment ref="I4301" authorId="0">
      <text>
        <r>
          <rPr>
            <b/>
            <sz val="9"/>
            <color indexed="81"/>
            <rFont val="Tahoma"/>
            <family val="2"/>
          </rPr>
          <t>LPA:</t>
        </r>
        <r>
          <rPr>
            <sz val="9"/>
            <color indexed="81"/>
            <rFont val="Tahoma"/>
            <family val="2"/>
          </rPr>
          <t xml:space="preserve">
проверити збир!
</t>
        </r>
      </text>
    </comment>
    <comment ref="I4302" authorId="0">
      <text>
        <r>
          <rPr>
            <b/>
            <sz val="9"/>
            <color indexed="81"/>
            <rFont val="Tahoma"/>
            <family val="2"/>
          </rPr>
          <t>LPA:</t>
        </r>
        <r>
          <rPr>
            <sz val="9"/>
            <color indexed="81"/>
            <rFont val="Tahoma"/>
            <family val="2"/>
          </rPr>
          <t xml:space="preserve">
проверити збир!
</t>
        </r>
      </text>
    </comment>
    <comment ref="I4303" authorId="0">
      <text>
        <r>
          <rPr>
            <b/>
            <sz val="9"/>
            <color indexed="81"/>
            <rFont val="Tahoma"/>
            <family val="2"/>
          </rPr>
          <t>LPA:</t>
        </r>
        <r>
          <rPr>
            <sz val="9"/>
            <color indexed="81"/>
            <rFont val="Tahoma"/>
            <family val="2"/>
          </rPr>
          <t xml:space="preserve">
проверити збир!
</t>
        </r>
      </text>
    </comment>
    <comment ref="I4304" authorId="0">
      <text>
        <r>
          <rPr>
            <b/>
            <sz val="9"/>
            <color indexed="81"/>
            <rFont val="Tahoma"/>
            <family val="2"/>
          </rPr>
          <t>LPA:</t>
        </r>
        <r>
          <rPr>
            <sz val="9"/>
            <color indexed="81"/>
            <rFont val="Tahoma"/>
            <family val="2"/>
          </rPr>
          <t xml:space="preserve">
проверити збир!
</t>
        </r>
      </text>
    </comment>
    <comment ref="I4305" authorId="0">
      <text>
        <r>
          <rPr>
            <b/>
            <sz val="9"/>
            <color indexed="81"/>
            <rFont val="Tahoma"/>
            <family val="2"/>
          </rPr>
          <t>LPA:</t>
        </r>
        <r>
          <rPr>
            <sz val="9"/>
            <color indexed="81"/>
            <rFont val="Tahoma"/>
            <family val="2"/>
          </rPr>
          <t xml:space="preserve">
проверити збир!
</t>
        </r>
      </text>
    </comment>
    <comment ref="I4306" authorId="0">
      <text>
        <r>
          <rPr>
            <b/>
            <sz val="9"/>
            <color indexed="81"/>
            <rFont val="Tahoma"/>
            <family val="2"/>
          </rPr>
          <t>LPA:</t>
        </r>
        <r>
          <rPr>
            <sz val="9"/>
            <color indexed="81"/>
            <rFont val="Tahoma"/>
            <family val="2"/>
          </rPr>
          <t xml:space="preserve">
проверити збир!
</t>
        </r>
      </text>
    </comment>
    <comment ref="I4307" authorId="0">
      <text>
        <r>
          <rPr>
            <b/>
            <sz val="9"/>
            <color indexed="81"/>
            <rFont val="Tahoma"/>
            <family val="2"/>
          </rPr>
          <t>LPA:</t>
        </r>
        <r>
          <rPr>
            <sz val="9"/>
            <color indexed="81"/>
            <rFont val="Tahoma"/>
            <family val="2"/>
          </rPr>
          <t xml:space="preserve">
проверити збир!
</t>
        </r>
      </text>
    </comment>
    <comment ref="H4310" authorId="0">
      <text>
        <r>
          <rPr>
            <b/>
            <sz val="9"/>
            <color indexed="81"/>
            <rFont val="Tahoma"/>
            <family val="2"/>
          </rPr>
          <t>LPA:</t>
        </r>
        <r>
          <rPr>
            <sz val="9"/>
            <color indexed="81"/>
            <rFont val="Tahoma"/>
            <family val="2"/>
          </rPr>
          <t xml:space="preserve">
проверити збир!</t>
        </r>
      </text>
    </comment>
    <comment ref="I4310" authorId="0">
      <text>
        <r>
          <rPr>
            <b/>
            <sz val="9"/>
            <color indexed="81"/>
            <rFont val="Tahoma"/>
            <family val="2"/>
          </rPr>
          <t>LPA:</t>
        </r>
        <r>
          <rPr>
            <sz val="9"/>
            <color indexed="81"/>
            <rFont val="Tahoma"/>
            <family val="2"/>
          </rPr>
          <t xml:space="preserve">
проверити збир!</t>
        </r>
      </text>
    </comment>
    <comment ref="I4311" authorId="0">
      <text>
        <r>
          <rPr>
            <b/>
            <sz val="9"/>
            <color indexed="81"/>
            <rFont val="Tahoma"/>
            <family val="2"/>
          </rPr>
          <t>LPA:</t>
        </r>
        <r>
          <rPr>
            <sz val="9"/>
            <color indexed="81"/>
            <rFont val="Tahoma"/>
            <family val="2"/>
          </rPr>
          <t xml:space="preserve">
проверити збир!
</t>
        </r>
      </text>
    </comment>
    <comment ref="I4312" authorId="0">
      <text>
        <r>
          <rPr>
            <b/>
            <sz val="9"/>
            <color indexed="81"/>
            <rFont val="Tahoma"/>
            <family val="2"/>
          </rPr>
          <t>LPA:</t>
        </r>
        <r>
          <rPr>
            <sz val="9"/>
            <color indexed="81"/>
            <rFont val="Tahoma"/>
            <family val="2"/>
          </rPr>
          <t xml:space="preserve">
проверити збир!
</t>
        </r>
      </text>
    </comment>
    <comment ref="I4313" authorId="0">
      <text>
        <r>
          <rPr>
            <b/>
            <sz val="9"/>
            <color indexed="81"/>
            <rFont val="Tahoma"/>
            <family val="2"/>
          </rPr>
          <t>LPA:</t>
        </r>
        <r>
          <rPr>
            <sz val="9"/>
            <color indexed="81"/>
            <rFont val="Tahoma"/>
            <family val="2"/>
          </rPr>
          <t xml:space="preserve">
проверити збир!
</t>
        </r>
      </text>
    </comment>
    <comment ref="I4314" authorId="0">
      <text>
        <r>
          <rPr>
            <b/>
            <sz val="9"/>
            <color indexed="81"/>
            <rFont val="Tahoma"/>
            <family val="2"/>
          </rPr>
          <t>LPA:</t>
        </r>
        <r>
          <rPr>
            <sz val="9"/>
            <color indexed="81"/>
            <rFont val="Tahoma"/>
            <family val="2"/>
          </rPr>
          <t xml:space="preserve">
проверити збир!
</t>
        </r>
      </text>
    </comment>
    <comment ref="I4315" authorId="0">
      <text>
        <r>
          <rPr>
            <b/>
            <sz val="9"/>
            <color indexed="81"/>
            <rFont val="Tahoma"/>
            <family val="2"/>
          </rPr>
          <t>LPA:</t>
        </r>
        <r>
          <rPr>
            <sz val="9"/>
            <color indexed="81"/>
            <rFont val="Tahoma"/>
            <family val="2"/>
          </rPr>
          <t xml:space="preserve">
проверити збир!
</t>
        </r>
      </text>
    </comment>
    <comment ref="I4316" authorId="0">
      <text>
        <r>
          <rPr>
            <b/>
            <sz val="9"/>
            <color indexed="81"/>
            <rFont val="Tahoma"/>
            <family val="2"/>
          </rPr>
          <t>LPA:</t>
        </r>
        <r>
          <rPr>
            <sz val="9"/>
            <color indexed="81"/>
            <rFont val="Tahoma"/>
            <family val="2"/>
          </rPr>
          <t xml:space="preserve">
проверити збир!
</t>
        </r>
      </text>
    </comment>
    <comment ref="I4317" authorId="0">
      <text>
        <r>
          <rPr>
            <b/>
            <sz val="9"/>
            <color indexed="81"/>
            <rFont val="Tahoma"/>
            <family val="2"/>
          </rPr>
          <t>LPA:</t>
        </r>
        <r>
          <rPr>
            <sz val="9"/>
            <color indexed="81"/>
            <rFont val="Tahoma"/>
            <family val="2"/>
          </rPr>
          <t xml:space="preserve">
проверити збир!
</t>
        </r>
      </text>
    </comment>
    <comment ref="I4318" authorId="0">
      <text>
        <r>
          <rPr>
            <b/>
            <sz val="9"/>
            <color indexed="81"/>
            <rFont val="Tahoma"/>
            <family val="2"/>
          </rPr>
          <t>LPA:</t>
        </r>
        <r>
          <rPr>
            <sz val="9"/>
            <color indexed="81"/>
            <rFont val="Tahoma"/>
            <family val="2"/>
          </rPr>
          <t xml:space="preserve">
проверити збир!
</t>
        </r>
      </text>
    </comment>
    <comment ref="I4319" authorId="0">
      <text>
        <r>
          <rPr>
            <b/>
            <sz val="9"/>
            <color indexed="81"/>
            <rFont val="Tahoma"/>
            <family val="2"/>
          </rPr>
          <t>LPA:</t>
        </r>
        <r>
          <rPr>
            <sz val="9"/>
            <color indexed="81"/>
            <rFont val="Tahoma"/>
            <family val="2"/>
          </rPr>
          <t xml:space="preserve">
проверити збир!
</t>
        </r>
      </text>
    </comment>
    <comment ref="I4320" authorId="0">
      <text>
        <r>
          <rPr>
            <b/>
            <sz val="9"/>
            <color indexed="81"/>
            <rFont val="Tahoma"/>
            <family val="2"/>
          </rPr>
          <t>LPA:</t>
        </r>
        <r>
          <rPr>
            <sz val="9"/>
            <color indexed="81"/>
            <rFont val="Tahoma"/>
            <family val="2"/>
          </rPr>
          <t xml:space="preserve">
проверити збир!
</t>
        </r>
      </text>
    </comment>
    <comment ref="I4321" authorId="0">
      <text>
        <r>
          <rPr>
            <b/>
            <sz val="9"/>
            <color indexed="81"/>
            <rFont val="Tahoma"/>
            <family val="2"/>
          </rPr>
          <t>LPA:</t>
        </r>
        <r>
          <rPr>
            <sz val="9"/>
            <color indexed="81"/>
            <rFont val="Tahoma"/>
            <family val="2"/>
          </rPr>
          <t xml:space="preserve">
проверити збир!
</t>
        </r>
      </text>
    </comment>
    <comment ref="I4322" authorId="0">
      <text>
        <r>
          <rPr>
            <b/>
            <sz val="9"/>
            <color indexed="81"/>
            <rFont val="Tahoma"/>
            <family val="2"/>
          </rPr>
          <t>LPA:</t>
        </r>
        <r>
          <rPr>
            <sz val="9"/>
            <color indexed="81"/>
            <rFont val="Tahoma"/>
            <family val="2"/>
          </rPr>
          <t xml:space="preserve">
проверити збир!
</t>
        </r>
      </text>
    </comment>
    <comment ref="I4323" authorId="0">
      <text>
        <r>
          <rPr>
            <b/>
            <sz val="9"/>
            <color indexed="81"/>
            <rFont val="Tahoma"/>
            <family val="2"/>
          </rPr>
          <t>LPA:</t>
        </r>
        <r>
          <rPr>
            <sz val="9"/>
            <color indexed="81"/>
            <rFont val="Tahoma"/>
            <family val="2"/>
          </rPr>
          <t xml:space="preserve">
проверити збир!
</t>
        </r>
      </text>
    </comment>
    <comment ref="I4324" authorId="0">
      <text>
        <r>
          <rPr>
            <b/>
            <sz val="9"/>
            <color indexed="81"/>
            <rFont val="Tahoma"/>
            <family val="2"/>
          </rPr>
          <t>LPA:</t>
        </r>
        <r>
          <rPr>
            <sz val="9"/>
            <color indexed="81"/>
            <rFont val="Tahoma"/>
            <family val="2"/>
          </rPr>
          <t xml:space="preserve">
проверити збир!
</t>
        </r>
      </text>
    </comment>
    <comment ref="I4325" authorId="0">
      <text>
        <r>
          <rPr>
            <b/>
            <sz val="9"/>
            <color indexed="81"/>
            <rFont val="Tahoma"/>
            <family val="2"/>
          </rPr>
          <t>LPA:</t>
        </r>
        <r>
          <rPr>
            <sz val="9"/>
            <color indexed="81"/>
            <rFont val="Tahoma"/>
            <family val="2"/>
          </rPr>
          <t xml:space="preserve">
проверити збир!
</t>
        </r>
      </text>
    </comment>
    <comment ref="H4328" authorId="0">
      <text>
        <r>
          <rPr>
            <b/>
            <sz val="9"/>
            <color indexed="81"/>
            <rFont val="Tahoma"/>
            <family val="2"/>
          </rPr>
          <t>LPA:</t>
        </r>
        <r>
          <rPr>
            <sz val="9"/>
            <color indexed="81"/>
            <rFont val="Tahoma"/>
            <family val="2"/>
          </rPr>
          <t xml:space="preserve">
проверити збир!</t>
        </r>
      </text>
    </comment>
    <comment ref="I4328" authorId="0">
      <text>
        <r>
          <rPr>
            <b/>
            <sz val="9"/>
            <color indexed="81"/>
            <rFont val="Tahoma"/>
            <family val="2"/>
          </rPr>
          <t>LPA:</t>
        </r>
        <r>
          <rPr>
            <sz val="9"/>
            <color indexed="81"/>
            <rFont val="Tahoma"/>
            <family val="2"/>
          </rPr>
          <t xml:space="preserve">
проверити збир!
</t>
        </r>
      </text>
    </comment>
    <comment ref="I4329" authorId="0">
      <text>
        <r>
          <rPr>
            <b/>
            <sz val="9"/>
            <color indexed="81"/>
            <rFont val="Tahoma"/>
            <family val="2"/>
          </rPr>
          <t>LPA:</t>
        </r>
        <r>
          <rPr>
            <sz val="9"/>
            <color indexed="81"/>
            <rFont val="Tahoma"/>
            <family val="2"/>
          </rPr>
          <t xml:space="preserve">
проверити збир!
</t>
        </r>
      </text>
    </comment>
    <comment ref="I4330" authorId="0">
      <text>
        <r>
          <rPr>
            <b/>
            <sz val="9"/>
            <color indexed="81"/>
            <rFont val="Tahoma"/>
            <family val="2"/>
          </rPr>
          <t>LPA:</t>
        </r>
        <r>
          <rPr>
            <sz val="9"/>
            <color indexed="81"/>
            <rFont val="Tahoma"/>
            <family val="2"/>
          </rPr>
          <t xml:space="preserve">
проверити збир!
</t>
        </r>
      </text>
    </comment>
    <comment ref="I4331" authorId="0">
      <text>
        <r>
          <rPr>
            <b/>
            <sz val="9"/>
            <color indexed="81"/>
            <rFont val="Tahoma"/>
            <family val="2"/>
          </rPr>
          <t>LPA:</t>
        </r>
        <r>
          <rPr>
            <sz val="9"/>
            <color indexed="81"/>
            <rFont val="Tahoma"/>
            <family val="2"/>
          </rPr>
          <t xml:space="preserve">
проверити збир!
</t>
        </r>
      </text>
    </comment>
    <comment ref="I4332" authorId="0">
      <text>
        <r>
          <rPr>
            <b/>
            <sz val="9"/>
            <color indexed="81"/>
            <rFont val="Tahoma"/>
            <family val="2"/>
          </rPr>
          <t>LPA:</t>
        </r>
        <r>
          <rPr>
            <sz val="9"/>
            <color indexed="81"/>
            <rFont val="Tahoma"/>
            <family val="2"/>
          </rPr>
          <t xml:space="preserve">
проверити збир!
</t>
        </r>
      </text>
    </comment>
    <comment ref="I4333" authorId="0">
      <text>
        <r>
          <rPr>
            <b/>
            <sz val="9"/>
            <color indexed="81"/>
            <rFont val="Tahoma"/>
            <family val="2"/>
          </rPr>
          <t>LPA:</t>
        </r>
        <r>
          <rPr>
            <sz val="9"/>
            <color indexed="81"/>
            <rFont val="Tahoma"/>
            <family val="2"/>
          </rPr>
          <t xml:space="preserve">
проверити збир!
</t>
        </r>
      </text>
    </comment>
    <comment ref="I4334" authorId="0">
      <text>
        <r>
          <rPr>
            <b/>
            <sz val="9"/>
            <color indexed="81"/>
            <rFont val="Tahoma"/>
            <family val="2"/>
          </rPr>
          <t>LPA:</t>
        </r>
        <r>
          <rPr>
            <sz val="9"/>
            <color indexed="81"/>
            <rFont val="Tahoma"/>
            <family val="2"/>
          </rPr>
          <t xml:space="preserve">
проверити збир!
</t>
        </r>
      </text>
    </comment>
    <comment ref="I4335" authorId="0">
      <text>
        <r>
          <rPr>
            <b/>
            <sz val="9"/>
            <color indexed="81"/>
            <rFont val="Tahoma"/>
            <family val="2"/>
          </rPr>
          <t>LPA:</t>
        </r>
        <r>
          <rPr>
            <sz val="9"/>
            <color indexed="81"/>
            <rFont val="Tahoma"/>
            <family val="2"/>
          </rPr>
          <t xml:space="preserve">
проверити збир!
</t>
        </r>
      </text>
    </comment>
    <comment ref="I4336" authorId="0">
      <text>
        <r>
          <rPr>
            <b/>
            <sz val="9"/>
            <color indexed="81"/>
            <rFont val="Tahoma"/>
            <family val="2"/>
          </rPr>
          <t>LPA:</t>
        </r>
        <r>
          <rPr>
            <sz val="9"/>
            <color indexed="81"/>
            <rFont val="Tahoma"/>
            <family val="2"/>
          </rPr>
          <t xml:space="preserve">
проверити збир!
</t>
        </r>
      </text>
    </comment>
    <comment ref="I4337" authorId="0">
      <text>
        <r>
          <rPr>
            <b/>
            <sz val="9"/>
            <color indexed="81"/>
            <rFont val="Tahoma"/>
            <family val="2"/>
          </rPr>
          <t>LPA:</t>
        </r>
        <r>
          <rPr>
            <sz val="9"/>
            <color indexed="81"/>
            <rFont val="Tahoma"/>
            <family val="2"/>
          </rPr>
          <t xml:space="preserve">
проверити збир!
</t>
        </r>
      </text>
    </comment>
    <comment ref="I4338" authorId="0">
      <text>
        <r>
          <rPr>
            <b/>
            <sz val="9"/>
            <color indexed="81"/>
            <rFont val="Tahoma"/>
            <family val="2"/>
          </rPr>
          <t>LPA:</t>
        </r>
        <r>
          <rPr>
            <sz val="9"/>
            <color indexed="81"/>
            <rFont val="Tahoma"/>
            <family val="2"/>
          </rPr>
          <t xml:space="preserve">
проверити збир!
</t>
        </r>
      </text>
    </comment>
    <comment ref="I4339" authorId="0">
      <text>
        <r>
          <rPr>
            <b/>
            <sz val="9"/>
            <color indexed="81"/>
            <rFont val="Tahoma"/>
            <family val="2"/>
          </rPr>
          <t>LPA:</t>
        </r>
        <r>
          <rPr>
            <sz val="9"/>
            <color indexed="81"/>
            <rFont val="Tahoma"/>
            <family val="2"/>
          </rPr>
          <t xml:space="preserve">
проверити збир!
</t>
        </r>
      </text>
    </comment>
    <comment ref="I4340" authorId="0">
      <text>
        <r>
          <rPr>
            <b/>
            <sz val="9"/>
            <color indexed="81"/>
            <rFont val="Tahoma"/>
            <family val="2"/>
          </rPr>
          <t>LPA:</t>
        </r>
        <r>
          <rPr>
            <sz val="9"/>
            <color indexed="81"/>
            <rFont val="Tahoma"/>
            <family val="2"/>
          </rPr>
          <t xml:space="preserve">
проверити збир!
</t>
        </r>
      </text>
    </comment>
    <comment ref="I4341" authorId="0">
      <text>
        <r>
          <rPr>
            <b/>
            <sz val="9"/>
            <color indexed="81"/>
            <rFont val="Tahoma"/>
            <family val="2"/>
          </rPr>
          <t>LPA:</t>
        </r>
        <r>
          <rPr>
            <sz val="9"/>
            <color indexed="81"/>
            <rFont val="Tahoma"/>
            <family val="2"/>
          </rPr>
          <t xml:space="preserve">
проверити збир!
</t>
        </r>
      </text>
    </comment>
    <comment ref="I4342" authorId="0">
      <text>
        <r>
          <rPr>
            <b/>
            <sz val="9"/>
            <color indexed="81"/>
            <rFont val="Tahoma"/>
            <family val="2"/>
          </rPr>
          <t>LPA:</t>
        </r>
        <r>
          <rPr>
            <sz val="9"/>
            <color indexed="81"/>
            <rFont val="Tahoma"/>
            <family val="2"/>
          </rPr>
          <t xml:space="preserve">
проверити збир!
</t>
        </r>
      </text>
    </comment>
    <comment ref="I4343" authorId="0">
      <text>
        <r>
          <rPr>
            <b/>
            <sz val="9"/>
            <color indexed="81"/>
            <rFont val="Tahoma"/>
            <family val="2"/>
          </rPr>
          <t>LPA:</t>
        </r>
        <r>
          <rPr>
            <sz val="9"/>
            <color indexed="81"/>
            <rFont val="Tahoma"/>
            <family val="2"/>
          </rPr>
          <t xml:space="preserve">
проверити збир!
</t>
        </r>
      </text>
    </comment>
    <comment ref="I4457" authorId="0">
      <text>
        <r>
          <rPr>
            <b/>
            <sz val="9"/>
            <color indexed="81"/>
            <rFont val="Tahoma"/>
            <family val="2"/>
          </rPr>
          <t>LPA:</t>
        </r>
        <r>
          <rPr>
            <sz val="9"/>
            <color indexed="81"/>
            <rFont val="Tahoma"/>
            <family val="2"/>
          </rPr>
          <t xml:space="preserve">
проверити збир!
</t>
        </r>
      </text>
    </comment>
    <comment ref="I4458" authorId="0">
      <text>
        <r>
          <rPr>
            <b/>
            <sz val="9"/>
            <color indexed="81"/>
            <rFont val="Tahoma"/>
            <family val="2"/>
          </rPr>
          <t>LPA:</t>
        </r>
        <r>
          <rPr>
            <sz val="9"/>
            <color indexed="81"/>
            <rFont val="Tahoma"/>
            <family val="2"/>
          </rPr>
          <t xml:space="preserve">
проверити збир!
</t>
        </r>
      </text>
    </comment>
    <comment ref="I4459" authorId="0">
      <text>
        <r>
          <rPr>
            <b/>
            <sz val="9"/>
            <color indexed="81"/>
            <rFont val="Tahoma"/>
            <family val="2"/>
          </rPr>
          <t>LPA:</t>
        </r>
        <r>
          <rPr>
            <sz val="9"/>
            <color indexed="81"/>
            <rFont val="Tahoma"/>
            <family val="2"/>
          </rPr>
          <t xml:space="preserve">
проверити збир!
</t>
        </r>
      </text>
    </comment>
    <comment ref="I4460" authorId="0">
      <text>
        <r>
          <rPr>
            <b/>
            <sz val="9"/>
            <color indexed="81"/>
            <rFont val="Tahoma"/>
            <family val="2"/>
          </rPr>
          <t>LPA:</t>
        </r>
        <r>
          <rPr>
            <sz val="9"/>
            <color indexed="81"/>
            <rFont val="Tahoma"/>
            <family val="2"/>
          </rPr>
          <t xml:space="preserve">
проверити збир!
</t>
        </r>
      </text>
    </comment>
    <comment ref="I4461" authorId="0">
      <text>
        <r>
          <rPr>
            <b/>
            <sz val="9"/>
            <color indexed="81"/>
            <rFont val="Tahoma"/>
            <family val="2"/>
          </rPr>
          <t>LPA:</t>
        </r>
        <r>
          <rPr>
            <sz val="9"/>
            <color indexed="81"/>
            <rFont val="Tahoma"/>
            <family val="2"/>
          </rPr>
          <t xml:space="preserve">
проверити збир!
</t>
        </r>
      </text>
    </comment>
    <comment ref="I4462" authorId="0">
      <text>
        <r>
          <rPr>
            <b/>
            <sz val="9"/>
            <color indexed="81"/>
            <rFont val="Tahoma"/>
            <family val="2"/>
          </rPr>
          <t>LPA:</t>
        </r>
        <r>
          <rPr>
            <sz val="9"/>
            <color indexed="81"/>
            <rFont val="Tahoma"/>
            <family val="2"/>
          </rPr>
          <t xml:space="preserve">
проверити збир!
</t>
        </r>
      </text>
    </comment>
    <comment ref="I4463" authorId="0">
      <text>
        <r>
          <rPr>
            <b/>
            <sz val="9"/>
            <color indexed="81"/>
            <rFont val="Tahoma"/>
            <family val="2"/>
          </rPr>
          <t>LPA:</t>
        </r>
        <r>
          <rPr>
            <sz val="9"/>
            <color indexed="81"/>
            <rFont val="Tahoma"/>
            <family val="2"/>
          </rPr>
          <t xml:space="preserve">
проверити збир!
</t>
        </r>
      </text>
    </comment>
    <comment ref="I4464" authorId="0">
      <text>
        <r>
          <rPr>
            <b/>
            <sz val="9"/>
            <color indexed="81"/>
            <rFont val="Tahoma"/>
            <family val="2"/>
          </rPr>
          <t>LPA:</t>
        </r>
        <r>
          <rPr>
            <sz val="9"/>
            <color indexed="81"/>
            <rFont val="Tahoma"/>
            <family val="2"/>
          </rPr>
          <t xml:space="preserve">
проверити збир!
</t>
        </r>
      </text>
    </comment>
    <comment ref="I4465" authorId="0">
      <text>
        <r>
          <rPr>
            <b/>
            <sz val="9"/>
            <color indexed="81"/>
            <rFont val="Tahoma"/>
            <family val="2"/>
          </rPr>
          <t>LPA:</t>
        </r>
        <r>
          <rPr>
            <sz val="9"/>
            <color indexed="81"/>
            <rFont val="Tahoma"/>
            <family val="2"/>
          </rPr>
          <t xml:space="preserve">
проверити збир!
</t>
        </r>
      </text>
    </comment>
    <comment ref="I4466" authorId="0">
      <text>
        <r>
          <rPr>
            <b/>
            <sz val="9"/>
            <color indexed="81"/>
            <rFont val="Tahoma"/>
            <family val="2"/>
          </rPr>
          <t>LPA:</t>
        </r>
        <r>
          <rPr>
            <sz val="9"/>
            <color indexed="81"/>
            <rFont val="Tahoma"/>
            <family val="2"/>
          </rPr>
          <t xml:space="preserve">
проверити збир!
</t>
        </r>
      </text>
    </comment>
    <comment ref="I4467" authorId="0">
      <text>
        <r>
          <rPr>
            <b/>
            <sz val="9"/>
            <color indexed="81"/>
            <rFont val="Tahoma"/>
            <family val="2"/>
          </rPr>
          <t>LPA:</t>
        </r>
        <r>
          <rPr>
            <sz val="9"/>
            <color indexed="81"/>
            <rFont val="Tahoma"/>
            <family val="2"/>
          </rPr>
          <t xml:space="preserve">
проверити збир!
</t>
        </r>
      </text>
    </comment>
    <comment ref="I4468" authorId="0">
      <text>
        <r>
          <rPr>
            <b/>
            <sz val="9"/>
            <color indexed="81"/>
            <rFont val="Tahoma"/>
            <family val="2"/>
          </rPr>
          <t>LPA:</t>
        </r>
        <r>
          <rPr>
            <sz val="9"/>
            <color indexed="81"/>
            <rFont val="Tahoma"/>
            <family val="2"/>
          </rPr>
          <t xml:space="preserve">
проверити збир!
</t>
        </r>
      </text>
    </comment>
    <comment ref="I4469" authorId="0">
      <text>
        <r>
          <rPr>
            <b/>
            <sz val="9"/>
            <color indexed="81"/>
            <rFont val="Tahoma"/>
            <family val="2"/>
          </rPr>
          <t>LPA:</t>
        </r>
        <r>
          <rPr>
            <sz val="9"/>
            <color indexed="81"/>
            <rFont val="Tahoma"/>
            <family val="2"/>
          </rPr>
          <t xml:space="preserve">
проверити збир!
</t>
        </r>
      </text>
    </comment>
    <comment ref="H4472" authorId="0">
      <text>
        <r>
          <rPr>
            <b/>
            <sz val="9"/>
            <color indexed="81"/>
            <rFont val="Tahoma"/>
            <family val="2"/>
          </rPr>
          <t>LPA:</t>
        </r>
        <r>
          <rPr>
            <sz val="9"/>
            <color indexed="81"/>
            <rFont val="Tahoma"/>
            <family val="2"/>
          </rPr>
          <t xml:space="preserve">
проверити збир!</t>
        </r>
      </text>
    </comment>
    <comment ref="I4472" authorId="0">
      <text>
        <r>
          <rPr>
            <b/>
            <sz val="9"/>
            <color indexed="81"/>
            <rFont val="Tahoma"/>
            <family val="2"/>
          </rPr>
          <t>LPA:</t>
        </r>
        <r>
          <rPr>
            <sz val="9"/>
            <color indexed="81"/>
            <rFont val="Tahoma"/>
            <family val="2"/>
          </rPr>
          <t xml:space="preserve">
проверити збир!</t>
        </r>
      </text>
    </comment>
    <comment ref="I4473" authorId="0">
      <text>
        <r>
          <rPr>
            <b/>
            <sz val="9"/>
            <color indexed="81"/>
            <rFont val="Tahoma"/>
            <family val="2"/>
          </rPr>
          <t>LPA:</t>
        </r>
        <r>
          <rPr>
            <sz val="9"/>
            <color indexed="81"/>
            <rFont val="Tahoma"/>
            <family val="2"/>
          </rPr>
          <t xml:space="preserve">
проверити збир!
</t>
        </r>
      </text>
    </comment>
    <comment ref="I4474" authorId="0">
      <text>
        <r>
          <rPr>
            <b/>
            <sz val="9"/>
            <color indexed="81"/>
            <rFont val="Tahoma"/>
            <family val="2"/>
          </rPr>
          <t>LPA:</t>
        </r>
        <r>
          <rPr>
            <sz val="9"/>
            <color indexed="81"/>
            <rFont val="Tahoma"/>
            <family val="2"/>
          </rPr>
          <t xml:space="preserve">
проверити збир!
</t>
        </r>
      </text>
    </comment>
    <comment ref="I4475" authorId="0">
      <text>
        <r>
          <rPr>
            <b/>
            <sz val="9"/>
            <color indexed="81"/>
            <rFont val="Tahoma"/>
            <family val="2"/>
          </rPr>
          <t>LPA:</t>
        </r>
        <r>
          <rPr>
            <sz val="9"/>
            <color indexed="81"/>
            <rFont val="Tahoma"/>
            <family val="2"/>
          </rPr>
          <t xml:space="preserve">
проверити збир!
</t>
        </r>
      </text>
    </comment>
    <comment ref="I4476" authorId="0">
      <text>
        <r>
          <rPr>
            <b/>
            <sz val="9"/>
            <color indexed="81"/>
            <rFont val="Tahoma"/>
            <family val="2"/>
          </rPr>
          <t>LPA:</t>
        </r>
        <r>
          <rPr>
            <sz val="9"/>
            <color indexed="81"/>
            <rFont val="Tahoma"/>
            <family val="2"/>
          </rPr>
          <t xml:space="preserve">
проверити збир!
</t>
        </r>
      </text>
    </comment>
    <comment ref="I4477" authorId="0">
      <text>
        <r>
          <rPr>
            <b/>
            <sz val="9"/>
            <color indexed="81"/>
            <rFont val="Tahoma"/>
            <family val="2"/>
          </rPr>
          <t>LPA:</t>
        </r>
        <r>
          <rPr>
            <sz val="9"/>
            <color indexed="81"/>
            <rFont val="Tahoma"/>
            <family val="2"/>
          </rPr>
          <t xml:space="preserve">
проверити збир!
</t>
        </r>
      </text>
    </comment>
    <comment ref="I4478" authorId="0">
      <text>
        <r>
          <rPr>
            <b/>
            <sz val="9"/>
            <color indexed="81"/>
            <rFont val="Tahoma"/>
            <family val="2"/>
          </rPr>
          <t>LPA:</t>
        </r>
        <r>
          <rPr>
            <sz val="9"/>
            <color indexed="81"/>
            <rFont val="Tahoma"/>
            <family val="2"/>
          </rPr>
          <t xml:space="preserve">
проверити збир!
</t>
        </r>
      </text>
    </comment>
    <comment ref="I4479" authorId="0">
      <text>
        <r>
          <rPr>
            <b/>
            <sz val="9"/>
            <color indexed="81"/>
            <rFont val="Tahoma"/>
            <family val="2"/>
          </rPr>
          <t>LPA:</t>
        </r>
        <r>
          <rPr>
            <sz val="9"/>
            <color indexed="81"/>
            <rFont val="Tahoma"/>
            <family val="2"/>
          </rPr>
          <t xml:space="preserve">
проверити збир!
</t>
        </r>
      </text>
    </comment>
    <comment ref="I4480" authorId="0">
      <text>
        <r>
          <rPr>
            <b/>
            <sz val="9"/>
            <color indexed="81"/>
            <rFont val="Tahoma"/>
            <family val="2"/>
          </rPr>
          <t>LPA:</t>
        </r>
        <r>
          <rPr>
            <sz val="9"/>
            <color indexed="81"/>
            <rFont val="Tahoma"/>
            <family val="2"/>
          </rPr>
          <t xml:space="preserve">
проверити збир!
</t>
        </r>
      </text>
    </comment>
    <comment ref="I4481" authorId="0">
      <text>
        <r>
          <rPr>
            <b/>
            <sz val="9"/>
            <color indexed="81"/>
            <rFont val="Tahoma"/>
            <family val="2"/>
          </rPr>
          <t>LPA:</t>
        </r>
        <r>
          <rPr>
            <sz val="9"/>
            <color indexed="81"/>
            <rFont val="Tahoma"/>
            <family val="2"/>
          </rPr>
          <t xml:space="preserve">
проверити збир!
</t>
        </r>
      </text>
    </comment>
    <comment ref="I4482" authorId="0">
      <text>
        <r>
          <rPr>
            <b/>
            <sz val="9"/>
            <color indexed="81"/>
            <rFont val="Tahoma"/>
            <family val="2"/>
          </rPr>
          <t>LPA:</t>
        </r>
        <r>
          <rPr>
            <sz val="9"/>
            <color indexed="81"/>
            <rFont val="Tahoma"/>
            <family val="2"/>
          </rPr>
          <t xml:space="preserve">
проверити збир!
</t>
        </r>
      </text>
    </comment>
    <comment ref="I4483" authorId="0">
      <text>
        <r>
          <rPr>
            <b/>
            <sz val="9"/>
            <color indexed="81"/>
            <rFont val="Tahoma"/>
            <family val="2"/>
          </rPr>
          <t>LPA:</t>
        </r>
        <r>
          <rPr>
            <sz val="9"/>
            <color indexed="81"/>
            <rFont val="Tahoma"/>
            <family val="2"/>
          </rPr>
          <t xml:space="preserve">
проверити збир!
</t>
        </r>
      </text>
    </comment>
    <comment ref="I4484" authorId="0">
      <text>
        <r>
          <rPr>
            <b/>
            <sz val="9"/>
            <color indexed="81"/>
            <rFont val="Tahoma"/>
            <family val="2"/>
          </rPr>
          <t>LPA:</t>
        </r>
        <r>
          <rPr>
            <sz val="9"/>
            <color indexed="81"/>
            <rFont val="Tahoma"/>
            <family val="2"/>
          </rPr>
          <t xml:space="preserve">
проверити збир!
</t>
        </r>
      </text>
    </comment>
    <comment ref="I4485" authorId="0">
      <text>
        <r>
          <rPr>
            <b/>
            <sz val="9"/>
            <color indexed="81"/>
            <rFont val="Tahoma"/>
            <family val="2"/>
          </rPr>
          <t>LPA:</t>
        </r>
        <r>
          <rPr>
            <sz val="9"/>
            <color indexed="81"/>
            <rFont val="Tahoma"/>
            <family val="2"/>
          </rPr>
          <t xml:space="preserve">
проверити збир!
</t>
        </r>
      </text>
    </comment>
    <comment ref="I4486" authorId="0">
      <text>
        <r>
          <rPr>
            <b/>
            <sz val="9"/>
            <color indexed="81"/>
            <rFont val="Tahoma"/>
            <family val="2"/>
          </rPr>
          <t>LPA:</t>
        </r>
        <r>
          <rPr>
            <sz val="9"/>
            <color indexed="81"/>
            <rFont val="Tahoma"/>
            <family val="2"/>
          </rPr>
          <t xml:space="preserve">
проверити збир!
</t>
        </r>
      </text>
    </comment>
    <comment ref="I4487" authorId="0">
      <text>
        <r>
          <rPr>
            <b/>
            <sz val="9"/>
            <color indexed="81"/>
            <rFont val="Tahoma"/>
            <family val="2"/>
          </rPr>
          <t>LPA:</t>
        </r>
        <r>
          <rPr>
            <sz val="9"/>
            <color indexed="81"/>
            <rFont val="Tahoma"/>
            <family val="2"/>
          </rPr>
          <t xml:space="preserve">
проверити збир!
</t>
        </r>
      </text>
    </comment>
    <comment ref="H4490" authorId="0">
      <text>
        <r>
          <rPr>
            <b/>
            <sz val="9"/>
            <color indexed="81"/>
            <rFont val="Tahoma"/>
            <family val="2"/>
          </rPr>
          <t>LPA:</t>
        </r>
        <r>
          <rPr>
            <sz val="9"/>
            <color indexed="81"/>
            <rFont val="Tahoma"/>
            <family val="2"/>
          </rPr>
          <t xml:space="preserve">
проверити збир!</t>
        </r>
      </text>
    </comment>
    <comment ref="I4490" authorId="0">
      <text>
        <r>
          <rPr>
            <b/>
            <sz val="9"/>
            <color indexed="81"/>
            <rFont val="Tahoma"/>
            <family val="2"/>
          </rPr>
          <t>LPA:</t>
        </r>
        <r>
          <rPr>
            <sz val="9"/>
            <color indexed="81"/>
            <rFont val="Tahoma"/>
            <family val="2"/>
          </rPr>
          <t xml:space="preserve">
проверити збир!
</t>
        </r>
      </text>
    </comment>
    <comment ref="I4491" authorId="0">
      <text>
        <r>
          <rPr>
            <b/>
            <sz val="9"/>
            <color indexed="81"/>
            <rFont val="Tahoma"/>
            <family val="2"/>
          </rPr>
          <t>LPA:</t>
        </r>
        <r>
          <rPr>
            <sz val="9"/>
            <color indexed="81"/>
            <rFont val="Tahoma"/>
            <family val="2"/>
          </rPr>
          <t xml:space="preserve">
проверити збир!
</t>
        </r>
      </text>
    </comment>
    <comment ref="I4492" authorId="0">
      <text>
        <r>
          <rPr>
            <b/>
            <sz val="9"/>
            <color indexed="81"/>
            <rFont val="Tahoma"/>
            <family val="2"/>
          </rPr>
          <t>LPA:</t>
        </r>
        <r>
          <rPr>
            <sz val="9"/>
            <color indexed="81"/>
            <rFont val="Tahoma"/>
            <family val="2"/>
          </rPr>
          <t xml:space="preserve">
проверити збир!
</t>
        </r>
      </text>
    </comment>
    <comment ref="I4493" authorId="0">
      <text>
        <r>
          <rPr>
            <b/>
            <sz val="9"/>
            <color indexed="81"/>
            <rFont val="Tahoma"/>
            <family val="2"/>
          </rPr>
          <t>LPA:</t>
        </r>
        <r>
          <rPr>
            <sz val="9"/>
            <color indexed="81"/>
            <rFont val="Tahoma"/>
            <family val="2"/>
          </rPr>
          <t xml:space="preserve">
проверити збир!
</t>
        </r>
      </text>
    </comment>
    <comment ref="I4494" authorId="0">
      <text>
        <r>
          <rPr>
            <b/>
            <sz val="9"/>
            <color indexed="81"/>
            <rFont val="Tahoma"/>
            <family val="2"/>
          </rPr>
          <t>LPA:</t>
        </r>
        <r>
          <rPr>
            <sz val="9"/>
            <color indexed="81"/>
            <rFont val="Tahoma"/>
            <family val="2"/>
          </rPr>
          <t xml:space="preserve">
проверити збир!
</t>
        </r>
      </text>
    </comment>
    <comment ref="I4495" authorId="0">
      <text>
        <r>
          <rPr>
            <b/>
            <sz val="9"/>
            <color indexed="81"/>
            <rFont val="Tahoma"/>
            <family val="2"/>
          </rPr>
          <t>LPA:</t>
        </r>
        <r>
          <rPr>
            <sz val="9"/>
            <color indexed="81"/>
            <rFont val="Tahoma"/>
            <family val="2"/>
          </rPr>
          <t xml:space="preserve">
проверити збир!
</t>
        </r>
      </text>
    </comment>
    <comment ref="I4496" authorId="0">
      <text>
        <r>
          <rPr>
            <b/>
            <sz val="9"/>
            <color indexed="81"/>
            <rFont val="Tahoma"/>
            <family val="2"/>
          </rPr>
          <t>LPA:</t>
        </r>
        <r>
          <rPr>
            <sz val="9"/>
            <color indexed="81"/>
            <rFont val="Tahoma"/>
            <family val="2"/>
          </rPr>
          <t xml:space="preserve">
проверити збир!
</t>
        </r>
      </text>
    </comment>
    <comment ref="I4497" authorId="0">
      <text>
        <r>
          <rPr>
            <b/>
            <sz val="9"/>
            <color indexed="81"/>
            <rFont val="Tahoma"/>
            <family val="2"/>
          </rPr>
          <t>LPA:</t>
        </r>
        <r>
          <rPr>
            <sz val="9"/>
            <color indexed="81"/>
            <rFont val="Tahoma"/>
            <family val="2"/>
          </rPr>
          <t xml:space="preserve">
проверити збир!
</t>
        </r>
      </text>
    </comment>
    <comment ref="I4498" authorId="0">
      <text>
        <r>
          <rPr>
            <b/>
            <sz val="9"/>
            <color indexed="81"/>
            <rFont val="Tahoma"/>
            <family val="2"/>
          </rPr>
          <t>LPA:</t>
        </r>
        <r>
          <rPr>
            <sz val="9"/>
            <color indexed="81"/>
            <rFont val="Tahoma"/>
            <family val="2"/>
          </rPr>
          <t xml:space="preserve">
проверити збир!
</t>
        </r>
      </text>
    </comment>
    <comment ref="I4499" authorId="0">
      <text>
        <r>
          <rPr>
            <b/>
            <sz val="9"/>
            <color indexed="81"/>
            <rFont val="Tahoma"/>
            <family val="2"/>
          </rPr>
          <t>LPA:</t>
        </r>
        <r>
          <rPr>
            <sz val="9"/>
            <color indexed="81"/>
            <rFont val="Tahoma"/>
            <family val="2"/>
          </rPr>
          <t xml:space="preserve">
проверити збир!
</t>
        </r>
      </text>
    </comment>
    <comment ref="I4500" authorId="0">
      <text>
        <r>
          <rPr>
            <b/>
            <sz val="9"/>
            <color indexed="81"/>
            <rFont val="Tahoma"/>
            <family val="2"/>
          </rPr>
          <t>LPA:</t>
        </r>
        <r>
          <rPr>
            <sz val="9"/>
            <color indexed="81"/>
            <rFont val="Tahoma"/>
            <family val="2"/>
          </rPr>
          <t xml:space="preserve">
проверити збир!
</t>
        </r>
      </text>
    </comment>
    <comment ref="I4501" authorId="0">
      <text>
        <r>
          <rPr>
            <b/>
            <sz val="9"/>
            <color indexed="81"/>
            <rFont val="Tahoma"/>
            <family val="2"/>
          </rPr>
          <t>LPA:</t>
        </r>
        <r>
          <rPr>
            <sz val="9"/>
            <color indexed="81"/>
            <rFont val="Tahoma"/>
            <family val="2"/>
          </rPr>
          <t xml:space="preserve">
проверити збир!
</t>
        </r>
      </text>
    </comment>
    <comment ref="I4502" authorId="0">
      <text>
        <r>
          <rPr>
            <b/>
            <sz val="9"/>
            <color indexed="81"/>
            <rFont val="Tahoma"/>
            <family val="2"/>
          </rPr>
          <t>LPA:</t>
        </r>
        <r>
          <rPr>
            <sz val="9"/>
            <color indexed="81"/>
            <rFont val="Tahoma"/>
            <family val="2"/>
          </rPr>
          <t xml:space="preserve">
проверити збир!
</t>
        </r>
      </text>
    </comment>
    <comment ref="I4503" authorId="0">
      <text>
        <r>
          <rPr>
            <b/>
            <sz val="9"/>
            <color indexed="81"/>
            <rFont val="Tahoma"/>
            <family val="2"/>
          </rPr>
          <t>LPA:</t>
        </r>
        <r>
          <rPr>
            <sz val="9"/>
            <color indexed="81"/>
            <rFont val="Tahoma"/>
            <family val="2"/>
          </rPr>
          <t xml:space="preserve">
проверити збир!
</t>
        </r>
      </text>
    </comment>
    <comment ref="I4504" authorId="0">
      <text>
        <r>
          <rPr>
            <b/>
            <sz val="9"/>
            <color indexed="81"/>
            <rFont val="Tahoma"/>
            <family val="2"/>
          </rPr>
          <t>LPA:</t>
        </r>
        <r>
          <rPr>
            <sz val="9"/>
            <color indexed="81"/>
            <rFont val="Tahoma"/>
            <family val="2"/>
          </rPr>
          <t xml:space="preserve">
проверити збир!
</t>
        </r>
      </text>
    </comment>
    <comment ref="I4505" authorId="0">
      <text>
        <r>
          <rPr>
            <b/>
            <sz val="9"/>
            <color indexed="81"/>
            <rFont val="Tahoma"/>
            <family val="2"/>
          </rPr>
          <t>LPA:</t>
        </r>
        <r>
          <rPr>
            <sz val="9"/>
            <color indexed="81"/>
            <rFont val="Tahoma"/>
            <family val="2"/>
          </rPr>
          <t xml:space="preserve">
проверити збир!
</t>
        </r>
      </text>
    </comment>
    <comment ref="I4636" authorId="0">
      <text>
        <r>
          <rPr>
            <b/>
            <sz val="9"/>
            <color indexed="81"/>
            <rFont val="Tahoma"/>
            <family val="2"/>
          </rPr>
          <t>LPA:</t>
        </r>
        <r>
          <rPr>
            <sz val="9"/>
            <color indexed="81"/>
            <rFont val="Tahoma"/>
            <family val="2"/>
          </rPr>
          <t xml:space="preserve">
проверити збир!
</t>
        </r>
      </text>
    </comment>
    <comment ref="I4637" authorId="0">
      <text>
        <r>
          <rPr>
            <b/>
            <sz val="9"/>
            <color indexed="81"/>
            <rFont val="Tahoma"/>
            <family val="2"/>
          </rPr>
          <t>LPA:</t>
        </r>
        <r>
          <rPr>
            <sz val="9"/>
            <color indexed="81"/>
            <rFont val="Tahoma"/>
            <family val="2"/>
          </rPr>
          <t xml:space="preserve">
проверити збир!
</t>
        </r>
      </text>
    </comment>
    <comment ref="I4638" authorId="0">
      <text>
        <r>
          <rPr>
            <b/>
            <sz val="9"/>
            <color indexed="81"/>
            <rFont val="Tahoma"/>
            <family val="2"/>
          </rPr>
          <t>LPA:</t>
        </r>
        <r>
          <rPr>
            <sz val="9"/>
            <color indexed="81"/>
            <rFont val="Tahoma"/>
            <family val="2"/>
          </rPr>
          <t xml:space="preserve">
проверити збир!
</t>
        </r>
      </text>
    </comment>
    <comment ref="I4639" authorId="0">
      <text>
        <r>
          <rPr>
            <b/>
            <sz val="9"/>
            <color indexed="81"/>
            <rFont val="Tahoma"/>
            <family val="2"/>
          </rPr>
          <t>LPA:</t>
        </r>
        <r>
          <rPr>
            <sz val="9"/>
            <color indexed="81"/>
            <rFont val="Tahoma"/>
            <family val="2"/>
          </rPr>
          <t xml:space="preserve">
проверити збир!
</t>
        </r>
      </text>
    </comment>
    <comment ref="I4640" authorId="0">
      <text>
        <r>
          <rPr>
            <b/>
            <sz val="9"/>
            <color indexed="81"/>
            <rFont val="Tahoma"/>
            <family val="2"/>
          </rPr>
          <t>LPA:</t>
        </r>
        <r>
          <rPr>
            <sz val="9"/>
            <color indexed="81"/>
            <rFont val="Tahoma"/>
            <family val="2"/>
          </rPr>
          <t xml:space="preserve">
проверити збир!
</t>
        </r>
      </text>
    </comment>
    <comment ref="I4641" authorId="0">
      <text>
        <r>
          <rPr>
            <b/>
            <sz val="9"/>
            <color indexed="81"/>
            <rFont val="Tahoma"/>
            <family val="2"/>
          </rPr>
          <t>LPA:</t>
        </r>
        <r>
          <rPr>
            <sz val="9"/>
            <color indexed="81"/>
            <rFont val="Tahoma"/>
            <family val="2"/>
          </rPr>
          <t xml:space="preserve">
проверити збир!
</t>
        </r>
      </text>
    </comment>
    <comment ref="I4642" authorId="0">
      <text>
        <r>
          <rPr>
            <b/>
            <sz val="9"/>
            <color indexed="81"/>
            <rFont val="Tahoma"/>
            <family val="2"/>
          </rPr>
          <t>LPA:</t>
        </r>
        <r>
          <rPr>
            <sz val="9"/>
            <color indexed="81"/>
            <rFont val="Tahoma"/>
            <family val="2"/>
          </rPr>
          <t xml:space="preserve">
проверити збир!
</t>
        </r>
      </text>
    </comment>
    <comment ref="I4643" authorId="0">
      <text>
        <r>
          <rPr>
            <b/>
            <sz val="9"/>
            <color indexed="81"/>
            <rFont val="Tahoma"/>
            <family val="2"/>
          </rPr>
          <t>LPA:</t>
        </r>
        <r>
          <rPr>
            <sz val="9"/>
            <color indexed="81"/>
            <rFont val="Tahoma"/>
            <family val="2"/>
          </rPr>
          <t xml:space="preserve">
проверити збир!
</t>
        </r>
      </text>
    </comment>
    <comment ref="I4644" authorId="0">
      <text>
        <r>
          <rPr>
            <b/>
            <sz val="9"/>
            <color indexed="81"/>
            <rFont val="Tahoma"/>
            <family val="2"/>
          </rPr>
          <t>LPA:</t>
        </r>
        <r>
          <rPr>
            <sz val="9"/>
            <color indexed="81"/>
            <rFont val="Tahoma"/>
            <family val="2"/>
          </rPr>
          <t xml:space="preserve">
проверити збир!
</t>
        </r>
      </text>
    </comment>
    <comment ref="I4645" authorId="0">
      <text>
        <r>
          <rPr>
            <b/>
            <sz val="9"/>
            <color indexed="81"/>
            <rFont val="Tahoma"/>
            <family val="2"/>
          </rPr>
          <t>LPA:</t>
        </r>
        <r>
          <rPr>
            <sz val="9"/>
            <color indexed="81"/>
            <rFont val="Tahoma"/>
            <family val="2"/>
          </rPr>
          <t xml:space="preserve">
проверити збир!
</t>
        </r>
      </text>
    </comment>
    <comment ref="I4646" authorId="0">
      <text>
        <r>
          <rPr>
            <b/>
            <sz val="9"/>
            <color indexed="81"/>
            <rFont val="Tahoma"/>
            <family val="2"/>
          </rPr>
          <t>LPA:</t>
        </r>
        <r>
          <rPr>
            <sz val="9"/>
            <color indexed="81"/>
            <rFont val="Tahoma"/>
            <family val="2"/>
          </rPr>
          <t xml:space="preserve">
проверити збир!
</t>
        </r>
      </text>
    </comment>
    <comment ref="I4647" authorId="0">
      <text>
        <r>
          <rPr>
            <b/>
            <sz val="9"/>
            <color indexed="81"/>
            <rFont val="Tahoma"/>
            <family val="2"/>
          </rPr>
          <t>LPA:</t>
        </r>
        <r>
          <rPr>
            <sz val="9"/>
            <color indexed="81"/>
            <rFont val="Tahoma"/>
            <family val="2"/>
          </rPr>
          <t xml:space="preserve">
проверити збир!
</t>
        </r>
      </text>
    </comment>
    <comment ref="I4648" authorId="0">
      <text>
        <r>
          <rPr>
            <b/>
            <sz val="9"/>
            <color indexed="81"/>
            <rFont val="Tahoma"/>
            <family val="2"/>
          </rPr>
          <t>LPA:</t>
        </r>
        <r>
          <rPr>
            <sz val="9"/>
            <color indexed="81"/>
            <rFont val="Tahoma"/>
            <family val="2"/>
          </rPr>
          <t xml:space="preserve">
проверити збир!
</t>
        </r>
      </text>
    </comment>
    <comment ref="H4651" authorId="0">
      <text>
        <r>
          <rPr>
            <b/>
            <sz val="9"/>
            <color indexed="81"/>
            <rFont val="Tahoma"/>
            <family val="2"/>
          </rPr>
          <t>LPA:</t>
        </r>
        <r>
          <rPr>
            <sz val="9"/>
            <color indexed="81"/>
            <rFont val="Tahoma"/>
            <family val="2"/>
          </rPr>
          <t xml:space="preserve">
проверити збир!</t>
        </r>
      </text>
    </comment>
    <comment ref="I4651" authorId="0">
      <text>
        <r>
          <rPr>
            <b/>
            <sz val="9"/>
            <color indexed="81"/>
            <rFont val="Tahoma"/>
            <family val="2"/>
          </rPr>
          <t>LPA:</t>
        </r>
        <r>
          <rPr>
            <sz val="9"/>
            <color indexed="81"/>
            <rFont val="Tahoma"/>
            <family val="2"/>
          </rPr>
          <t xml:space="preserve">
проверити збир!</t>
        </r>
      </text>
    </comment>
    <comment ref="I4652" authorId="0">
      <text>
        <r>
          <rPr>
            <b/>
            <sz val="9"/>
            <color indexed="81"/>
            <rFont val="Tahoma"/>
            <family val="2"/>
          </rPr>
          <t>LPA:</t>
        </r>
        <r>
          <rPr>
            <sz val="9"/>
            <color indexed="81"/>
            <rFont val="Tahoma"/>
            <family val="2"/>
          </rPr>
          <t xml:space="preserve">
проверити збир!
</t>
        </r>
      </text>
    </comment>
    <comment ref="I4653" authorId="0">
      <text>
        <r>
          <rPr>
            <b/>
            <sz val="9"/>
            <color indexed="81"/>
            <rFont val="Tahoma"/>
            <family val="2"/>
          </rPr>
          <t>LPA:</t>
        </r>
        <r>
          <rPr>
            <sz val="9"/>
            <color indexed="81"/>
            <rFont val="Tahoma"/>
            <family val="2"/>
          </rPr>
          <t xml:space="preserve">
проверити збир!
</t>
        </r>
      </text>
    </comment>
    <comment ref="I4654" authorId="0">
      <text>
        <r>
          <rPr>
            <b/>
            <sz val="9"/>
            <color indexed="81"/>
            <rFont val="Tahoma"/>
            <family val="2"/>
          </rPr>
          <t>LPA:</t>
        </r>
        <r>
          <rPr>
            <sz val="9"/>
            <color indexed="81"/>
            <rFont val="Tahoma"/>
            <family val="2"/>
          </rPr>
          <t xml:space="preserve">
проверити збир!
</t>
        </r>
      </text>
    </comment>
    <comment ref="I4655" authorId="0">
      <text>
        <r>
          <rPr>
            <b/>
            <sz val="9"/>
            <color indexed="81"/>
            <rFont val="Tahoma"/>
            <family val="2"/>
          </rPr>
          <t>LPA:</t>
        </r>
        <r>
          <rPr>
            <sz val="9"/>
            <color indexed="81"/>
            <rFont val="Tahoma"/>
            <family val="2"/>
          </rPr>
          <t xml:space="preserve">
проверити збир!
</t>
        </r>
      </text>
    </comment>
    <comment ref="I4656" authorId="0">
      <text>
        <r>
          <rPr>
            <b/>
            <sz val="9"/>
            <color indexed="81"/>
            <rFont val="Tahoma"/>
            <family val="2"/>
          </rPr>
          <t>LPA:</t>
        </r>
        <r>
          <rPr>
            <sz val="9"/>
            <color indexed="81"/>
            <rFont val="Tahoma"/>
            <family val="2"/>
          </rPr>
          <t xml:space="preserve">
проверити збир!
</t>
        </r>
      </text>
    </comment>
    <comment ref="I4657" authorId="0">
      <text>
        <r>
          <rPr>
            <b/>
            <sz val="9"/>
            <color indexed="81"/>
            <rFont val="Tahoma"/>
            <family val="2"/>
          </rPr>
          <t>LPA:</t>
        </r>
        <r>
          <rPr>
            <sz val="9"/>
            <color indexed="81"/>
            <rFont val="Tahoma"/>
            <family val="2"/>
          </rPr>
          <t xml:space="preserve">
проверити збир!
</t>
        </r>
      </text>
    </comment>
    <comment ref="I4658" authorId="0">
      <text>
        <r>
          <rPr>
            <b/>
            <sz val="9"/>
            <color indexed="81"/>
            <rFont val="Tahoma"/>
            <family val="2"/>
          </rPr>
          <t>LPA:</t>
        </r>
        <r>
          <rPr>
            <sz val="9"/>
            <color indexed="81"/>
            <rFont val="Tahoma"/>
            <family val="2"/>
          </rPr>
          <t xml:space="preserve">
проверити збир!
</t>
        </r>
      </text>
    </comment>
    <comment ref="I4659" authorId="0">
      <text>
        <r>
          <rPr>
            <b/>
            <sz val="9"/>
            <color indexed="81"/>
            <rFont val="Tahoma"/>
            <family val="2"/>
          </rPr>
          <t>LPA:</t>
        </r>
        <r>
          <rPr>
            <sz val="9"/>
            <color indexed="81"/>
            <rFont val="Tahoma"/>
            <family val="2"/>
          </rPr>
          <t xml:space="preserve">
проверити збир!
</t>
        </r>
      </text>
    </comment>
    <comment ref="I4660" authorId="0">
      <text>
        <r>
          <rPr>
            <b/>
            <sz val="9"/>
            <color indexed="81"/>
            <rFont val="Tahoma"/>
            <family val="2"/>
          </rPr>
          <t>LPA:</t>
        </r>
        <r>
          <rPr>
            <sz val="9"/>
            <color indexed="81"/>
            <rFont val="Tahoma"/>
            <family val="2"/>
          </rPr>
          <t xml:space="preserve">
проверити збир!
</t>
        </r>
      </text>
    </comment>
    <comment ref="I4661" authorId="0">
      <text>
        <r>
          <rPr>
            <b/>
            <sz val="9"/>
            <color indexed="81"/>
            <rFont val="Tahoma"/>
            <family val="2"/>
          </rPr>
          <t>LPA:</t>
        </r>
        <r>
          <rPr>
            <sz val="9"/>
            <color indexed="81"/>
            <rFont val="Tahoma"/>
            <family val="2"/>
          </rPr>
          <t xml:space="preserve">
проверити збир!
</t>
        </r>
      </text>
    </comment>
    <comment ref="I4662" authorId="0">
      <text>
        <r>
          <rPr>
            <b/>
            <sz val="9"/>
            <color indexed="81"/>
            <rFont val="Tahoma"/>
            <family val="2"/>
          </rPr>
          <t>LPA:</t>
        </r>
        <r>
          <rPr>
            <sz val="9"/>
            <color indexed="81"/>
            <rFont val="Tahoma"/>
            <family val="2"/>
          </rPr>
          <t xml:space="preserve">
проверити збир!
</t>
        </r>
      </text>
    </comment>
    <comment ref="I4663" authorId="0">
      <text>
        <r>
          <rPr>
            <b/>
            <sz val="9"/>
            <color indexed="81"/>
            <rFont val="Tahoma"/>
            <family val="2"/>
          </rPr>
          <t>LPA:</t>
        </r>
        <r>
          <rPr>
            <sz val="9"/>
            <color indexed="81"/>
            <rFont val="Tahoma"/>
            <family val="2"/>
          </rPr>
          <t xml:space="preserve">
проверити збир!
</t>
        </r>
      </text>
    </comment>
    <comment ref="I4664" authorId="0">
      <text>
        <r>
          <rPr>
            <b/>
            <sz val="9"/>
            <color indexed="81"/>
            <rFont val="Tahoma"/>
            <family val="2"/>
          </rPr>
          <t>LPA:</t>
        </r>
        <r>
          <rPr>
            <sz val="9"/>
            <color indexed="81"/>
            <rFont val="Tahoma"/>
            <family val="2"/>
          </rPr>
          <t xml:space="preserve">
проверити збир!
</t>
        </r>
      </text>
    </comment>
    <comment ref="I4665" authorId="0">
      <text>
        <r>
          <rPr>
            <b/>
            <sz val="9"/>
            <color indexed="81"/>
            <rFont val="Tahoma"/>
            <family val="2"/>
          </rPr>
          <t>LPA:</t>
        </r>
        <r>
          <rPr>
            <sz val="9"/>
            <color indexed="81"/>
            <rFont val="Tahoma"/>
            <family val="2"/>
          </rPr>
          <t xml:space="preserve">
проверити збир!
</t>
        </r>
      </text>
    </comment>
    <comment ref="I4666" authorId="0">
      <text>
        <r>
          <rPr>
            <b/>
            <sz val="9"/>
            <color indexed="81"/>
            <rFont val="Tahoma"/>
            <family val="2"/>
          </rPr>
          <t>LPA:</t>
        </r>
        <r>
          <rPr>
            <sz val="9"/>
            <color indexed="81"/>
            <rFont val="Tahoma"/>
            <family val="2"/>
          </rPr>
          <t xml:space="preserve">
проверити збир!
</t>
        </r>
      </text>
    </comment>
    <comment ref="H4669" authorId="0">
      <text>
        <r>
          <rPr>
            <b/>
            <sz val="9"/>
            <color indexed="81"/>
            <rFont val="Tahoma"/>
            <family val="2"/>
          </rPr>
          <t>LPA:</t>
        </r>
        <r>
          <rPr>
            <sz val="9"/>
            <color indexed="81"/>
            <rFont val="Tahoma"/>
            <family val="2"/>
          </rPr>
          <t xml:space="preserve">
проверити збир!</t>
        </r>
      </text>
    </comment>
    <comment ref="I4669" authorId="0">
      <text>
        <r>
          <rPr>
            <b/>
            <sz val="9"/>
            <color indexed="81"/>
            <rFont val="Tahoma"/>
            <family val="2"/>
          </rPr>
          <t>LPA:</t>
        </r>
        <r>
          <rPr>
            <sz val="9"/>
            <color indexed="81"/>
            <rFont val="Tahoma"/>
            <family val="2"/>
          </rPr>
          <t xml:space="preserve">
проверити збир!
</t>
        </r>
      </text>
    </comment>
    <comment ref="I4670" authorId="0">
      <text>
        <r>
          <rPr>
            <b/>
            <sz val="9"/>
            <color indexed="81"/>
            <rFont val="Tahoma"/>
            <family val="2"/>
          </rPr>
          <t>LPA:</t>
        </r>
        <r>
          <rPr>
            <sz val="9"/>
            <color indexed="81"/>
            <rFont val="Tahoma"/>
            <family val="2"/>
          </rPr>
          <t xml:space="preserve">
проверити збир!
</t>
        </r>
      </text>
    </comment>
    <comment ref="I4671" authorId="0">
      <text>
        <r>
          <rPr>
            <b/>
            <sz val="9"/>
            <color indexed="81"/>
            <rFont val="Tahoma"/>
            <family val="2"/>
          </rPr>
          <t>LPA:</t>
        </r>
        <r>
          <rPr>
            <sz val="9"/>
            <color indexed="81"/>
            <rFont val="Tahoma"/>
            <family val="2"/>
          </rPr>
          <t xml:space="preserve">
проверити збир!
</t>
        </r>
      </text>
    </comment>
    <comment ref="I4672" authorId="0">
      <text>
        <r>
          <rPr>
            <b/>
            <sz val="9"/>
            <color indexed="81"/>
            <rFont val="Tahoma"/>
            <family val="2"/>
          </rPr>
          <t>LPA:</t>
        </r>
        <r>
          <rPr>
            <sz val="9"/>
            <color indexed="81"/>
            <rFont val="Tahoma"/>
            <family val="2"/>
          </rPr>
          <t xml:space="preserve">
проверити збир!
</t>
        </r>
      </text>
    </comment>
    <comment ref="I4673" authorId="0">
      <text>
        <r>
          <rPr>
            <b/>
            <sz val="9"/>
            <color indexed="81"/>
            <rFont val="Tahoma"/>
            <family val="2"/>
          </rPr>
          <t>LPA:</t>
        </r>
        <r>
          <rPr>
            <sz val="9"/>
            <color indexed="81"/>
            <rFont val="Tahoma"/>
            <family val="2"/>
          </rPr>
          <t xml:space="preserve">
проверити збир!
</t>
        </r>
      </text>
    </comment>
    <comment ref="I4674" authorId="0">
      <text>
        <r>
          <rPr>
            <b/>
            <sz val="9"/>
            <color indexed="81"/>
            <rFont val="Tahoma"/>
            <family val="2"/>
          </rPr>
          <t>LPA:</t>
        </r>
        <r>
          <rPr>
            <sz val="9"/>
            <color indexed="81"/>
            <rFont val="Tahoma"/>
            <family val="2"/>
          </rPr>
          <t xml:space="preserve">
проверити збир!
</t>
        </r>
      </text>
    </comment>
    <comment ref="I4675" authorId="0">
      <text>
        <r>
          <rPr>
            <b/>
            <sz val="9"/>
            <color indexed="81"/>
            <rFont val="Tahoma"/>
            <family val="2"/>
          </rPr>
          <t>LPA:</t>
        </r>
        <r>
          <rPr>
            <sz val="9"/>
            <color indexed="81"/>
            <rFont val="Tahoma"/>
            <family val="2"/>
          </rPr>
          <t xml:space="preserve">
проверити збир!
</t>
        </r>
      </text>
    </comment>
    <comment ref="I4676" authorId="0">
      <text>
        <r>
          <rPr>
            <b/>
            <sz val="9"/>
            <color indexed="81"/>
            <rFont val="Tahoma"/>
            <family val="2"/>
          </rPr>
          <t>LPA:</t>
        </r>
        <r>
          <rPr>
            <sz val="9"/>
            <color indexed="81"/>
            <rFont val="Tahoma"/>
            <family val="2"/>
          </rPr>
          <t xml:space="preserve">
проверити збир!
</t>
        </r>
      </text>
    </comment>
    <comment ref="I4677" authorId="0">
      <text>
        <r>
          <rPr>
            <b/>
            <sz val="9"/>
            <color indexed="81"/>
            <rFont val="Tahoma"/>
            <family val="2"/>
          </rPr>
          <t>LPA:</t>
        </r>
        <r>
          <rPr>
            <sz val="9"/>
            <color indexed="81"/>
            <rFont val="Tahoma"/>
            <family val="2"/>
          </rPr>
          <t xml:space="preserve">
проверити збир!
</t>
        </r>
      </text>
    </comment>
    <comment ref="I4678" authorId="0">
      <text>
        <r>
          <rPr>
            <b/>
            <sz val="9"/>
            <color indexed="81"/>
            <rFont val="Tahoma"/>
            <family val="2"/>
          </rPr>
          <t>LPA:</t>
        </r>
        <r>
          <rPr>
            <sz val="9"/>
            <color indexed="81"/>
            <rFont val="Tahoma"/>
            <family val="2"/>
          </rPr>
          <t xml:space="preserve">
проверити збир!
</t>
        </r>
      </text>
    </comment>
    <comment ref="I4679" authorId="0">
      <text>
        <r>
          <rPr>
            <b/>
            <sz val="9"/>
            <color indexed="81"/>
            <rFont val="Tahoma"/>
            <family val="2"/>
          </rPr>
          <t>LPA:</t>
        </r>
        <r>
          <rPr>
            <sz val="9"/>
            <color indexed="81"/>
            <rFont val="Tahoma"/>
            <family val="2"/>
          </rPr>
          <t xml:space="preserve">
проверити збир!
</t>
        </r>
      </text>
    </comment>
    <comment ref="I4680" authorId="0">
      <text>
        <r>
          <rPr>
            <b/>
            <sz val="9"/>
            <color indexed="81"/>
            <rFont val="Tahoma"/>
            <family val="2"/>
          </rPr>
          <t>LPA:</t>
        </r>
        <r>
          <rPr>
            <sz val="9"/>
            <color indexed="81"/>
            <rFont val="Tahoma"/>
            <family val="2"/>
          </rPr>
          <t xml:space="preserve">
проверити збир!
</t>
        </r>
      </text>
    </comment>
    <comment ref="I4681" authorId="0">
      <text>
        <r>
          <rPr>
            <b/>
            <sz val="9"/>
            <color indexed="81"/>
            <rFont val="Tahoma"/>
            <family val="2"/>
          </rPr>
          <t>LPA:</t>
        </r>
        <r>
          <rPr>
            <sz val="9"/>
            <color indexed="81"/>
            <rFont val="Tahoma"/>
            <family val="2"/>
          </rPr>
          <t xml:space="preserve">
проверити збир!
</t>
        </r>
      </text>
    </comment>
    <comment ref="I4682" authorId="0">
      <text>
        <r>
          <rPr>
            <b/>
            <sz val="9"/>
            <color indexed="81"/>
            <rFont val="Tahoma"/>
            <family val="2"/>
          </rPr>
          <t>LPA:</t>
        </r>
        <r>
          <rPr>
            <sz val="9"/>
            <color indexed="81"/>
            <rFont val="Tahoma"/>
            <family val="2"/>
          </rPr>
          <t xml:space="preserve">
проверити збир!
</t>
        </r>
      </text>
    </comment>
    <comment ref="I4683" authorId="0">
      <text>
        <r>
          <rPr>
            <b/>
            <sz val="9"/>
            <color indexed="81"/>
            <rFont val="Tahoma"/>
            <family val="2"/>
          </rPr>
          <t>LPA:</t>
        </r>
        <r>
          <rPr>
            <sz val="9"/>
            <color indexed="81"/>
            <rFont val="Tahoma"/>
            <family val="2"/>
          </rPr>
          <t xml:space="preserve">
проверити збир!
</t>
        </r>
      </text>
    </comment>
    <comment ref="I4684" authorId="0">
      <text>
        <r>
          <rPr>
            <b/>
            <sz val="9"/>
            <color indexed="81"/>
            <rFont val="Tahoma"/>
            <family val="2"/>
          </rPr>
          <t>LPA:</t>
        </r>
        <r>
          <rPr>
            <sz val="9"/>
            <color indexed="81"/>
            <rFont val="Tahoma"/>
            <family val="2"/>
          </rPr>
          <t xml:space="preserve">
проверити збир!
</t>
        </r>
      </text>
    </comment>
    <comment ref="H4687" authorId="0">
      <text>
        <r>
          <rPr>
            <b/>
            <sz val="9"/>
            <color indexed="81"/>
            <rFont val="Tahoma"/>
            <family val="2"/>
          </rPr>
          <t>LPA:</t>
        </r>
        <r>
          <rPr>
            <sz val="9"/>
            <color indexed="81"/>
            <rFont val="Tahoma"/>
            <family val="2"/>
          </rPr>
          <t xml:space="preserve">
провери збир!</t>
        </r>
      </text>
    </comment>
    <comment ref="I4687" authorId="0">
      <text>
        <r>
          <rPr>
            <b/>
            <sz val="9"/>
            <color indexed="81"/>
            <rFont val="Tahoma"/>
            <family val="2"/>
          </rPr>
          <t>LPA:</t>
        </r>
        <r>
          <rPr>
            <sz val="9"/>
            <color indexed="81"/>
            <rFont val="Tahoma"/>
            <family val="2"/>
          </rPr>
          <t xml:space="preserve">
проверити збир!
</t>
        </r>
      </text>
    </comment>
    <comment ref="I4688" authorId="0">
      <text>
        <r>
          <rPr>
            <b/>
            <sz val="9"/>
            <color indexed="81"/>
            <rFont val="Tahoma"/>
            <family val="2"/>
          </rPr>
          <t>LPA:</t>
        </r>
        <r>
          <rPr>
            <sz val="9"/>
            <color indexed="81"/>
            <rFont val="Tahoma"/>
            <family val="2"/>
          </rPr>
          <t xml:space="preserve">
проверити збир!
</t>
        </r>
      </text>
    </comment>
    <comment ref="I4689" authorId="0">
      <text>
        <r>
          <rPr>
            <b/>
            <sz val="9"/>
            <color indexed="81"/>
            <rFont val="Tahoma"/>
            <family val="2"/>
          </rPr>
          <t>LPA:</t>
        </r>
        <r>
          <rPr>
            <sz val="9"/>
            <color indexed="81"/>
            <rFont val="Tahoma"/>
            <family val="2"/>
          </rPr>
          <t xml:space="preserve">
проверити збир!
</t>
        </r>
      </text>
    </comment>
    <comment ref="I4690" authorId="0">
      <text>
        <r>
          <rPr>
            <b/>
            <sz val="9"/>
            <color indexed="81"/>
            <rFont val="Tahoma"/>
            <family val="2"/>
          </rPr>
          <t>LPA:</t>
        </r>
        <r>
          <rPr>
            <sz val="9"/>
            <color indexed="81"/>
            <rFont val="Tahoma"/>
            <family val="2"/>
          </rPr>
          <t xml:space="preserve">
проверити збир!
</t>
        </r>
      </text>
    </comment>
    <comment ref="I4691" authorId="0">
      <text>
        <r>
          <rPr>
            <b/>
            <sz val="9"/>
            <color indexed="81"/>
            <rFont val="Tahoma"/>
            <family val="2"/>
          </rPr>
          <t>LPA:</t>
        </r>
        <r>
          <rPr>
            <sz val="9"/>
            <color indexed="81"/>
            <rFont val="Tahoma"/>
            <family val="2"/>
          </rPr>
          <t xml:space="preserve">
проверити збир!
</t>
        </r>
      </text>
    </comment>
    <comment ref="I4692" authorId="0">
      <text>
        <r>
          <rPr>
            <b/>
            <sz val="9"/>
            <color indexed="81"/>
            <rFont val="Tahoma"/>
            <family val="2"/>
          </rPr>
          <t>LPA:</t>
        </r>
        <r>
          <rPr>
            <sz val="9"/>
            <color indexed="81"/>
            <rFont val="Tahoma"/>
            <family val="2"/>
          </rPr>
          <t xml:space="preserve">
проверити збир!
</t>
        </r>
      </text>
    </comment>
    <comment ref="I4693" authorId="0">
      <text>
        <r>
          <rPr>
            <b/>
            <sz val="9"/>
            <color indexed="81"/>
            <rFont val="Tahoma"/>
            <family val="2"/>
          </rPr>
          <t>LPA:</t>
        </r>
        <r>
          <rPr>
            <sz val="9"/>
            <color indexed="81"/>
            <rFont val="Tahoma"/>
            <family val="2"/>
          </rPr>
          <t xml:space="preserve">
проверити збир!
</t>
        </r>
      </text>
    </comment>
    <comment ref="I4694" authorId="0">
      <text>
        <r>
          <rPr>
            <b/>
            <sz val="9"/>
            <color indexed="81"/>
            <rFont val="Tahoma"/>
            <family val="2"/>
          </rPr>
          <t>LPA:</t>
        </r>
        <r>
          <rPr>
            <sz val="9"/>
            <color indexed="81"/>
            <rFont val="Tahoma"/>
            <family val="2"/>
          </rPr>
          <t xml:space="preserve">
проверити збир!
</t>
        </r>
      </text>
    </comment>
    <comment ref="I4695" authorId="0">
      <text>
        <r>
          <rPr>
            <b/>
            <sz val="9"/>
            <color indexed="81"/>
            <rFont val="Tahoma"/>
            <family val="2"/>
          </rPr>
          <t>LPA:</t>
        </r>
        <r>
          <rPr>
            <sz val="9"/>
            <color indexed="81"/>
            <rFont val="Tahoma"/>
            <family val="2"/>
          </rPr>
          <t xml:space="preserve">
проверити збир!
</t>
        </r>
      </text>
    </comment>
    <comment ref="I4696" authorId="0">
      <text>
        <r>
          <rPr>
            <b/>
            <sz val="9"/>
            <color indexed="81"/>
            <rFont val="Tahoma"/>
            <family val="2"/>
          </rPr>
          <t>LPA:</t>
        </r>
        <r>
          <rPr>
            <sz val="9"/>
            <color indexed="81"/>
            <rFont val="Tahoma"/>
            <family val="2"/>
          </rPr>
          <t xml:space="preserve">
проверити збир!
</t>
        </r>
      </text>
    </comment>
    <comment ref="I4697" authorId="0">
      <text>
        <r>
          <rPr>
            <b/>
            <sz val="9"/>
            <color indexed="81"/>
            <rFont val="Tahoma"/>
            <family val="2"/>
          </rPr>
          <t>LPA:</t>
        </r>
        <r>
          <rPr>
            <sz val="9"/>
            <color indexed="81"/>
            <rFont val="Tahoma"/>
            <family val="2"/>
          </rPr>
          <t xml:space="preserve">
проверити збир!
</t>
        </r>
      </text>
    </comment>
    <comment ref="I4698" authorId="0">
      <text>
        <r>
          <rPr>
            <b/>
            <sz val="9"/>
            <color indexed="81"/>
            <rFont val="Tahoma"/>
            <family val="2"/>
          </rPr>
          <t>LPA:</t>
        </r>
        <r>
          <rPr>
            <sz val="9"/>
            <color indexed="81"/>
            <rFont val="Tahoma"/>
            <family val="2"/>
          </rPr>
          <t xml:space="preserve">
проверити збир!
</t>
        </r>
      </text>
    </comment>
    <comment ref="I4699" authorId="0">
      <text>
        <r>
          <rPr>
            <b/>
            <sz val="9"/>
            <color indexed="81"/>
            <rFont val="Tahoma"/>
            <family val="2"/>
          </rPr>
          <t>LPA:</t>
        </r>
        <r>
          <rPr>
            <sz val="9"/>
            <color indexed="81"/>
            <rFont val="Tahoma"/>
            <family val="2"/>
          </rPr>
          <t xml:space="preserve">
проверити збир!
</t>
        </r>
      </text>
    </comment>
    <comment ref="I4700" authorId="0">
      <text>
        <r>
          <rPr>
            <b/>
            <sz val="9"/>
            <color indexed="81"/>
            <rFont val="Tahoma"/>
            <family val="2"/>
          </rPr>
          <t>LPA:</t>
        </r>
        <r>
          <rPr>
            <sz val="9"/>
            <color indexed="81"/>
            <rFont val="Tahoma"/>
            <family val="2"/>
          </rPr>
          <t xml:space="preserve">
проверити збир!
</t>
        </r>
      </text>
    </comment>
    <comment ref="I4701" authorId="0">
      <text>
        <r>
          <rPr>
            <b/>
            <sz val="9"/>
            <color indexed="81"/>
            <rFont val="Tahoma"/>
            <family val="2"/>
          </rPr>
          <t>LPA:</t>
        </r>
        <r>
          <rPr>
            <sz val="9"/>
            <color indexed="81"/>
            <rFont val="Tahoma"/>
            <family val="2"/>
          </rPr>
          <t xml:space="preserve">
проверити збир!
</t>
        </r>
      </text>
    </comment>
    <comment ref="I4702" authorId="0">
      <text>
        <r>
          <rPr>
            <b/>
            <sz val="9"/>
            <color indexed="81"/>
            <rFont val="Tahoma"/>
            <family val="2"/>
          </rPr>
          <t>LPA:</t>
        </r>
        <r>
          <rPr>
            <sz val="9"/>
            <color indexed="81"/>
            <rFont val="Tahoma"/>
            <family val="2"/>
          </rPr>
          <t xml:space="preserve">
проверити збир!
</t>
        </r>
      </text>
    </comment>
    <comment ref="I4806" authorId="0">
      <text>
        <r>
          <rPr>
            <b/>
            <sz val="9"/>
            <color indexed="81"/>
            <rFont val="Tahoma"/>
            <family val="2"/>
          </rPr>
          <t>LPA:</t>
        </r>
        <r>
          <rPr>
            <sz val="9"/>
            <color indexed="81"/>
            <rFont val="Tahoma"/>
            <family val="2"/>
          </rPr>
          <t xml:space="preserve">
проверити збир!
</t>
        </r>
      </text>
    </comment>
    <comment ref="I4807" authorId="0">
      <text>
        <r>
          <rPr>
            <b/>
            <sz val="9"/>
            <color indexed="81"/>
            <rFont val="Tahoma"/>
            <family val="2"/>
          </rPr>
          <t>LPA:</t>
        </r>
        <r>
          <rPr>
            <sz val="9"/>
            <color indexed="81"/>
            <rFont val="Tahoma"/>
            <family val="2"/>
          </rPr>
          <t xml:space="preserve">
проверити збир!
</t>
        </r>
      </text>
    </comment>
    <comment ref="I4808" authorId="0">
      <text>
        <r>
          <rPr>
            <b/>
            <sz val="9"/>
            <color indexed="81"/>
            <rFont val="Tahoma"/>
            <family val="2"/>
          </rPr>
          <t>LPA:</t>
        </r>
        <r>
          <rPr>
            <sz val="9"/>
            <color indexed="81"/>
            <rFont val="Tahoma"/>
            <family val="2"/>
          </rPr>
          <t xml:space="preserve">
проверити збир!
</t>
        </r>
      </text>
    </comment>
    <comment ref="I4809" authorId="0">
      <text>
        <r>
          <rPr>
            <b/>
            <sz val="9"/>
            <color indexed="81"/>
            <rFont val="Tahoma"/>
            <family val="2"/>
          </rPr>
          <t>LPA:</t>
        </r>
        <r>
          <rPr>
            <sz val="9"/>
            <color indexed="81"/>
            <rFont val="Tahoma"/>
            <family val="2"/>
          </rPr>
          <t xml:space="preserve">
проверити збир!
</t>
        </r>
      </text>
    </comment>
    <comment ref="I4810" authorId="0">
      <text>
        <r>
          <rPr>
            <b/>
            <sz val="9"/>
            <color indexed="81"/>
            <rFont val="Tahoma"/>
            <family val="2"/>
          </rPr>
          <t>LPA:</t>
        </r>
        <r>
          <rPr>
            <sz val="9"/>
            <color indexed="81"/>
            <rFont val="Tahoma"/>
            <family val="2"/>
          </rPr>
          <t xml:space="preserve">
проверити збир!
</t>
        </r>
      </text>
    </comment>
    <comment ref="I4811" authorId="0">
      <text>
        <r>
          <rPr>
            <b/>
            <sz val="9"/>
            <color indexed="81"/>
            <rFont val="Tahoma"/>
            <family val="2"/>
          </rPr>
          <t>LPA:</t>
        </r>
        <r>
          <rPr>
            <sz val="9"/>
            <color indexed="81"/>
            <rFont val="Tahoma"/>
            <family val="2"/>
          </rPr>
          <t xml:space="preserve">
проверити збир!
</t>
        </r>
      </text>
    </comment>
    <comment ref="I4812" authorId="0">
      <text>
        <r>
          <rPr>
            <b/>
            <sz val="9"/>
            <color indexed="81"/>
            <rFont val="Tahoma"/>
            <family val="2"/>
          </rPr>
          <t>LPA:</t>
        </r>
        <r>
          <rPr>
            <sz val="9"/>
            <color indexed="81"/>
            <rFont val="Tahoma"/>
            <family val="2"/>
          </rPr>
          <t xml:space="preserve">
проверити збир!
</t>
        </r>
      </text>
    </comment>
    <comment ref="I4813" authorId="0">
      <text>
        <r>
          <rPr>
            <b/>
            <sz val="9"/>
            <color indexed="81"/>
            <rFont val="Tahoma"/>
            <family val="2"/>
          </rPr>
          <t>LPA:</t>
        </r>
        <r>
          <rPr>
            <sz val="9"/>
            <color indexed="81"/>
            <rFont val="Tahoma"/>
            <family val="2"/>
          </rPr>
          <t xml:space="preserve">
проверити збир!
</t>
        </r>
      </text>
    </comment>
    <comment ref="I4814" authorId="0">
      <text>
        <r>
          <rPr>
            <b/>
            <sz val="9"/>
            <color indexed="81"/>
            <rFont val="Tahoma"/>
            <family val="2"/>
          </rPr>
          <t>LPA:</t>
        </r>
        <r>
          <rPr>
            <sz val="9"/>
            <color indexed="81"/>
            <rFont val="Tahoma"/>
            <family val="2"/>
          </rPr>
          <t xml:space="preserve">
проверити збир!
</t>
        </r>
      </text>
    </comment>
    <comment ref="I4815" authorId="0">
      <text>
        <r>
          <rPr>
            <b/>
            <sz val="9"/>
            <color indexed="81"/>
            <rFont val="Tahoma"/>
            <family val="2"/>
          </rPr>
          <t>LPA:</t>
        </r>
        <r>
          <rPr>
            <sz val="9"/>
            <color indexed="81"/>
            <rFont val="Tahoma"/>
            <family val="2"/>
          </rPr>
          <t xml:space="preserve">
проверити збир!
</t>
        </r>
      </text>
    </comment>
    <comment ref="I4816" authorId="0">
      <text>
        <r>
          <rPr>
            <b/>
            <sz val="9"/>
            <color indexed="81"/>
            <rFont val="Tahoma"/>
            <family val="2"/>
          </rPr>
          <t>LPA:</t>
        </r>
        <r>
          <rPr>
            <sz val="9"/>
            <color indexed="81"/>
            <rFont val="Tahoma"/>
            <family val="2"/>
          </rPr>
          <t xml:space="preserve">
проверити збир!
</t>
        </r>
      </text>
    </comment>
    <comment ref="I4817" authorId="0">
      <text>
        <r>
          <rPr>
            <b/>
            <sz val="9"/>
            <color indexed="81"/>
            <rFont val="Tahoma"/>
            <family val="2"/>
          </rPr>
          <t>LPA:</t>
        </r>
        <r>
          <rPr>
            <sz val="9"/>
            <color indexed="81"/>
            <rFont val="Tahoma"/>
            <family val="2"/>
          </rPr>
          <t xml:space="preserve">
проверити збир!
</t>
        </r>
      </text>
    </comment>
    <comment ref="I4818" authorId="0">
      <text>
        <r>
          <rPr>
            <b/>
            <sz val="9"/>
            <color indexed="81"/>
            <rFont val="Tahoma"/>
            <family val="2"/>
          </rPr>
          <t>LPA:</t>
        </r>
        <r>
          <rPr>
            <sz val="9"/>
            <color indexed="81"/>
            <rFont val="Tahoma"/>
            <family val="2"/>
          </rPr>
          <t xml:space="preserve">
проверити збир!
</t>
        </r>
      </text>
    </comment>
    <comment ref="H4821" authorId="0">
      <text>
        <r>
          <rPr>
            <b/>
            <sz val="9"/>
            <color indexed="81"/>
            <rFont val="Tahoma"/>
            <family val="2"/>
          </rPr>
          <t>LPA:</t>
        </r>
        <r>
          <rPr>
            <sz val="9"/>
            <color indexed="81"/>
            <rFont val="Tahoma"/>
            <family val="2"/>
          </rPr>
          <t xml:space="preserve">
проверити збир!</t>
        </r>
      </text>
    </comment>
    <comment ref="I4821" authorId="0">
      <text>
        <r>
          <rPr>
            <b/>
            <sz val="9"/>
            <color indexed="81"/>
            <rFont val="Tahoma"/>
            <family val="2"/>
          </rPr>
          <t>LPA:</t>
        </r>
        <r>
          <rPr>
            <sz val="9"/>
            <color indexed="81"/>
            <rFont val="Tahoma"/>
            <family val="2"/>
          </rPr>
          <t xml:space="preserve">
проверити збир!</t>
        </r>
      </text>
    </comment>
    <comment ref="I4822" authorId="0">
      <text>
        <r>
          <rPr>
            <b/>
            <sz val="9"/>
            <color indexed="81"/>
            <rFont val="Tahoma"/>
            <family val="2"/>
          </rPr>
          <t>LPA:</t>
        </r>
        <r>
          <rPr>
            <sz val="9"/>
            <color indexed="81"/>
            <rFont val="Tahoma"/>
            <family val="2"/>
          </rPr>
          <t xml:space="preserve">
проверити збир!
</t>
        </r>
      </text>
    </comment>
    <comment ref="I4823" authorId="0">
      <text>
        <r>
          <rPr>
            <b/>
            <sz val="9"/>
            <color indexed="81"/>
            <rFont val="Tahoma"/>
            <family val="2"/>
          </rPr>
          <t>LPA:</t>
        </r>
        <r>
          <rPr>
            <sz val="9"/>
            <color indexed="81"/>
            <rFont val="Tahoma"/>
            <family val="2"/>
          </rPr>
          <t xml:space="preserve">
проверити збир!
</t>
        </r>
      </text>
    </comment>
    <comment ref="I4824" authorId="0">
      <text>
        <r>
          <rPr>
            <b/>
            <sz val="9"/>
            <color indexed="81"/>
            <rFont val="Tahoma"/>
            <family val="2"/>
          </rPr>
          <t>LPA:</t>
        </r>
        <r>
          <rPr>
            <sz val="9"/>
            <color indexed="81"/>
            <rFont val="Tahoma"/>
            <family val="2"/>
          </rPr>
          <t xml:space="preserve">
проверити збир!
</t>
        </r>
      </text>
    </comment>
    <comment ref="I4825" authorId="0">
      <text>
        <r>
          <rPr>
            <b/>
            <sz val="9"/>
            <color indexed="81"/>
            <rFont val="Tahoma"/>
            <family val="2"/>
          </rPr>
          <t>LPA:</t>
        </r>
        <r>
          <rPr>
            <sz val="9"/>
            <color indexed="81"/>
            <rFont val="Tahoma"/>
            <family val="2"/>
          </rPr>
          <t xml:space="preserve">
проверити збир!
</t>
        </r>
      </text>
    </comment>
    <comment ref="I4826" authorId="0">
      <text>
        <r>
          <rPr>
            <b/>
            <sz val="9"/>
            <color indexed="81"/>
            <rFont val="Tahoma"/>
            <family val="2"/>
          </rPr>
          <t>LPA:</t>
        </r>
        <r>
          <rPr>
            <sz val="9"/>
            <color indexed="81"/>
            <rFont val="Tahoma"/>
            <family val="2"/>
          </rPr>
          <t xml:space="preserve">
проверити збир!
</t>
        </r>
      </text>
    </comment>
    <comment ref="I4827" authorId="0">
      <text>
        <r>
          <rPr>
            <b/>
            <sz val="9"/>
            <color indexed="81"/>
            <rFont val="Tahoma"/>
            <family val="2"/>
          </rPr>
          <t>LPA:</t>
        </r>
        <r>
          <rPr>
            <sz val="9"/>
            <color indexed="81"/>
            <rFont val="Tahoma"/>
            <family val="2"/>
          </rPr>
          <t xml:space="preserve">
проверити збир!
</t>
        </r>
      </text>
    </comment>
    <comment ref="I4828" authorId="0">
      <text>
        <r>
          <rPr>
            <b/>
            <sz val="9"/>
            <color indexed="81"/>
            <rFont val="Tahoma"/>
            <family val="2"/>
          </rPr>
          <t>LPA:</t>
        </r>
        <r>
          <rPr>
            <sz val="9"/>
            <color indexed="81"/>
            <rFont val="Tahoma"/>
            <family val="2"/>
          </rPr>
          <t xml:space="preserve">
проверити збир!
</t>
        </r>
      </text>
    </comment>
    <comment ref="I4829" authorId="0">
      <text>
        <r>
          <rPr>
            <b/>
            <sz val="9"/>
            <color indexed="81"/>
            <rFont val="Tahoma"/>
            <family val="2"/>
          </rPr>
          <t>LPA:</t>
        </r>
        <r>
          <rPr>
            <sz val="9"/>
            <color indexed="81"/>
            <rFont val="Tahoma"/>
            <family val="2"/>
          </rPr>
          <t xml:space="preserve">
проверити збир!
</t>
        </r>
      </text>
    </comment>
    <comment ref="I4830" authorId="0">
      <text>
        <r>
          <rPr>
            <b/>
            <sz val="9"/>
            <color indexed="81"/>
            <rFont val="Tahoma"/>
            <family val="2"/>
          </rPr>
          <t>LPA:</t>
        </r>
        <r>
          <rPr>
            <sz val="9"/>
            <color indexed="81"/>
            <rFont val="Tahoma"/>
            <family val="2"/>
          </rPr>
          <t xml:space="preserve">
проверити збир!
</t>
        </r>
      </text>
    </comment>
    <comment ref="I4831" authorId="0">
      <text>
        <r>
          <rPr>
            <b/>
            <sz val="9"/>
            <color indexed="81"/>
            <rFont val="Tahoma"/>
            <family val="2"/>
          </rPr>
          <t>LPA:</t>
        </r>
        <r>
          <rPr>
            <sz val="9"/>
            <color indexed="81"/>
            <rFont val="Tahoma"/>
            <family val="2"/>
          </rPr>
          <t xml:space="preserve">
проверити збир!
</t>
        </r>
      </text>
    </comment>
    <comment ref="I4832" authorId="0">
      <text>
        <r>
          <rPr>
            <b/>
            <sz val="9"/>
            <color indexed="81"/>
            <rFont val="Tahoma"/>
            <family val="2"/>
          </rPr>
          <t>LPA:</t>
        </r>
        <r>
          <rPr>
            <sz val="9"/>
            <color indexed="81"/>
            <rFont val="Tahoma"/>
            <family val="2"/>
          </rPr>
          <t xml:space="preserve">
проверити збир!
</t>
        </r>
      </text>
    </comment>
    <comment ref="I4833" authorId="0">
      <text>
        <r>
          <rPr>
            <b/>
            <sz val="9"/>
            <color indexed="81"/>
            <rFont val="Tahoma"/>
            <family val="2"/>
          </rPr>
          <t>LPA:</t>
        </r>
        <r>
          <rPr>
            <sz val="9"/>
            <color indexed="81"/>
            <rFont val="Tahoma"/>
            <family val="2"/>
          </rPr>
          <t xml:space="preserve">
проверити збир!
</t>
        </r>
      </text>
    </comment>
    <comment ref="I4834" authorId="0">
      <text>
        <r>
          <rPr>
            <b/>
            <sz val="9"/>
            <color indexed="81"/>
            <rFont val="Tahoma"/>
            <family val="2"/>
          </rPr>
          <t>LPA:</t>
        </r>
        <r>
          <rPr>
            <sz val="9"/>
            <color indexed="81"/>
            <rFont val="Tahoma"/>
            <family val="2"/>
          </rPr>
          <t xml:space="preserve">
проверити збир!
</t>
        </r>
      </text>
    </comment>
    <comment ref="I4835" authorId="0">
      <text>
        <r>
          <rPr>
            <b/>
            <sz val="9"/>
            <color indexed="81"/>
            <rFont val="Tahoma"/>
            <family val="2"/>
          </rPr>
          <t>LPA:</t>
        </r>
        <r>
          <rPr>
            <sz val="9"/>
            <color indexed="81"/>
            <rFont val="Tahoma"/>
            <family val="2"/>
          </rPr>
          <t xml:space="preserve">
проверити збир!
</t>
        </r>
      </text>
    </comment>
    <comment ref="I4836" authorId="0">
      <text>
        <r>
          <rPr>
            <b/>
            <sz val="9"/>
            <color indexed="81"/>
            <rFont val="Tahoma"/>
            <family val="2"/>
          </rPr>
          <t>LPA:</t>
        </r>
        <r>
          <rPr>
            <sz val="9"/>
            <color indexed="81"/>
            <rFont val="Tahoma"/>
            <family val="2"/>
          </rPr>
          <t xml:space="preserve">
проверити збир!
</t>
        </r>
      </text>
    </comment>
    <comment ref="I4905" authorId="0">
      <text>
        <r>
          <rPr>
            <b/>
            <sz val="9"/>
            <color indexed="81"/>
            <rFont val="Tahoma"/>
            <family val="2"/>
          </rPr>
          <t>LPA:</t>
        </r>
        <r>
          <rPr>
            <sz val="9"/>
            <color indexed="81"/>
            <rFont val="Tahoma"/>
            <family val="2"/>
          </rPr>
          <t xml:space="preserve">
проверити збир!
</t>
        </r>
      </text>
    </comment>
    <comment ref="I4906" authorId="0">
      <text>
        <r>
          <rPr>
            <b/>
            <sz val="9"/>
            <color indexed="81"/>
            <rFont val="Tahoma"/>
            <family val="2"/>
          </rPr>
          <t>LPA:</t>
        </r>
        <r>
          <rPr>
            <sz val="9"/>
            <color indexed="81"/>
            <rFont val="Tahoma"/>
            <family val="2"/>
          </rPr>
          <t xml:space="preserve">
проверити збир!
</t>
        </r>
      </text>
    </comment>
    <comment ref="I4907" authorId="0">
      <text>
        <r>
          <rPr>
            <b/>
            <sz val="9"/>
            <color indexed="81"/>
            <rFont val="Tahoma"/>
            <family val="2"/>
          </rPr>
          <t>LPA:</t>
        </r>
        <r>
          <rPr>
            <sz val="9"/>
            <color indexed="81"/>
            <rFont val="Tahoma"/>
            <family val="2"/>
          </rPr>
          <t xml:space="preserve">
проверити збир!
</t>
        </r>
      </text>
    </comment>
    <comment ref="I4908" authorId="0">
      <text>
        <r>
          <rPr>
            <b/>
            <sz val="9"/>
            <color indexed="81"/>
            <rFont val="Tahoma"/>
            <family val="2"/>
          </rPr>
          <t>LPA:</t>
        </r>
        <r>
          <rPr>
            <sz val="9"/>
            <color indexed="81"/>
            <rFont val="Tahoma"/>
            <family val="2"/>
          </rPr>
          <t xml:space="preserve">
проверити збир!
</t>
        </r>
      </text>
    </comment>
    <comment ref="I4909" authorId="0">
      <text>
        <r>
          <rPr>
            <b/>
            <sz val="9"/>
            <color indexed="81"/>
            <rFont val="Tahoma"/>
            <family val="2"/>
          </rPr>
          <t>LPA:</t>
        </r>
        <r>
          <rPr>
            <sz val="9"/>
            <color indexed="81"/>
            <rFont val="Tahoma"/>
            <family val="2"/>
          </rPr>
          <t xml:space="preserve">
проверити збир!
</t>
        </r>
      </text>
    </comment>
    <comment ref="I4910" authorId="0">
      <text>
        <r>
          <rPr>
            <b/>
            <sz val="9"/>
            <color indexed="81"/>
            <rFont val="Tahoma"/>
            <family val="2"/>
          </rPr>
          <t>LPA:</t>
        </r>
        <r>
          <rPr>
            <sz val="9"/>
            <color indexed="81"/>
            <rFont val="Tahoma"/>
            <family val="2"/>
          </rPr>
          <t xml:space="preserve">
проверити збир!
</t>
        </r>
      </text>
    </comment>
    <comment ref="I4911" authorId="0">
      <text>
        <r>
          <rPr>
            <b/>
            <sz val="9"/>
            <color indexed="81"/>
            <rFont val="Tahoma"/>
            <family val="2"/>
          </rPr>
          <t>LPA:</t>
        </r>
        <r>
          <rPr>
            <sz val="9"/>
            <color indexed="81"/>
            <rFont val="Tahoma"/>
            <family val="2"/>
          </rPr>
          <t xml:space="preserve">
проверити збир!
</t>
        </r>
      </text>
    </comment>
    <comment ref="I4912" authorId="0">
      <text>
        <r>
          <rPr>
            <b/>
            <sz val="9"/>
            <color indexed="81"/>
            <rFont val="Tahoma"/>
            <family val="2"/>
          </rPr>
          <t>LPA:</t>
        </r>
        <r>
          <rPr>
            <sz val="9"/>
            <color indexed="81"/>
            <rFont val="Tahoma"/>
            <family val="2"/>
          </rPr>
          <t xml:space="preserve">
проверити збир!
</t>
        </r>
      </text>
    </comment>
    <comment ref="I4913" authorId="0">
      <text>
        <r>
          <rPr>
            <b/>
            <sz val="9"/>
            <color indexed="81"/>
            <rFont val="Tahoma"/>
            <family val="2"/>
          </rPr>
          <t>LPA:</t>
        </r>
        <r>
          <rPr>
            <sz val="9"/>
            <color indexed="81"/>
            <rFont val="Tahoma"/>
            <family val="2"/>
          </rPr>
          <t xml:space="preserve">
проверити збир!
</t>
        </r>
      </text>
    </comment>
    <comment ref="I4914" authorId="0">
      <text>
        <r>
          <rPr>
            <b/>
            <sz val="9"/>
            <color indexed="81"/>
            <rFont val="Tahoma"/>
            <family val="2"/>
          </rPr>
          <t>LPA:</t>
        </r>
        <r>
          <rPr>
            <sz val="9"/>
            <color indexed="81"/>
            <rFont val="Tahoma"/>
            <family val="2"/>
          </rPr>
          <t xml:space="preserve">
проверити збир!
</t>
        </r>
      </text>
    </comment>
    <comment ref="I4915" authorId="0">
      <text>
        <r>
          <rPr>
            <b/>
            <sz val="9"/>
            <color indexed="81"/>
            <rFont val="Tahoma"/>
            <family val="2"/>
          </rPr>
          <t>LPA:</t>
        </r>
        <r>
          <rPr>
            <sz val="9"/>
            <color indexed="81"/>
            <rFont val="Tahoma"/>
            <family val="2"/>
          </rPr>
          <t xml:space="preserve">
проверити збир!
</t>
        </r>
      </text>
    </comment>
    <comment ref="I4916" authorId="0">
      <text>
        <r>
          <rPr>
            <b/>
            <sz val="9"/>
            <color indexed="81"/>
            <rFont val="Tahoma"/>
            <family val="2"/>
          </rPr>
          <t>LPA:</t>
        </r>
        <r>
          <rPr>
            <sz val="9"/>
            <color indexed="81"/>
            <rFont val="Tahoma"/>
            <family val="2"/>
          </rPr>
          <t xml:space="preserve">
проверити збир!
</t>
        </r>
      </text>
    </comment>
    <comment ref="I4917" authorId="0">
      <text>
        <r>
          <rPr>
            <b/>
            <sz val="9"/>
            <color indexed="81"/>
            <rFont val="Tahoma"/>
            <family val="2"/>
          </rPr>
          <t>LPA:</t>
        </r>
        <r>
          <rPr>
            <sz val="9"/>
            <color indexed="81"/>
            <rFont val="Tahoma"/>
            <family val="2"/>
          </rPr>
          <t xml:space="preserve">
проверити збир!
</t>
        </r>
      </text>
    </comment>
    <comment ref="H4920" authorId="0">
      <text>
        <r>
          <rPr>
            <b/>
            <sz val="9"/>
            <color indexed="81"/>
            <rFont val="Tahoma"/>
            <family val="2"/>
          </rPr>
          <t>LPA:</t>
        </r>
        <r>
          <rPr>
            <sz val="9"/>
            <color indexed="81"/>
            <rFont val="Tahoma"/>
            <family val="2"/>
          </rPr>
          <t xml:space="preserve">
проверити збир!</t>
        </r>
      </text>
    </comment>
    <comment ref="I4920" authorId="0">
      <text>
        <r>
          <rPr>
            <b/>
            <sz val="9"/>
            <color indexed="81"/>
            <rFont val="Tahoma"/>
            <family val="2"/>
          </rPr>
          <t>LPA:</t>
        </r>
        <r>
          <rPr>
            <sz val="9"/>
            <color indexed="81"/>
            <rFont val="Tahoma"/>
            <family val="2"/>
          </rPr>
          <t xml:space="preserve">
проверити збир!</t>
        </r>
      </text>
    </comment>
    <comment ref="I4921" authorId="0">
      <text>
        <r>
          <rPr>
            <b/>
            <sz val="9"/>
            <color indexed="81"/>
            <rFont val="Tahoma"/>
            <family val="2"/>
          </rPr>
          <t>LPA:</t>
        </r>
        <r>
          <rPr>
            <sz val="9"/>
            <color indexed="81"/>
            <rFont val="Tahoma"/>
            <family val="2"/>
          </rPr>
          <t xml:space="preserve">
проверити збир!
</t>
        </r>
      </text>
    </comment>
    <comment ref="I4922" authorId="0">
      <text>
        <r>
          <rPr>
            <b/>
            <sz val="9"/>
            <color indexed="81"/>
            <rFont val="Tahoma"/>
            <family val="2"/>
          </rPr>
          <t>LPA:</t>
        </r>
        <r>
          <rPr>
            <sz val="9"/>
            <color indexed="81"/>
            <rFont val="Tahoma"/>
            <family val="2"/>
          </rPr>
          <t xml:space="preserve">
проверити збир!
</t>
        </r>
      </text>
    </comment>
    <comment ref="I4923" authorId="0">
      <text>
        <r>
          <rPr>
            <b/>
            <sz val="9"/>
            <color indexed="81"/>
            <rFont val="Tahoma"/>
            <family val="2"/>
          </rPr>
          <t>LPA:</t>
        </r>
        <r>
          <rPr>
            <sz val="9"/>
            <color indexed="81"/>
            <rFont val="Tahoma"/>
            <family val="2"/>
          </rPr>
          <t xml:space="preserve">
проверити збир!
</t>
        </r>
      </text>
    </comment>
    <comment ref="I4924" authorId="0">
      <text>
        <r>
          <rPr>
            <b/>
            <sz val="9"/>
            <color indexed="81"/>
            <rFont val="Tahoma"/>
            <family val="2"/>
          </rPr>
          <t>LPA:</t>
        </r>
        <r>
          <rPr>
            <sz val="9"/>
            <color indexed="81"/>
            <rFont val="Tahoma"/>
            <family val="2"/>
          </rPr>
          <t xml:space="preserve">
проверити збир!
</t>
        </r>
      </text>
    </comment>
    <comment ref="I4925" authorId="0">
      <text>
        <r>
          <rPr>
            <b/>
            <sz val="9"/>
            <color indexed="81"/>
            <rFont val="Tahoma"/>
            <family val="2"/>
          </rPr>
          <t>LPA:</t>
        </r>
        <r>
          <rPr>
            <sz val="9"/>
            <color indexed="81"/>
            <rFont val="Tahoma"/>
            <family val="2"/>
          </rPr>
          <t xml:space="preserve">
проверити збир!
</t>
        </r>
      </text>
    </comment>
    <comment ref="I4926" authorId="0">
      <text>
        <r>
          <rPr>
            <b/>
            <sz val="9"/>
            <color indexed="81"/>
            <rFont val="Tahoma"/>
            <family val="2"/>
          </rPr>
          <t>LPA:</t>
        </r>
        <r>
          <rPr>
            <sz val="9"/>
            <color indexed="81"/>
            <rFont val="Tahoma"/>
            <family val="2"/>
          </rPr>
          <t xml:space="preserve">
проверити збир!
</t>
        </r>
      </text>
    </comment>
    <comment ref="I4927" authorId="0">
      <text>
        <r>
          <rPr>
            <b/>
            <sz val="9"/>
            <color indexed="81"/>
            <rFont val="Tahoma"/>
            <family val="2"/>
          </rPr>
          <t>LPA:</t>
        </r>
        <r>
          <rPr>
            <sz val="9"/>
            <color indexed="81"/>
            <rFont val="Tahoma"/>
            <family val="2"/>
          </rPr>
          <t xml:space="preserve">
проверити збир!
</t>
        </r>
      </text>
    </comment>
    <comment ref="I4928" authorId="0">
      <text>
        <r>
          <rPr>
            <b/>
            <sz val="9"/>
            <color indexed="81"/>
            <rFont val="Tahoma"/>
            <family val="2"/>
          </rPr>
          <t>LPA:</t>
        </r>
        <r>
          <rPr>
            <sz val="9"/>
            <color indexed="81"/>
            <rFont val="Tahoma"/>
            <family val="2"/>
          </rPr>
          <t xml:space="preserve">
проверити збир!
</t>
        </r>
      </text>
    </comment>
    <comment ref="I4929" authorId="0">
      <text>
        <r>
          <rPr>
            <b/>
            <sz val="9"/>
            <color indexed="81"/>
            <rFont val="Tahoma"/>
            <family val="2"/>
          </rPr>
          <t>LPA:</t>
        </r>
        <r>
          <rPr>
            <sz val="9"/>
            <color indexed="81"/>
            <rFont val="Tahoma"/>
            <family val="2"/>
          </rPr>
          <t xml:space="preserve">
проверити збир!
</t>
        </r>
      </text>
    </comment>
    <comment ref="I4930" authorId="0">
      <text>
        <r>
          <rPr>
            <b/>
            <sz val="9"/>
            <color indexed="81"/>
            <rFont val="Tahoma"/>
            <family val="2"/>
          </rPr>
          <t>LPA:</t>
        </r>
        <r>
          <rPr>
            <sz val="9"/>
            <color indexed="81"/>
            <rFont val="Tahoma"/>
            <family val="2"/>
          </rPr>
          <t xml:space="preserve">
проверити збир!
</t>
        </r>
      </text>
    </comment>
    <comment ref="I4931" authorId="0">
      <text>
        <r>
          <rPr>
            <b/>
            <sz val="9"/>
            <color indexed="81"/>
            <rFont val="Tahoma"/>
            <family val="2"/>
          </rPr>
          <t>LPA:</t>
        </r>
        <r>
          <rPr>
            <sz val="9"/>
            <color indexed="81"/>
            <rFont val="Tahoma"/>
            <family val="2"/>
          </rPr>
          <t xml:space="preserve">
проверити збир!
</t>
        </r>
      </text>
    </comment>
    <comment ref="I4932" authorId="0">
      <text>
        <r>
          <rPr>
            <b/>
            <sz val="9"/>
            <color indexed="81"/>
            <rFont val="Tahoma"/>
            <family val="2"/>
          </rPr>
          <t>LPA:</t>
        </r>
        <r>
          <rPr>
            <sz val="9"/>
            <color indexed="81"/>
            <rFont val="Tahoma"/>
            <family val="2"/>
          </rPr>
          <t xml:space="preserve">
проверити збир!
</t>
        </r>
      </text>
    </comment>
    <comment ref="I4933" authorId="0">
      <text>
        <r>
          <rPr>
            <b/>
            <sz val="9"/>
            <color indexed="81"/>
            <rFont val="Tahoma"/>
            <family val="2"/>
          </rPr>
          <t>LPA:</t>
        </r>
        <r>
          <rPr>
            <sz val="9"/>
            <color indexed="81"/>
            <rFont val="Tahoma"/>
            <family val="2"/>
          </rPr>
          <t xml:space="preserve">
проверити збир!
</t>
        </r>
      </text>
    </comment>
    <comment ref="I4934" authorId="0">
      <text>
        <r>
          <rPr>
            <b/>
            <sz val="9"/>
            <color indexed="81"/>
            <rFont val="Tahoma"/>
            <family val="2"/>
          </rPr>
          <t>LPA:</t>
        </r>
        <r>
          <rPr>
            <sz val="9"/>
            <color indexed="81"/>
            <rFont val="Tahoma"/>
            <family val="2"/>
          </rPr>
          <t xml:space="preserve">
проверити збир!
</t>
        </r>
      </text>
    </comment>
    <comment ref="I4935" authorId="0">
      <text>
        <r>
          <rPr>
            <b/>
            <sz val="9"/>
            <color indexed="81"/>
            <rFont val="Tahoma"/>
            <family val="2"/>
          </rPr>
          <t>LPA:</t>
        </r>
        <r>
          <rPr>
            <sz val="9"/>
            <color indexed="81"/>
            <rFont val="Tahoma"/>
            <family val="2"/>
          </rPr>
          <t xml:space="preserve">
проверити збир!
</t>
        </r>
      </text>
    </comment>
    <comment ref="I4952" authorId="0">
      <text>
        <r>
          <rPr>
            <b/>
            <sz val="9"/>
            <color indexed="81"/>
            <rFont val="Tahoma"/>
            <family val="2"/>
          </rPr>
          <t>LPA:</t>
        </r>
        <r>
          <rPr>
            <sz val="9"/>
            <color indexed="81"/>
            <rFont val="Tahoma"/>
            <family val="2"/>
          </rPr>
          <t xml:space="preserve">
проверити збир!
</t>
        </r>
      </text>
    </comment>
    <comment ref="I4953" authorId="0">
      <text>
        <r>
          <rPr>
            <b/>
            <sz val="9"/>
            <color indexed="81"/>
            <rFont val="Tahoma"/>
            <family val="2"/>
          </rPr>
          <t>LPA:</t>
        </r>
        <r>
          <rPr>
            <sz val="9"/>
            <color indexed="81"/>
            <rFont val="Tahoma"/>
            <family val="2"/>
          </rPr>
          <t xml:space="preserve">
проверити збир!
</t>
        </r>
      </text>
    </comment>
    <comment ref="I4954" authorId="0">
      <text>
        <r>
          <rPr>
            <b/>
            <sz val="9"/>
            <color indexed="81"/>
            <rFont val="Tahoma"/>
            <family val="2"/>
          </rPr>
          <t>LPA:</t>
        </r>
        <r>
          <rPr>
            <sz val="9"/>
            <color indexed="81"/>
            <rFont val="Tahoma"/>
            <family val="2"/>
          </rPr>
          <t xml:space="preserve">
проверити збир!
</t>
        </r>
      </text>
    </comment>
    <comment ref="I4955" authorId="0">
      <text>
        <r>
          <rPr>
            <b/>
            <sz val="9"/>
            <color indexed="81"/>
            <rFont val="Tahoma"/>
            <family val="2"/>
          </rPr>
          <t>LPA:</t>
        </r>
        <r>
          <rPr>
            <sz val="9"/>
            <color indexed="81"/>
            <rFont val="Tahoma"/>
            <family val="2"/>
          </rPr>
          <t xml:space="preserve">
проверити збир!
</t>
        </r>
      </text>
    </comment>
    <comment ref="I4956" authorId="0">
      <text>
        <r>
          <rPr>
            <b/>
            <sz val="9"/>
            <color indexed="81"/>
            <rFont val="Tahoma"/>
            <family val="2"/>
          </rPr>
          <t>LPA:</t>
        </r>
        <r>
          <rPr>
            <sz val="9"/>
            <color indexed="81"/>
            <rFont val="Tahoma"/>
            <family val="2"/>
          </rPr>
          <t xml:space="preserve">
проверити збир!
</t>
        </r>
      </text>
    </comment>
    <comment ref="I4957" authorId="0">
      <text>
        <r>
          <rPr>
            <b/>
            <sz val="9"/>
            <color indexed="81"/>
            <rFont val="Tahoma"/>
            <family val="2"/>
          </rPr>
          <t>LPA:</t>
        </r>
        <r>
          <rPr>
            <sz val="9"/>
            <color indexed="81"/>
            <rFont val="Tahoma"/>
            <family val="2"/>
          </rPr>
          <t xml:space="preserve">
проверити збир!
</t>
        </r>
      </text>
    </comment>
    <comment ref="I4958" authorId="0">
      <text>
        <r>
          <rPr>
            <b/>
            <sz val="9"/>
            <color indexed="81"/>
            <rFont val="Tahoma"/>
            <family val="2"/>
          </rPr>
          <t>LPA:</t>
        </r>
        <r>
          <rPr>
            <sz val="9"/>
            <color indexed="81"/>
            <rFont val="Tahoma"/>
            <family val="2"/>
          </rPr>
          <t xml:space="preserve">
проверити збир!
</t>
        </r>
      </text>
    </comment>
    <comment ref="I4959" authorId="0">
      <text>
        <r>
          <rPr>
            <b/>
            <sz val="9"/>
            <color indexed="81"/>
            <rFont val="Tahoma"/>
            <family val="2"/>
          </rPr>
          <t>LPA:</t>
        </r>
        <r>
          <rPr>
            <sz val="9"/>
            <color indexed="81"/>
            <rFont val="Tahoma"/>
            <family val="2"/>
          </rPr>
          <t xml:space="preserve">
проверити збир!
</t>
        </r>
      </text>
    </comment>
    <comment ref="I4960" authorId="0">
      <text>
        <r>
          <rPr>
            <b/>
            <sz val="9"/>
            <color indexed="81"/>
            <rFont val="Tahoma"/>
            <family val="2"/>
          </rPr>
          <t>LPA:</t>
        </r>
        <r>
          <rPr>
            <sz val="9"/>
            <color indexed="81"/>
            <rFont val="Tahoma"/>
            <family val="2"/>
          </rPr>
          <t xml:space="preserve">
проверити збир!
</t>
        </r>
      </text>
    </comment>
    <comment ref="I4961" authorId="0">
      <text>
        <r>
          <rPr>
            <b/>
            <sz val="9"/>
            <color indexed="81"/>
            <rFont val="Tahoma"/>
            <family val="2"/>
          </rPr>
          <t>LPA:</t>
        </r>
        <r>
          <rPr>
            <sz val="9"/>
            <color indexed="81"/>
            <rFont val="Tahoma"/>
            <family val="2"/>
          </rPr>
          <t xml:space="preserve">
проверити збир!
</t>
        </r>
      </text>
    </comment>
    <comment ref="I4962" authorId="0">
      <text>
        <r>
          <rPr>
            <b/>
            <sz val="9"/>
            <color indexed="81"/>
            <rFont val="Tahoma"/>
            <family val="2"/>
          </rPr>
          <t>LPA:</t>
        </r>
        <r>
          <rPr>
            <sz val="9"/>
            <color indexed="81"/>
            <rFont val="Tahoma"/>
            <family val="2"/>
          </rPr>
          <t xml:space="preserve">
проверити збир!
</t>
        </r>
      </text>
    </comment>
    <comment ref="I4963" authorId="0">
      <text>
        <r>
          <rPr>
            <b/>
            <sz val="9"/>
            <color indexed="81"/>
            <rFont val="Tahoma"/>
            <family val="2"/>
          </rPr>
          <t>LPA:</t>
        </r>
        <r>
          <rPr>
            <sz val="9"/>
            <color indexed="81"/>
            <rFont val="Tahoma"/>
            <family val="2"/>
          </rPr>
          <t xml:space="preserve">
проверити збир!
</t>
        </r>
      </text>
    </comment>
    <comment ref="I4964" authorId="0">
      <text>
        <r>
          <rPr>
            <b/>
            <sz val="9"/>
            <color indexed="81"/>
            <rFont val="Tahoma"/>
            <family val="2"/>
          </rPr>
          <t>LPA:</t>
        </r>
        <r>
          <rPr>
            <sz val="9"/>
            <color indexed="81"/>
            <rFont val="Tahoma"/>
            <family val="2"/>
          </rPr>
          <t xml:space="preserve">
проверити збир!
</t>
        </r>
      </text>
    </comment>
    <comment ref="H4967" authorId="0">
      <text>
        <r>
          <rPr>
            <b/>
            <sz val="9"/>
            <color indexed="81"/>
            <rFont val="Tahoma"/>
            <family val="2"/>
          </rPr>
          <t>LPA:</t>
        </r>
        <r>
          <rPr>
            <sz val="9"/>
            <color indexed="81"/>
            <rFont val="Tahoma"/>
            <family val="2"/>
          </rPr>
          <t xml:space="preserve">
проверити збир!</t>
        </r>
      </text>
    </comment>
    <comment ref="I4967" authorId="0">
      <text>
        <r>
          <rPr>
            <b/>
            <sz val="9"/>
            <color indexed="81"/>
            <rFont val="Tahoma"/>
            <family val="2"/>
          </rPr>
          <t>LPA:</t>
        </r>
        <r>
          <rPr>
            <sz val="9"/>
            <color indexed="81"/>
            <rFont val="Tahoma"/>
            <family val="2"/>
          </rPr>
          <t xml:space="preserve">
проверити збир!</t>
        </r>
      </text>
    </comment>
    <comment ref="I4968" authorId="0">
      <text>
        <r>
          <rPr>
            <b/>
            <sz val="9"/>
            <color indexed="81"/>
            <rFont val="Tahoma"/>
            <family val="2"/>
          </rPr>
          <t>LPA:</t>
        </r>
        <r>
          <rPr>
            <sz val="9"/>
            <color indexed="81"/>
            <rFont val="Tahoma"/>
            <family val="2"/>
          </rPr>
          <t xml:space="preserve">
проверити збир!
</t>
        </r>
      </text>
    </comment>
    <comment ref="I4969" authorId="0">
      <text>
        <r>
          <rPr>
            <b/>
            <sz val="9"/>
            <color indexed="81"/>
            <rFont val="Tahoma"/>
            <family val="2"/>
          </rPr>
          <t>LPA:</t>
        </r>
        <r>
          <rPr>
            <sz val="9"/>
            <color indexed="81"/>
            <rFont val="Tahoma"/>
            <family val="2"/>
          </rPr>
          <t xml:space="preserve">
проверити збир!
</t>
        </r>
      </text>
    </comment>
    <comment ref="I4970" authorId="0">
      <text>
        <r>
          <rPr>
            <b/>
            <sz val="9"/>
            <color indexed="81"/>
            <rFont val="Tahoma"/>
            <family val="2"/>
          </rPr>
          <t>LPA:</t>
        </r>
        <r>
          <rPr>
            <sz val="9"/>
            <color indexed="81"/>
            <rFont val="Tahoma"/>
            <family val="2"/>
          </rPr>
          <t xml:space="preserve">
проверити збир!
</t>
        </r>
      </text>
    </comment>
    <comment ref="I4971" authorId="0">
      <text>
        <r>
          <rPr>
            <b/>
            <sz val="9"/>
            <color indexed="81"/>
            <rFont val="Tahoma"/>
            <family val="2"/>
          </rPr>
          <t>LPA:</t>
        </r>
        <r>
          <rPr>
            <sz val="9"/>
            <color indexed="81"/>
            <rFont val="Tahoma"/>
            <family val="2"/>
          </rPr>
          <t xml:space="preserve">
проверити збир!
</t>
        </r>
      </text>
    </comment>
    <comment ref="I4972" authorId="0">
      <text>
        <r>
          <rPr>
            <b/>
            <sz val="9"/>
            <color indexed="81"/>
            <rFont val="Tahoma"/>
            <family val="2"/>
          </rPr>
          <t>LPA:</t>
        </r>
        <r>
          <rPr>
            <sz val="9"/>
            <color indexed="81"/>
            <rFont val="Tahoma"/>
            <family val="2"/>
          </rPr>
          <t xml:space="preserve">
проверити збир!
</t>
        </r>
      </text>
    </comment>
    <comment ref="I4973" authorId="0">
      <text>
        <r>
          <rPr>
            <b/>
            <sz val="9"/>
            <color indexed="81"/>
            <rFont val="Tahoma"/>
            <family val="2"/>
          </rPr>
          <t>LPA:</t>
        </r>
        <r>
          <rPr>
            <sz val="9"/>
            <color indexed="81"/>
            <rFont val="Tahoma"/>
            <family val="2"/>
          </rPr>
          <t xml:space="preserve">
проверити збир!
</t>
        </r>
      </text>
    </comment>
    <comment ref="I4974" authorId="0">
      <text>
        <r>
          <rPr>
            <b/>
            <sz val="9"/>
            <color indexed="81"/>
            <rFont val="Tahoma"/>
            <family val="2"/>
          </rPr>
          <t>LPA:</t>
        </r>
        <r>
          <rPr>
            <sz val="9"/>
            <color indexed="81"/>
            <rFont val="Tahoma"/>
            <family val="2"/>
          </rPr>
          <t xml:space="preserve">
проверити збир!
</t>
        </r>
      </text>
    </comment>
    <comment ref="I4975" authorId="0">
      <text>
        <r>
          <rPr>
            <b/>
            <sz val="9"/>
            <color indexed="81"/>
            <rFont val="Tahoma"/>
            <family val="2"/>
          </rPr>
          <t>LPA:</t>
        </r>
        <r>
          <rPr>
            <sz val="9"/>
            <color indexed="81"/>
            <rFont val="Tahoma"/>
            <family val="2"/>
          </rPr>
          <t xml:space="preserve">
проверити збир!
</t>
        </r>
      </text>
    </comment>
    <comment ref="I4976" authorId="0">
      <text>
        <r>
          <rPr>
            <b/>
            <sz val="9"/>
            <color indexed="81"/>
            <rFont val="Tahoma"/>
            <family val="2"/>
          </rPr>
          <t>LPA:</t>
        </r>
        <r>
          <rPr>
            <sz val="9"/>
            <color indexed="81"/>
            <rFont val="Tahoma"/>
            <family val="2"/>
          </rPr>
          <t xml:space="preserve">
проверити збир!
</t>
        </r>
      </text>
    </comment>
    <comment ref="I4977" authorId="0">
      <text>
        <r>
          <rPr>
            <b/>
            <sz val="9"/>
            <color indexed="81"/>
            <rFont val="Tahoma"/>
            <family val="2"/>
          </rPr>
          <t>LPA:</t>
        </r>
        <r>
          <rPr>
            <sz val="9"/>
            <color indexed="81"/>
            <rFont val="Tahoma"/>
            <family val="2"/>
          </rPr>
          <t xml:space="preserve">
проверити збир!
</t>
        </r>
      </text>
    </comment>
    <comment ref="I4978" authorId="0">
      <text>
        <r>
          <rPr>
            <b/>
            <sz val="9"/>
            <color indexed="81"/>
            <rFont val="Tahoma"/>
            <family val="2"/>
          </rPr>
          <t>LPA:</t>
        </r>
        <r>
          <rPr>
            <sz val="9"/>
            <color indexed="81"/>
            <rFont val="Tahoma"/>
            <family val="2"/>
          </rPr>
          <t xml:space="preserve">
проверити збир!
</t>
        </r>
      </text>
    </comment>
    <comment ref="I4979" authorId="0">
      <text>
        <r>
          <rPr>
            <b/>
            <sz val="9"/>
            <color indexed="81"/>
            <rFont val="Tahoma"/>
            <family val="2"/>
          </rPr>
          <t>LPA:</t>
        </r>
        <r>
          <rPr>
            <sz val="9"/>
            <color indexed="81"/>
            <rFont val="Tahoma"/>
            <family val="2"/>
          </rPr>
          <t xml:space="preserve">
проверити збир!
</t>
        </r>
      </text>
    </comment>
    <comment ref="I4980" authorId="0">
      <text>
        <r>
          <rPr>
            <b/>
            <sz val="9"/>
            <color indexed="81"/>
            <rFont val="Tahoma"/>
            <family val="2"/>
          </rPr>
          <t>LPA:</t>
        </r>
        <r>
          <rPr>
            <sz val="9"/>
            <color indexed="81"/>
            <rFont val="Tahoma"/>
            <family val="2"/>
          </rPr>
          <t xml:space="preserve">
проверити збир!
</t>
        </r>
      </text>
    </comment>
    <comment ref="I4981" authorId="0">
      <text>
        <r>
          <rPr>
            <b/>
            <sz val="9"/>
            <color indexed="81"/>
            <rFont val="Tahoma"/>
            <family val="2"/>
          </rPr>
          <t>LPA:</t>
        </r>
        <r>
          <rPr>
            <sz val="9"/>
            <color indexed="81"/>
            <rFont val="Tahoma"/>
            <family val="2"/>
          </rPr>
          <t xml:space="preserve">
проверити збир!
</t>
        </r>
      </text>
    </comment>
    <comment ref="I4982" authorId="0">
      <text>
        <r>
          <rPr>
            <b/>
            <sz val="9"/>
            <color indexed="81"/>
            <rFont val="Tahoma"/>
            <family val="2"/>
          </rPr>
          <t>LPA:</t>
        </r>
        <r>
          <rPr>
            <sz val="9"/>
            <color indexed="81"/>
            <rFont val="Tahoma"/>
            <family val="2"/>
          </rPr>
          <t xml:space="preserve">
проверити збир!
</t>
        </r>
      </text>
    </comment>
    <comment ref="I4997" authorId="0">
      <text>
        <r>
          <rPr>
            <b/>
            <sz val="9"/>
            <color indexed="81"/>
            <rFont val="Tahoma"/>
            <family val="2"/>
          </rPr>
          <t>LPA:</t>
        </r>
        <r>
          <rPr>
            <sz val="9"/>
            <color indexed="81"/>
            <rFont val="Tahoma"/>
            <family val="2"/>
          </rPr>
          <t xml:space="preserve">
проверити збир!
</t>
        </r>
      </text>
    </comment>
    <comment ref="I4998" authorId="0">
      <text>
        <r>
          <rPr>
            <b/>
            <sz val="9"/>
            <color indexed="81"/>
            <rFont val="Tahoma"/>
            <family val="2"/>
          </rPr>
          <t>LPA:</t>
        </r>
        <r>
          <rPr>
            <sz val="9"/>
            <color indexed="81"/>
            <rFont val="Tahoma"/>
            <family val="2"/>
          </rPr>
          <t xml:space="preserve">
проверити збир!
</t>
        </r>
      </text>
    </comment>
    <comment ref="I4999" authorId="0">
      <text>
        <r>
          <rPr>
            <b/>
            <sz val="9"/>
            <color indexed="81"/>
            <rFont val="Tahoma"/>
            <family val="2"/>
          </rPr>
          <t>LPA:</t>
        </r>
        <r>
          <rPr>
            <sz val="9"/>
            <color indexed="81"/>
            <rFont val="Tahoma"/>
            <family val="2"/>
          </rPr>
          <t xml:space="preserve">
проверити збир!
</t>
        </r>
      </text>
    </comment>
    <comment ref="I5000" authorId="0">
      <text>
        <r>
          <rPr>
            <b/>
            <sz val="9"/>
            <color indexed="81"/>
            <rFont val="Tahoma"/>
            <family val="2"/>
          </rPr>
          <t>LPA:</t>
        </r>
        <r>
          <rPr>
            <sz val="9"/>
            <color indexed="81"/>
            <rFont val="Tahoma"/>
            <family val="2"/>
          </rPr>
          <t xml:space="preserve">
проверити збир!
</t>
        </r>
      </text>
    </comment>
    <comment ref="I5001" authorId="0">
      <text>
        <r>
          <rPr>
            <b/>
            <sz val="9"/>
            <color indexed="81"/>
            <rFont val="Tahoma"/>
            <family val="2"/>
          </rPr>
          <t>LPA:</t>
        </r>
        <r>
          <rPr>
            <sz val="9"/>
            <color indexed="81"/>
            <rFont val="Tahoma"/>
            <family val="2"/>
          </rPr>
          <t xml:space="preserve">
проверити збир!
</t>
        </r>
      </text>
    </comment>
    <comment ref="I5002" authorId="0">
      <text>
        <r>
          <rPr>
            <b/>
            <sz val="9"/>
            <color indexed="81"/>
            <rFont val="Tahoma"/>
            <family val="2"/>
          </rPr>
          <t>LPA:</t>
        </r>
        <r>
          <rPr>
            <sz val="9"/>
            <color indexed="81"/>
            <rFont val="Tahoma"/>
            <family val="2"/>
          </rPr>
          <t xml:space="preserve">
проверити збир!
</t>
        </r>
      </text>
    </comment>
    <comment ref="I5003" authorId="0">
      <text>
        <r>
          <rPr>
            <b/>
            <sz val="9"/>
            <color indexed="81"/>
            <rFont val="Tahoma"/>
            <family val="2"/>
          </rPr>
          <t>LPA:</t>
        </r>
        <r>
          <rPr>
            <sz val="9"/>
            <color indexed="81"/>
            <rFont val="Tahoma"/>
            <family val="2"/>
          </rPr>
          <t xml:space="preserve">
проверити збир!
</t>
        </r>
      </text>
    </comment>
    <comment ref="I5004" authorId="0">
      <text>
        <r>
          <rPr>
            <b/>
            <sz val="9"/>
            <color indexed="81"/>
            <rFont val="Tahoma"/>
            <family val="2"/>
          </rPr>
          <t>LPA:</t>
        </r>
        <r>
          <rPr>
            <sz val="9"/>
            <color indexed="81"/>
            <rFont val="Tahoma"/>
            <family val="2"/>
          </rPr>
          <t xml:space="preserve">
проверити збир!
</t>
        </r>
      </text>
    </comment>
    <comment ref="I5005" authorId="0">
      <text>
        <r>
          <rPr>
            <b/>
            <sz val="9"/>
            <color indexed="81"/>
            <rFont val="Tahoma"/>
            <family val="2"/>
          </rPr>
          <t>LPA:</t>
        </r>
        <r>
          <rPr>
            <sz val="9"/>
            <color indexed="81"/>
            <rFont val="Tahoma"/>
            <family val="2"/>
          </rPr>
          <t xml:space="preserve">
проверити збир!
</t>
        </r>
      </text>
    </comment>
    <comment ref="I5006" authorId="0">
      <text>
        <r>
          <rPr>
            <b/>
            <sz val="9"/>
            <color indexed="81"/>
            <rFont val="Tahoma"/>
            <family val="2"/>
          </rPr>
          <t>LPA:</t>
        </r>
        <r>
          <rPr>
            <sz val="9"/>
            <color indexed="81"/>
            <rFont val="Tahoma"/>
            <family val="2"/>
          </rPr>
          <t xml:space="preserve">
проверити збир!
</t>
        </r>
      </text>
    </comment>
    <comment ref="I5007" authorId="0">
      <text>
        <r>
          <rPr>
            <b/>
            <sz val="9"/>
            <color indexed="81"/>
            <rFont val="Tahoma"/>
            <family val="2"/>
          </rPr>
          <t>LPA:</t>
        </r>
        <r>
          <rPr>
            <sz val="9"/>
            <color indexed="81"/>
            <rFont val="Tahoma"/>
            <family val="2"/>
          </rPr>
          <t xml:space="preserve">
проверити збир!
</t>
        </r>
      </text>
    </comment>
    <comment ref="I5008" authorId="0">
      <text>
        <r>
          <rPr>
            <b/>
            <sz val="9"/>
            <color indexed="81"/>
            <rFont val="Tahoma"/>
            <family val="2"/>
          </rPr>
          <t>LPA:</t>
        </r>
        <r>
          <rPr>
            <sz val="9"/>
            <color indexed="81"/>
            <rFont val="Tahoma"/>
            <family val="2"/>
          </rPr>
          <t xml:space="preserve">
проверити збир!
</t>
        </r>
      </text>
    </comment>
    <comment ref="I5009" authorId="0">
      <text>
        <r>
          <rPr>
            <b/>
            <sz val="9"/>
            <color indexed="81"/>
            <rFont val="Tahoma"/>
            <family val="2"/>
          </rPr>
          <t>LPA:</t>
        </r>
        <r>
          <rPr>
            <sz val="9"/>
            <color indexed="81"/>
            <rFont val="Tahoma"/>
            <family val="2"/>
          </rPr>
          <t xml:space="preserve">
проверити збир!
</t>
        </r>
      </text>
    </comment>
    <comment ref="H5012" authorId="0">
      <text>
        <r>
          <rPr>
            <b/>
            <sz val="9"/>
            <color indexed="81"/>
            <rFont val="Tahoma"/>
            <family val="2"/>
          </rPr>
          <t>LPA:</t>
        </r>
        <r>
          <rPr>
            <sz val="9"/>
            <color indexed="81"/>
            <rFont val="Tahoma"/>
            <family val="2"/>
          </rPr>
          <t xml:space="preserve">
проверити збир!</t>
        </r>
      </text>
    </comment>
    <comment ref="I5012" authorId="0">
      <text>
        <r>
          <rPr>
            <b/>
            <sz val="9"/>
            <color indexed="81"/>
            <rFont val="Tahoma"/>
            <family val="2"/>
          </rPr>
          <t>LPA:</t>
        </r>
        <r>
          <rPr>
            <sz val="9"/>
            <color indexed="81"/>
            <rFont val="Tahoma"/>
            <family val="2"/>
          </rPr>
          <t xml:space="preserve">
проверити збир!</t>
        </r>
      </text>
    </comment>
    <comment ref="I5013" authorId="0">
      <text>
        <r>
          <rPr>
            <b/>
            <sz val="9"/>
            <color indexed="81"/>
            <rFont val="Tahoma"/>
            <family val="2"/>
          </rPr>
          <t>LPA:</t>
        </r>
        <r>
          <rPr>
            <sz val="9"/>
            <color indexed="81"/>
            <rFont val="Tahoma"/>
            <family val="2"/>
          </rPr>
          <t xml:space="preserve">
проверити збир!
</t>
        </r>
      </text>
    </comment>
    <comment ref="I5014" authorId="0">
      <text>
        <r>
          <rPr>
            <b/>
            <sz val="9"/>
            <color indexed="81"/>
            <rFont val="Tahoma"/>
            <family val="2"/>
          </rPr>
          <t>LPA:</t>
        </r>
        <r>
          <rPr>
            <sz val="9"/>
            <color indexed="81"/>
            <rFont val="Tahoma"/>
            <family val="2"/>
          </rPr>
          <t xml:space="preserve">
проверити збир!
</t>
        </r>
      </text>
    </comment>
    <comment ref="I5015" authorId="0">
      <text>
        <r>
          <rPr>
            <b/>
            <sz val="9"/>
            <color indexed="81"/>
            <rFont val="Tahoma"/>
            <family val="2"/>
          </rPr>
          <t>LPA:</t>
        </r>
        <r>
          <rPr>
            <sz val="9"/>
            <color indexed="81"/>
            <rFont val="Tahoma"/>
            <family val="2"/>
          </rPr>
          <t xml:space="preserve">
проверити збир!
</t>
        </r>
      </text>
    </comment>
    <comment ref="I5016" authorId="0">
      <text>
        <r>
          <rPr>
            <b/>
            <sz val="9"/>
            <color indexed="81"/>
            <rFont val="Tahoma"/>
            <family val="2"/>
          </rPr>
          <t>LPA:</t>
        </r>
        <r>
          <rPr>
            <sz val="9"/>
            <color indexed="81"/>
            <rFont val="Tahoma"/>
            <family val="2"/>
          </rPr>
          <t xml:space="preserve">
проверити збир!
</t>
        </r>
      </text>
    </comment>
    <comment ref="I5017" authorId="0">
      <text>
        <r>
          <rPr>
            <b/>
            <sz val="9"/>
            <color indexed="81"/>
            <rFont val="Tahoma"/>
            <family val="2"/>
          </rPr>
          <t>LPA:</t>
        </r>
        <r>
          <rPr>
            <sz val="9"/>
            <color indexed="81"/>
            <rFont val="Tahoma"/>
            <family val="2"/>
          </rPr>
          <t xml:space="preserve">
проверити збир!
</t>
        </r>
      </text>
    </comment>
    <comment ref="I5018" authorId="0">
      <text>
        <r>
          <rPr>
            <b/>
            <sz val="9"/>
            <color indexed="81"/>
            <rFont val="Tahoma"/>
            <family val="2"/>
          </rPr>
          <t>LPA:</t>
        </r>
        <r>
          <rPr>
            <sz val="9"/>
            <color indexed="81"/>
            <rFont val="Tahoma"/>
            <family val="2"/>
          </rPr>
          <t xml:space="preserve">
проверити збир!
</t>
        </r>
      </text>
    </comment>
    <comment ref="I5019" authorId="0">
      <text>
        <r>
          <rPr>
            <b/>
            <sz val="9"/>
            <color indexed="81"/>
            <rFont val="Tahoma"/>
            <family val="2"/>
          </rPr>
          <t>LPA:</t>
        </r>
        <r>
          <rPr>
            <sz val="9"/>
            <color indexed="81"/>
            <rFont val="Tahoma"/>
            <family val="2"/>
          </rPr>
          <t xml:space="preserve">
проверити збир!
</t>
        </r>
      </text>
    </comment>
    <comment ref="I5020" authorId="0">
      <text>
        <r>
          <rPr>
            <b/>
            <sz val="9"/>
            <color indexed="81"/>
            <rFont val="Tahoma"/>
            <family val="2"/>
          </rPr>
          <t>LPA:</t>
        </r>
        <r>
          <rPr>
            <sz val="9"/>
            <color indexed="81"/>
            <rFont val="Tahoma"/>
            <family val="2"/>
          </rPr>
          <t xml:space="preserve">
проверити збир!
</t>
        </r>
      </text>
    </comment>
    <comment ref="I5021" authorId="0">
      <text>
        <r>
          <rPr>
            <b/>
            <sz val="9"/>
            <color indexed="81"/>
            <rFont val="Tahoma"/>
            <family val="2"/>
          </rPr>
          <t>LPA:</t>
        </r>
        <r>
          <rPr>
            <sz val="9"/>
            <color indexed="81"/>
            <rFont val="Tahoma"/>
            <family val="2"/>
          </rPr>
          <t xml:space="preserve">
проверити збир!
</t>
        </r>
      </text>
    </comment>
    <comment ref="I5022" authorId="0">
      <text>
        <r>
          <rPr>
            <b/>
            <sz val="9"/>
            <color indexed="81"/>
            <rFont val="Tahoma"/>
            <family val="2"/>
          </rPr>
          <t>LPA:</t>
        </r>
        <r>
          <rPr>
            <sz val="9"/>
            <color indexed="81"/>
            <rFont val="Tahoma"/>
            <family val="2"/>
          </rPr>
          <t xml:space="preserve">
проверити збир!
</t>
        </r>
      </text>
    </comment>
    <comment ref="I5023" authorId="0">
      <text>
        <r>
          <rPr>
            <b/>
            <sz val="9"/>
            <color indexed="81"/>
            <rFont val="Tahoma"/>
            <family val="2"/>
          </rPr>
          <t>LPA:</t>
        </r>
        <r>
          <rPr>
            <sz val="9"/>
            <color indexed="81"/>
            <rFont val="Tahoma"/>
            <family val="2"/>
          </rPr>
          <t xml:space="preserve">
проверити збир!
</t>
        </r>
      </text>
    </comment>
    <comment ref="I5024" authorId="0">
      <text>
        <r>
          <rPr>
            <b/>
            <sz val="9"/>
            <color indexed="81"/>
            <rFont val="Tahoma"/>
            <family val="2"/>
          </rPr>
          <t>LPA:</t>
        </r>
        <r>
          <rPr>
            <sz val="9"/>
            <color indexed="81"/>
            <rFont val="Tahoma"/>
            <family val="2"/>
          </rPr>
          <t xml:space="preserve">
проверити збир!
</t>
        </r>
      </text>
    </comment>
    <comment ref="I5025" authorId="0">
      <text>
        <r>
          <rPr>
            <b/>
            <sz val="9"/>
            <color indexed="81"/>
            <rFont val="Tahoma"/>
            <family val="2"/>
          </rPr>
          <t>LPA:</t>
        </r>
        <r>
          <rPr>
            <sz val="9"/>
            <color indexed="81"/>
            <rFont val="Tahoma"/>
            <family val="2"/>
          </rPr>
          <t xml:space="preserve">
проверити збир!
</t>
        </r>
      </text>
    </comment>
    <comment ref="I5026" authorId="0">
      <text>
        <r>
          <rPr>
            <b/>
            <sz val="9"/>
            <color indexed="81"/>
            <rFont val="Tahoma"/>
            <family val="2"/>
          </rPr>
          <t>LPA:</t>
        </r>
        <r>
          <rPr>
            <sz val="9"/>
            <color indexed="81"/>
            <rFont val="Tahoma"/>
            <family val="2"/>
          </rPr>
          <t xml:space="preserve">
проверити збир!
</t>
        </r>
      </text>
    </comment>
    <comment ref="I5027" authorId="0">
      <text>
        <r>
          <rPr>
            <b/>
            <sz val="9"/>
            <color indexed="81"/>
            <rFont val="Tahoma"/>
            <family val="2"/>
          </rPr>
          <t>LPA:</t>
        </r>
        <r>
          <rPr>
            <sz val="9"/>
            <color indexed="81"/>
            <rFont val="Tahoma"/>
            <family val="2"/>
          </rPr>
          <t xml:space="preserve">
проверити збир!
</t>
        </r>
      </text>
    </comment>
    <comment ref="I5042" authorId="0">
      <text>
        <r>
          <rPr>
            <b/>
            <sz val="9"/>
            <color indexed="81"/>
            <rFont val="Tahoma"/>
            <family val="2"/>
          </rPr>
          <t>LPA:</t>
        </r>
        <r>
          <rPr>
            <sz val="9"/>
            <color indexed="81"/>
            <rFont val="Tahoma"/>
            <family val="2"/>
          </rPr>
          <t xml:space="preserve">
проверити збир!
</t>
        </r>
      </text>
    </comment>
    <comment ref="I5043" authorId="0">
      <text>
        <r>
          <rPr>
            <b/>
            <sz val="9"/>
            <color indexed="81"/>
            <rFont val="Tahoma"/>
            <family val="2"/>
          </rPr>
          <t>LPA:</t>
        </r>
        <r>
          <rPr>
            <sz val="9"/>
            <color indexed="81"/>
            <rFont val="Tahoma"/>
            <family val="2"/>
          </rPr>
          <t xml:space="preserve">
проверити збир!
</t>
        </r>
      </text>
    </comment>
    <comment ref="I5044" authorId="0">
      <text>
        <r>
          <rPr>
            <b/>
            <sz val="9"/>
            <color indexed="81"/>
            <rFont val="Tahoma"/>
            <family val="2"/>
          </rPr>
          <t>LPA:</t>
        </r>
        <r>
          <rPr>
            <sz val="9"/>
            <color indexed="81"/>
            <rFont val="Tahoma"/>
            <family val="2"/>
          </rPr>
          <t xml:space="preserve">
проверити збир!
</t>
        </r>
      </text>
    </comment>
    <comment ref="I5045" authorId="0">
      <text>
        <r>
          <rPr>
            <b/>
            <sz val="9"/>
            <color indexed="81"/>
            <rFont val="Tahoma"/>
            <family val="2"/>
          </rPr>
          <t>LPA:</t>
        </r>
        <r>
          <rPr>
            <sz val="9"/>
            <color indexed="81"/>
            <rFont val="Tahoma"/>
            <family val="2"/>
          </rPr>
          <t xml:space="preserve">
проверити збир!
</t>
        </r>
      </text>
    </comment>
    <comment ref="I5046" authorId="0">
      <text>
        <r>
          <rPr>
            <b/>
            <sz val="9"/>
            <color indexed="81"/>
            <rFont val="Tahoma"/>
            <family val="2"/>
          </rPr>
          <t>LPA:</t>
        </r>
        <r>
          <rPr>
            <sz val="9"/>
            <color indexed="81"/>
            <rFont val="Tahoma"/>
            <family val="2"/>
          </rPr>
          <t xml:space="preserve">
проверити збир!
</t>
        </r>
      </text>
    </comment>
    <comment ref="I5047" authorId="0">
      <text>
        <r>
          <rPr>
            <b/>
            <sz val="9"/>
            <color indexed="81"/>
            <rFont val="Tahoma"/>
            <family val="2"/>
          </rPr>
          <t>LPA:</t>
        </r>
        <r>
          <rPr>
            <sz val="9"/>
            <color indexed="81"/>
            <rFont val="Tahoma"/>
            <family val="2"/>
          </rPr>
          <t xml:space="preserve">
проверити збир!
</t>
        </r>
      </text>
    </comment>
    <comment ref="I5048" authorId="0">
      <text>
        <r>
          <rPr>
            <b/>
            <sz val="9"/>
            <color indexed="81"/>
            <rFont val="Tahoma"/>
            <family val="2"/>
          </rPr>
          <t>LPA:</t>
        </r>
        <r>
          <rPr>
            <sz val="9"/>
            <color indexed="81"/>
            <rFont val="Tahoma"/>
            <family val="2"/>
          </rPr>
          <t xml:space="preserve">
проверити збир!
</t>
        </r>
      </text>
    </comment>
    <comment ref="I5049" authorId="0">
      <text>
        <r>
          <rPr>
            <b/>
            <sz val="9"/>
            <color indexed="81"/>
            <rFont val="Tahoma"/>
            <family val="2"/>
          </rPr>
          <t>LPA:</t>
        </r>
        <r>
          <rPr>
            <sz val="9"/>
            <color indexed="81"/>
            <rFont val="Tahoma"/>
            <family val="2"/>
          </rPr>
          <t xml:space="preserve">
проверити збир!
</t>
        </r>
      </text>
    </comment>
    <comment ref="I5050" authorId="0">
      <text>
        <r>
          <rPr>
            <b/>
            <sz val="9"/>
            <color indexed="81"/>
            <rFont val="Tahoma"/>
            <family val="2"/>
          </rPr>
          <t>LPA:</t>
        </r>
        <r>
          <rPr>
            <sz val="9"/>
            <color indexed="81"/>
            <rFont val="Tahoma"/>
            <family val="2"/>
          </rPr>
          <t xml:space="preserve">
проверити збир!
</t>
        </r>
      </text>
    </comment>
    <comment ref="I5051" authorId="0">
      <text>
        <r>
          <rPr>
            <b/>
            <sz val="9"/>
            <color indexed="81"/>
            <rFont val="Tahoma"/>
            <family val="2"/>
          </rPr>
          <t>LPA:</t>
        </r>
        <r>
          <rPr>
            <sz val="9"/>
            <color indexed="81"/>
            <rFont val="Tahoma"/>
            <family val="2"/>
          </rPr>
          <t xml:space="preserve">
проверити збир!
</t>
        </r>
      </text>
    </comment>
    <comment ref="I5052" authorId="0">
      <text>
        <r>
          <rPr>
            <b/>
            <sz val="9"/>
            <color indexed="81"/>
            <rFont val="Tahoma"/>
            <family val="2"/>
          </rPr>
          <t>LPA:</t>
        </r>
        <r>
          <rPr>
            <sz val="9"/>
            <color indexed="81"/>
            <rFont val="Tahoma"/>
            <family val="2"/>
          </rPr>
          <t xml:space="preserve">
проверити збир!
</t>
        </r>
      </text>
    </comment>
    <comment ref="I5053" authorId="0">
      <text>
        <r>
          <rPr>
            <b/>
            <sz val="9"/>
            <color indexed="81"/>
            <rFont val="Tahoma"/>
            <family val="2"/>
          </rPr>
          <t>LPA:</t>
        </r>
        <r>
          <rPr>
            <sz val="9"/>
            <color indexed="81"/>
            <rFont val="Tahoma"/>
            <family val="2"/>
          </rPr>
          <t xml:space="preserve">
проверити збир!
</t>
        </r>
      </text>
    </comment>
    <comment ref="I5054" authorId="0">
      <text>
        <r>
          <rPr>
            <b/>
            <sz val="9"/>
            <color indexed="81"/>
            <rFont val="Tahoma"/>
            <family val="2"/>
          </rPr>
          <t>LPA:</t>
        </r>
        <r>
          <rPr>
            <sz val="9"/>
            <color indexed="81"/>
            <rFont val="Tahoma"/>
            <family val="2"/>
          </rPr>
          <t xml:space="preserve">
проверити збир!
</t>
        </r>
      </text>
    </comment>
    <comment ref="H5057" authorId="0">
      <text>
        <r>
          <rPr>
            <b/>
            <sz val="9"/>
            <color indexed="81"/>
            <rFont val="Tahoma"/>
            <family val="2"/>
          </rPr>
          <t>LPA:</t>
        </r>
        <r>
          <rPr>
            <sz val="9"/>
            <color indexed="81"/>
            <rFont val="Tahoma"/>
            <family val="2"/>
          </rPr>
          <t xml:space="preserve">
проверити збир!</t>
        </r>
      </text>
    </comment>
    <comment ref="I5057" authorId="0">
      <text>
        <r>
          <rPr>
            <b/>
            <sz val="9"/>
            <color indexed="81"/>
            <rFont val="Tahoma"/>
            <family val="2"/>
          </rPr>
          <t>LPA:</t>
        </r>
        <r>
          <rPr>
            <sz val="9"/>
            <color indexed="81"/>
            <rFont val="Tahoma"/>
            <family val="2"/>
          </rPr>
          <t xml:space="preserve">
проверити збир!</t>
        </r>
      </text>
    </comment>
    <comment ref="I5058" authorId="0">
      <text>
        <r>
          <rPr>
            <b/>
            <sz val="9"/>
            <color indexed="81"/>
            <rFont val="Tahoma"/>
            <family val="2"/>
          </rPr>
          <t>LPA:</t>
        </r>
        <r>
          <rPr>
            <sz val="9"/>
            <color indexed="81"/>
            <rFont val="Tahoma"/>
            <family val="2"/>
          </rPr>
          <t xml:space="preserve">
проверити збир!
</t>
        </r>
      </text>
    </comment>
    <comment ref="I5059" authorId="0">
      <text>
        <r>
          <rPr>
            <b/>
            <sz val="9"/>
            <color indexed="81"/>
            <rFont val="Tahoma"/>
            <family val="2"/>
          </rPr>
          <t>LPA:</t>
        </r>
        <r>
          <rPr>
            <sz val="9"/>
            <color indexed="81"/>
            <rFont val="Tahoma"/>
            <family val="2"/>
          </rPr>
          <t xml:space="preserve">
проверити збир!
</t>
        </r>
      </text>
    </comment>
    <comment ref="I5060" authorId="0">
      <text>
        <r>
          <rPr>
            <b/>
            <sz val="9"/>
            <color indexed="81"/>
            <rFont val="Tahoma"/>
            <family val="2"/>
          </rPr>
          <t>LPA:</t>
        </r>
        <r>
          <rPr>
            <sz val="9"/>
            <color indexed="81"/>
            <rFont val="Tahoma"/>
            <family val="2"/>
          </rPr>
          <t xml:space="preserve">
проверити збир!
</t>
        </r>
      </text>
    </comment>
    <comment ref="I5061" authorId="0">
      <text>
        <r>
          <rPr>
            <b/>
            <sz val="9"/>
            <color indexed="81"/>
            <rFont val="Tahoma"/>
            <family val="2"/>
          </rPr>
          <t>LPA:</t>
        </r>
        <r>
          <rPr>
            <sz val="9"/>
            <color indexed="81"/>
            <rFont val="Tahoma"/>
            <family val="2"/>
          </rPr>
          <t xml:space="preserve">
проверити збир!
</t>
        </r>
      </text>
    </comment>
    <comment ref="I5062" authorId="0">
      <text>
        <r>
          <rPr>
            <b/>
            <sz val="9"/>
            <color indexed="81"/>
            <rFont val="Tahoma"/>
            <family val="2"/>
          </rPr>
          <t>LPA:</t>
        </r>
        <r>
          <rPr>
            <sz val="9"/>
            <color indexed="81"/>
            <rFont val="Tahoma"/>
            <family val="2"/>
          </rPr>
          <t xml:space="preserve">
проверити збир!
</t>
        </r>
      </text>
    </comment>
    <comment ref="I5063" authorId="0">
      <text>
        <r>
          <rPr>
            <b/>
            <sz val="9"/>
            <color indexed="81"/>
            <rFont val="Tahoma"/>
            <family val="2"/>
          </rPr>
          <t>LPA:</t>
        </r>
        <r>
          <rPr>
            <sz val="9"/>
            <color indexed="81"/>
            <rFont val="Tahoma"/>
            <family val="2"/>
          </rPr>
          <t xml:space="preserve">
проверити збир!
</t>
        </r>
      </text>
    </comment>
    <comment ref="I5064" authorId="0">
      <text>
        <r>
          <rPr>
            <b/>
            <sz val="9"/>
            <color indexed="81"/>
            <rFont val="Tahoma"/>
            <family val="2"/>
          </rPr>
          <t>LPA:</t>
        </r>
        <r>
          <rPr>
            <sz val="9"/>
            <color indexed="81"/>
            <rFont val="Tahoma"/>
            <family val="2"/>
          </rPr>
          <t xml:space="preserve">
проверити збир!
</t>
        </r>
      </text>
    </comment>
    <comment ref="I5065" authorId="0">
      <text>
        <r>
          <rPr>
            <b/>
            <sz val="9"/>
            <color indexed="81"/>
            <rFont val="Tahoma"/>
            <family val="2"/>
          </rPr>
          <t>LPA:</t>
        </r>
        <r>
          <rPr>
            <sz val="9"/>
            <color indexed="81"/>
            <rFont val="Tahoma"/>
            <family val="2"/>
          </rPr>
          <t xml:space="preserve">
проверити збир!
</t>
        </r>
      </text>
    </comment>
    <comment ref="I5066" authorId="0">
      <text>
        <r>
          <rPr>
            <b/>
            <sz val="9"/>
            <color indexed="81"/>
            <rFont val="Tahoma"/>
            <family val="2"/>
          </rPr>
          <t>LPA:</t>
        </r>
        <r>
          <rPr>
            <sz val="9"/>
            <color indexed="81"/>
            <rFont val="Tahoma"/>
            <family val="2"/>
          </rPr>
          <t xml:space="preserve">
проверити збир!
</t>
        </r>
      </text>
    </comment>
    <comment ref="I5067" authorId="0">
      <text>
        <r>
          <rPr>
            <b/>
            <sz val="9"/>
            <color indexed="81"/>
            <rFont val="Tahoma"/>
            <family val="2"/>
          </rPr>
          <t>LPA:</t>
        </r>
        <r>
          <rPr>
            <sz val="9"/>
            <color indexed="81"/>
            <rFont val="Tahoma"/>
            <family val="2"/>
          </rPr>
          <t xml:space="preserve">
проверити збир!
</t>
        </r>
      </text>
    </comment>
    <comment ref="I5068" authorId="0">
      <text>
        <r>
          <rPr>
            <b/>
            <sz val="9"/>
            <color indexed="81"/>
            <rFont val="Tahoma"/>
            <family val="2"/>
          </rPr>
          <t>LPA:</t>
        </r>
        <r>
          <rPr>
            <sz val="9"/>
            <color indexed="81"/>
            <rFont val="Tahoma"/>
            <family val="2"/>
          </rPr>
          <t xml:space="preserve">
проверити збир!
</t>
        </r>
      </text>
    </comment>
    <comment ref="I5069" authorId="0">
      <text>
        <r>
          <rPr>
            <b/>
            <sz val="9"/>
            <color indexed="81"/>
            <rFont val="Tahoma"/>
            <family val="2"/>
          </rPr>
          <t>LPA:</t>
        </r>
        <r>
          <rPr>
            <sz val="9"/>
            <color indexed="81"/>
            <rFont val="Tahoma"/>
            <family val="2"/>
          </rPr>
          <t xml:space="preserve">
проверити збир!
</t>
        </r>
      </text>
    </comment>
    <comment ref="I5070" authorId="0">
      <text>
        <r>
          <rPr>
            <b/>
            <sz val="9"/>
            <color indexed="81"/>
            <rFont val="Tahoma"/>
            <family val="2"/>
          </rPr>
          <t>LPA:</t>
        </r>
        <r>
          <rPr>
            <sz val="9"/>
            <color indexed="81"/>
            <rFont val="Tahoma"/>
            <family val="2"/>
          </rPr>
          <t xml:space="preserve">
проверити збир!
</t>
        </r>
      </text>
    </comment>
    <comment ref="I5071" authorId="0">
      <text>
        <r>
          <rPr>
            <b/>
            <sz val="9"/>
            <color indexed="81"/>
            <rFont val="Tahoma"/>
            <family val="2"/>
          </rPr>
          <t>LPA:</t>
        </r>
        <r>
          <rPr>
            <sz val="9"/>
            <color indexed="81"/>
            <rFont val="Tahoma"/>
            <family val="2"/>
          </rPr>
          <t xml:space="preserve">
проверити збир!
</t>
        </r>
      </text>
    </comment>
    <comment ref="I5072" authorId="0">
      <text>
        <r>
          <rPr>
            <b/>
            <sz val="9"/>
            <color indexed="81"/>
            <rFont val="Tahoma"/>
            <family val="2"/>
          </rPr>
          <t>LPA:</t>
        </r>
        <r>
          <rPr>
            <sz val="9"/>
            <color indexed="81"/>
            <rFont val="Tahoma"/>
            <family val="2"/>
          </rPr>
          <t xml:space="preserve">
проверити збир!
</t>
        </r>
      </text>
    </comment>
    <comment ref="I5083" authorId="0">
      <text>
        <r>
          <rPr>
            <b/>
            <sz val="9"/>
            <color indexed="81"/>
            <rFont val="Tahoma"/>
            <family val="2"/>
          </rPr>
          <t>LPA:</t>
        </r>
        <r>
          <rPr>
            <sz val="9"/>
            <color indexed="81"/>
            <rFont val="Tahoma"/>
            <family val="2"/>
          </rPr>
          <t xml:space="preserve">
проверити збир!
</t>
        </r>
      </text>
    </comment>
    <comment ref="I5084" authorId="0">
      <text>
        <r>
          <rPr>
            <b/>
            <sz val="9"/>
            <color indexed="81"/>
            <rFont val="Tahoma"/>
            <family val="2"/>
          </rPr>
          <t>LPA:</t>
        </r>
        <r>
          <rPr>
            <sz val="9"/>
            <color indexed="81"/>
            <rFont val="Tahoma"/>
            <family val="2"/>
          </rPr>
          <t xml:space="preserve">
проверити збир!
</t>
        </r>
      </text>
    </comment>
    <comment ref="I5085" authorId="0">
      <text>
        <r>
          <rPr>
            <b/>
            <sz val="9"/>
            <color indexed="81"/>
            <rFont val="Tahoma"/>
            <family val="2"/>
          </rPr>
          <t>LPA:</t>
        </r>
        <r>
          <rPr>
            <sz val="9"/>
            <color indexed="81"/>
            <rFont val="Tahoma"/>
            <family val="2"/>
          </rPr>
          <t xml:space="preserve">
проверити збир!
</t>
        </r>
      </text>
    </comment>
    <comment ref="I5086" authorId="0">
      <text>
        <r>
          <rPr>
            <b/>
            <sz val="9"/>
            <color indexed="81"/>
            <rFont val="Tahoma"/>
            <family val="2"/>
          </rPr>
          <t>LPA:</t>
        </r>
        <r>
          <rPr>
            <sz val="9"/>
            <color indexed="81"/>
            <rFont val="Tahoma"/>
            <family val="2"/>
          </rPr>
          <t xml:space="preserve">
проверити збир!
</t>
        </r>
      </text>
    </comment>
    <comment ref="I5087" authorId="0">
      <text>
        <r>
          <rPr>
            <b/>
            <sz val="9"/>
            <color indexed="81"/>
            <rFont val="Tahoma"/>
            <family val="2"/>
          </rPr>
          <t>LPA:</t>
        </r>
        <r>
          <rPr>
            <sz val="9"/>
            <color indexed="81"/>
            <rFont val="Tahoma"/>
            <family val="2"/>
          </rPr>
          <t xml:space="preserve">
проверити збир!
</t>
        </r>
      </text>
    </comment>
    <comment ref="I5088" authorId="0">
      <text>
        <r>
          <rPr>
            <b/>
            <sz val="9"/>
            <color indexed="81"/>
            <rFont val="Tahoma"/>
            <family val="2"/>
          </rPr>
          <t>LPA:</t>
        </r>
        <r>
          <rPr>
            <sz val="9"/>
            <color indexed="81"/>
            <rFont val="Tahoma"/>
            <family val="2"/>
          </rPr>
          <t xml:space="preserve">
проверити збир!
</t>
        </r>
      </text>
    </comment>
    <comment ref="I5089" authorId="0">
      <text>
        <r>
          <rPr>
            <b/>
            <sz val="9"/>
            <color indexed="81"/>
            <rFont val="Tahoma"/>
            <family val="2"/>
          </rPr>
          <t>LPA:</t>
        </r>
        <r>
          <rPr>
            <sz val="9"/>
            <color indexed="81"/>
            <rFont val="Tahoma"/>
            <family val="2"/>
          </rPr>
          <t xml:space="preserve">
проверити збир!
</t>
        </r>
      </text>
    </comment>
    <comment ref="I5090" authorId="0">
      <text>
        <r>
          <rPr>
            <b/>
            <sz val="9"/>
            <color indexed="81"/>
            <rFont val="Tahoma"/>
            <family val="2"/>
          </rPr>
          <t>LPA:</t>
        </r>
        <r>
          <rPr>
            <sz val="9"/>
            <color indexed="81"/>
            <rFont val="Tahoma"/>
            <family val="2"/>
          </rPr>
          <t xml:space="preserve">
проверити збир!
</t>
        </r>
      </text>
    </comment>
    <comment ref="I5091" authorId="0">
      <text>
        <r>
          <rPr>
            <b/>
            <sz val="9"/>
            <color indexed="81"/>
            <rFont val="Tahoma"/>
            <family val="2"/>
          </rPr>
          <t>LPA:</t>
        </r>
        <r>
          <rPr>
            <sz val="9"/>
            <color indexed="81"/>
            <rFont val="Tahoma"/>
            <family val="2"/>
          </rPr>
          <t xml:space="preserve">
проверити збир!
</t>
        </r>
      </text>
    </comment>
    <comment ref="I5092" authorId="0">
      <text>
        <r>
          <rPr>
            <b/>
            <sz val="9"/>
            <color indexed="81"/>
            <rFont val="Tahoma"/>
            <family val="2"/>
          </rPr>
          <t>LPA:</t>
        </r>
        <r>
          <rPr>
            <sz val="9"/>
            <color indexed="81"/>
            <rFont val="Tahoma"/>
            <family val="2"/>
          </rPr>
          <t xml:space="preserve">
проверити збир!
</t>
        </r>
      </text>
    </comment>
    <comment ref="I5093" authorId="0">
      <text>
        <r>
          <rPr>
            <b/>
            <sz val="9"/>
            <color indexed="81"/>
            <rFont val="Tahoma"/>
            <family val="2"/>
          </rPr>
          <t>LPA:</t>
        </r>
        <r>
          <rPr>
            <sz val="9"/>
            <color indexed="81"/>
            <rFont val="Tahoma"/>
            <family val="2"/>
          </rPr>
          <t xml:space="preserve">
проверити збир!
</t>
        </r>
      </text>
    </comment>
    <comment ref="I5094" authorId="0">
      <text>
        <r>
          <rPr>
            <b/>
            <sz val="9"/>
            <color indexed="81"/>
            <rFont val="Tahoma"/>
            <family val="2"/>
          </rPr>
          <t>LPA:</t>
        </r>
        <r>
          <rPr>
            <sz val="9"/>
            <color indexed="81"/>
            <rFont val="Tahoma"/>
            <family val="2"/>
          </rPr>
          <t xml:space="preserve">
проверити збир!
</t>
        </r>
      </text>
    </comment>
    <comment ref="I5095" authorId="0">
      <text>
        <r>
          <rPr>
            <b/>
            <sz val="9"/>
            <color indexed="81"/>
            <rFont val="Tahoma"/>
            <family val="2"/>
          </rPr>
          <t>LPA:</t>
        </r>
        <r>
          <rPr>
            <sz val="9"/>
            <color indexed="81"/>
            <rFont val="Tahoma"/>
            <family val="2"/>
          </rPr>
          <t xml:space="preserve">
проверити збир!
</t>
        </r>
      </text>
    </comment>
    <comment ref="H5098" authorId="0">
      <text>
        <r>
          <rPr>
            <b/>
            <sz val="9"/>
            <color indexed="81"/>
            <rFont val="Tahoma"/>
            <family val="2"/>
          </rPr>
          <t>LPA:</t>
        </r>
        <r>
          <rPr>
            <sz val="9"/>
            <color indexed="81"/>
            <rFont val="Tahoma"/>
            <family val="2"/>
          </rPr>
          <t xml:space="preserve">
проверити збир!</t>
        </r>
      </text>
    </comment>
    <comment ref="I5098" authorId="0">
      <text>
        <r>
          <rPr>
            <b/>
            <sz val="9"/>
            <color indexed="81"/>
            <rFont val="Tahoma"/>
            <family val="2"/>
          </rPr>
          <t>LPA:</t>
        </r>
        <r>
          <rPr>
            <sz val="9"/>
            <color indexed="81"/>
            <rFont val="Tahoma"/>
            <family val="2"/>
          </rPr>
          <t xml:space="preserve">
проверити збир!</t>
        </r>
      </text>
    </comment>
    <comment ref="I5099" authorId="0">
      <text>
        <r>
          <rPr>
            <b/>
            <sz val="9"/>
            <color indexed="81"/>
            <rFont val="Tahoma"/>
            <family val="2"/>
          </rPr>
          <t>LPA:</t>
        </r>
        <r>
          <rPr>
            <sz val="9"/>
            <color indexed="81"/>
            <rFont val="Tahoma"/>
            <family val="2"/>
          </rPr>
          <t xml:space="preserve">
проверити збир!
</t>
        </r>
      </text>
    </comment>
    <comment ref="I5100" authorId="0">
      <text>
        <r>
          <rPr>
            <b/>
            <sz val="9"/>
            <color indexed="81"/>
            <rFont val="Tahoma"/>
            <family val="2"/>
          </rPr>
          <t>LPA:</t>
        </r>
        <r>
          <rPr>
            <sz val="9"/>
            <color indexed="81"/>
            <rFont val="Tahoma"/>
            <family val="2"/>
          </rPr>
          <t xml:space="preserve">
проверити збир!
</t>
        </r>
      </text>
    </comment>
    <comment ref="I5101" authorId="0">
      <text>
        <r>
          <rPr>
            <b/>
            <sz val="9"/>
            <color indexed="81"/>
            <rFont val="Tahoma"/>
            <family val="2"/>
          </rPr>
          <t>LPA:</t>
        </r>
        <r>
          <rPr>
            <sz val="9"/>
            <color indexed="81"/>
            <rFont val="Tahoma"/>
            <family val="2"/>
          </rPr>
          <t xml:space="preserve">
проверити збир!
</t>
        </r>
      </text>
    </comment>
    <comment ref="I5102" authorId="0">
      <text>
        <r>
          <rPr>
            <b/>
            <sz val="9"/>
            <color indexed="81"/>
            <rFont val="Tahoma"/>
            <family val="2"/>
          </rPr>
          <t>LPA:</t>
        </r>
        <r>
          <rPr>
            <sz val="9"/>
            <color indexed="81"/>
            <rFont val="Tahoma"/>
            <family val="2"/>
          </rPr>
          <t xml:space="preserve">
проверити збир!
</t>
        </r>
      </text>
    </comment>
    <comment ref="I5103" authorId="0">
      <text>
        <r>
          <rPr>
            <b/>
            <sz val="9"/>
            <color indexed="81"/>
            <rFont val="Tahoma"/>
            <family val="2"/>
          </rPr>
          <t>LPA:</t>
        </r>
        <r>
          <rPr>
            <sz val="9"/>
            <color indexed="81"/>
            <rFont val="Tahoma"/>
            <family val="2"/>
          </rPr>
          <t xml:space="preserve">
проверити збир!
</t>
        </r>
      </text>
    </comment>
    <comment ref="I5104" authorId="0">
      <text>
        <r>
          <rPr>
            <b/>
            <sz val="9"/>
            <color indexed="81"/>
            <rFont val="Tahoma"/>
            <family val="2"/>
          </rPr>
          <t>LPA:</t>
        </r>
        <r>
          <rPr>
            <sz val="9"/>
            <color indexed="81"/>
            <rFont val="Tahoma"/>
            <family val="2"/>
          </rPr>
          <t xml:space="preserve">
проверити збир!
</t>
        </r>
      </text>
    </comment>
    <comment ref="I5105" authorId="0">
      <text>
        <r>
          <rPr>
            <b/>
            <sz val="9"/>
            <color indexed="81"/>
            <rFont val="Tahoma"/>
            <family val="2"/>
          </rPr>
          <t>LPA:</t>
        </r>
        <r>
          <rPr>
            <sz val="9"/>
            <color indexed="81"/>
            <rFont val="Tahoma"/>
            <family val="2"/>
          </rPr>
          <t xml:space="preserve">
проверити збир!
</t>
        </r>
      </text>
    </comment>
    <comment ref="I5106" authorId="0">
      <text>
        <r>
          <rPr>
            <b/>
            <sz val="9"/>
            <color indexed="81"/>
            <rFont val="Tahoma"/>
            <family val="2"/>
          </rPr>
          <t>LPA:</t>
        </r>
        <r>
          <rPr>
            <sz val="9"/>
            <color indexed="81"/>
            <rFont val="Tahoma"/>
            <family val="2"/>
          </rPr>
          <t xml:space="preserve">
проверити збир!
</t>
        </r>
      </text>
    </comment>
    <comment ref="I5107" authorId="0">
      <text>
        <r>
          <rPr>
            <b/>
            <sz val="9"/>
            <color indexed="81"/>
            <rFont val="Tahoma"/>
            <family val="2"/>
          </rPr>
          <t>LPA:</t>
        </r>
        <r>
          <rPr>
            <sz val="9"/>
            <color indexed="81"/>
            <rFont val="Tahoma"/>
            <family val="2"/>
          </rPr>
          <t xml:space="preserve">
проверити збир!
</t>
        </r>
      </text>
    </comment>
    <comment ref="I5108" authorId="0">
      <text>
        <r>
          <rPr>
            <b/>
            <sz val="9"/>
            <color indexed="81"/>
            <rFont val="Tahoma"/>
            <family val="2"/>
          </rPr>
          <t>LPA:</t>
        </r>
        <r>
          <rPr>
            <sz val="9"/>
            <color indexed="81"/>
            <rFont val="Tahoma"/>
            <family val="2"/>
          </rPr>
          <t xml:space="preserve">
проверити збир!
</t>
        </r>
      </text>
    </comment>
    <comment ref="I5109" authorId="0">
      <text>
        <r>
          <rPr>
            <b/>
            <sz val="9"/>
            <color indexed="81"/>
            <rFont val="Tahoma"/>
            <family val="2"/>
          </rPr>
          <t>LPA:</t>
        </r>
        <r>
          <rPr>
            <sz val="9"/>
            <color indexed="81"/>
            <rFont val="Tahoma"/>
            <family val="2"/>
          </rPr>
          <t xml:space="preserve">
проверити збир!
</t>
        </r>
      </text>
    </comment>
    <comment ref="I5110" authorId="0">
      <text>
        <r>
          <rPr>
            <b/>
            <sz val="9"/>
            <color indexed="81"/>
            <rFont val="Tahoma"/>
            <family val="2"/>
          </rPr>
          <t>LPA:</t>
        </r>
        <r>
          <rPr>
            <sz val="9"/>
            <color indexed="81"/>
            <rFont val="Tahoma"/>
            <family val="2"/>
          </rPr>
          <t xml:space="preserve">
проверити збир!
</t>
        </r>
      </text>
    </comment>
    <comment ref="I5111" authorId="0">
      <text>
        <r>
          <rPr>
            <b/>
            <sz val="9"/>
            <color indexed="81"/>
            <rFont val="Tahoma"/>
            <family val="2"/>
          </rPr>
          <t>LPA:</t>
        </r>
        <r>
          <rPr>
            <sz val="9"/>
            <color indexed="81"/>
            <rFont val="Tahoma"/>
            <family val="2"/>
          </rPr>
          <t xml:space="preserve">
проверити збир!
</t>
        </r>
      </text>
    </comment>
    <comment ref="I5112" authorId="0">
      <text>
        <r>
          <rPr>
            <b/>
            <sz val="9"/>
            <color indexed="81"/>
            <rFont val="Tahoma"/>
            <family val="2"/>
          </rPr>
          <t>LPA:</t>
        </r>
        <r>
          <rPr>
            <sz val="9"/>
            <color indexed="81"/>
            <rFont val="Tahoma"/>
            <family val="2"/>
          </rPr>
          <t xml:space="preserve">
проверити збир!
</t>
        </r>
      </text>
    </comment>
    <comment ref="I5113" authorId="0">
      <text>
        <r>
          <rPr>
            <b/>
            <sz val="9"/>
            <color indexed="81"/>
            <rFont val="Tahoma"/>
            <family val="2"/>
          </rPr>
          <t>LPA:</t>
        </r>
        <r>
          <rPr>
            <sz val="9"/>
            <color indexed="81"/>
            <rFont val="Tahoma"/>
            <family val="2"/>
          </rPr>
          <t xml:space="preserve">
проверити збир!
</t>
        </r>
      </text>
    </comment>
    <comment ref="H5117" authorId="0">
      <text>
        <r>
          <rPr>
            <b/>
            <sz val="9"/>
            <color indexed="81"/>
            <rFont val="Tahoma"/>
            <family val="2"/>
          </rPr>
          <t>LPA:</t>
        </r>
        <r>
          <rPr>
            <sz val="9"/>
            <color indexed="81"/>
            <rFont val="Tahoma"/>
            <family val="2"/>
          </rPr>
          <t xml:space="preserve">
проверити збир!</t>
        </r>
      </text>
    </comment>
    <comment ref="I5117" authorId="0">
      <text>
        <r>
          <rPr>
            <b/>
            <sz val="9"/>
            <color indexed="81"/>
            <rFont val="Tahoma"/>
            <family val="2"/>
          </rPr>
          <t>LPA:</t>
        </r>
        <r>
          <rPr>
            <sz val="9"/>
            <color indexed="81"/>
            <rFont val="Tahoma"/>
            <family val="2"/>
          </rPr>
          <t xml:space="preserve">
проверити збир!
</t>
        </r>
      </text>
    </comment>
    <comment ref="I5118" authorId="0">
      <text>
        <r>
          <rPr>
            <b/>
            <sz val="9"/>
            <color indexed="81"/>
            <rFont val="Tahoma"/>
            <family val="2"/>
          </rPr>
          <t>LPA:</t>
        </r>
        <r>
          <rPr>
            <sz val="9"/>
            <color indexed="81"/>
            <rFont val="Tahoma"/>
            <family val="2"/>
          </rPr>
          <t xml:space="preserve">
проверити збир!
</t>
        </r>
      </text>
    </comment>
    <comment ref="I5119" authorId="0">
      <text>
        <r>
          <rPr>
            <b/>
            <sz val="9"/>
            <color indexed="81"/>
            <rFont val="Tahoma"/>
            <family val="2"/>
          </rPr>
          <t>LPA:</t>
        </r>
        <r>
          <rPr>
            <sz val="9"/>
            <color indexed="81"/>
            <rFont val="Tahoma"/>
            <family val="2"/>
          </rPr>
          <t xml:space="preserve">
проверити збир!
</t>
        </r>
      </text>
    </comment>
    <comment ref="I5120" authorId="0">
      <text>
        <r>
          <rPr>
            <b/>
            <sz val="9"/>
            <color indexed="81"/>
            <rFont val="Tahoma"/>
            <family val="2"/>
          </rPr>
          <t>LPA:</t>
        </r>
        <r>
          <rPr>
            <sz val="9"/>
            <color indexed="81"/>
            <rFont val="Tahoma"/>
            <family val="2"/>
          </rPr>
          <t xml:space="preserve">
проверити збир!
</t>
        </r>
      </text>
    </comment>
    <comment ref="I5121" authorId="0">
      <text>
        <r>
          <rPr>
            <b/>
            <sz val="9"/>
            <color indexed="81"/>
            <rFont val="Tahoma"/>
            <family val="2"/>
          </rPr>
          <t>LPA:</t>
        </r>
        <r>
          <rPr>
            <sz val="9"/>
            <color indexed="81"/>
            <rFont val="Tahoma"/>
            <family val="2"/>
          </rPr>
          <t xml:space="preserve">
проверити збир!
</t>
        </r>
      </text>
    </comment>
    <comment ref="I5122" authorId="0">
      <text>
        <r>
          <rPr>
            <b/>
            <sz val="9"/>
            <color indexed="81"/>
            <rFont val="Tahoma"/>
            <family val="2"/>
          </rPr>
          <t>LPA:</t>
        </r>
        <r>
          <rPr>
            <sz val="9"/>
            <color indexed="81"/>
            <rFont val="Tahoma"/>
            <family val="2"/>
          </rPr>
          <t xml:space="preserve">
проверити збир!
</t>
        </r>
      </text>
    </comment>
    <comment ref="I5123" authorId="0">
      <text>
        <r>
          <rPr>
            <b/>
            <sz val="9"/>
            <color indexed="81"/>
            <rFont val="Tahoma"/>
            <family val="2"/>
          </rPr>
          <t>LPA:</t>
        </r>
        <r>
          <rPr>
            <sz val="9"/>
            <color indexed="81"/>
            <rFont val="Tahoma"/>
            <family val="2"/>
          </rPr>
          <t xml:space="preserve">
проверити збир!
</t>
        </r>
      </text>
    </comment>
    <comment ref="I5124" authorId="0">
      <text>
        <r>
          <rPr>
            <b/>
            <sz val="9"/>
            <color indexed="81"/>
            <rFont val="Tahoma"/>
            <family val="2"/>
          </rPr>
          <t>LPA:</t>
        </r>
        <r>
          <rPr>
            <sz val="9"/>
            <color indexed="81"/>
            <rFont val="Tahoma"/>
            <family val="2"/>
          </rPr>
          <t xml:space="preserve">
проверити збир!
</t>
        </r>
      </text>
    </comment>
    <comment ref="I5125" authorId="0">
      <text>
        <r>
          <rPr>
            <b/>
            <sz val="9"/>
            <color indexed="81"/>
            <rFont val="Tahoma"/>
            <family val="2"/>
          </rPr>
          <t>LPA:</t>
        </r>
        <r>
          <rPr>
            <sz val="9"/>
            <color indexed="81"/>
            <rFont val="Tahoma"/>
            <family val="2"/>
          </rPr>
          <t xml:space="preserve">
проверити збир!
</t>
        </r>
      </text>
    </comment>
    <comment ref="I5126" authorId="0">
      <text>
        <r>
          <rPr>
            <b/>
            <sz val="9"/>
            <color indexed="81"/>
            <rFont val="Tahoma"/>
            <family val="2"/>
          </rPr>
          <t>LPA:</t>
        </r>
        <r>
          <rPr>
            <sz val="9"/>
            <color indexed="81"/>
            <rFont val="Tahoma"/>
            <family val="2"/>
          </rPr>
          <t xml:space="preserve">
проверити збир!
</t>
        </r>
      </text>
    </comment>
    <comment ref="I5127" authorId="0">
      <text>
        <r>
          <rPr>
            <b/>
            <sz val="9"/>
            <color indexed="81"/>
            <rFont val="Tahoma"/>
            <family val="2"/>
          </rPr>
          <t>LPA:</t>
        </r>
        <r>
          <rPr>
            <sz val="9"/>
            <color indexed="81"/>
            <rFont val="Tahoma"/>
            <family val="2"/>
          </rPr>
          <t xml:space="preserve">
проверити збир!
</t>
        </r>
      </text>
    </comment>
    <comment ref="I5128" authorId="0">
      <text>
        <r>
          <rPr>
            <b/>
            <sz val="9"/>
            <color indexed="81"/>
            <rFont val="Tahoma"/>
            <family val="2"/>
          </rPr>
          <t>LPA:</t>
        </r>
        <r>
          <rPr>
            <sz val="9"/>
            <color indexed="81"/>
            <rFont val="Tahoma"/>
            <family val="2"/>
          </rPr>
          <t xml:space="preserve">
проверити збир!
</t>
        </r>
      </text>
    </comment>
    <comment ref="I5129" authorId="0">
      <text>
        <r>
          <rPr>
            <b/>
            <sz val="9"/>
            <color indexed="81"/>
            <rFont val="Tahoma"/>
            <family val="2"/>
          </rPr>
          <t>LPA:</t>
        </r>
        <r>
          <rPr>
            <sz val="9"/>
            <color indexed="81"/>
            <rFont val="Tahoma"/>
            <family val="2"/>
          </rPr>
          <t xml:space="preserve">
проверити збир!
</t>
        </r>
      </text>
    </comment>
    <comment ref="I5130" authorId="0">
      <text>
        <r>
          <rPr>
            <b/>
            <sz val="9"/>
            <color indexed="81"/>
            <rFont val="Tahoma"/>
            <family val="2"/>
          </rPr>
          <t>LPA:</t>
        </r>
        <r>
          <rPr>
            <sz val="9"/>
            <color indexed="81"/>
            <rFont val="Tahoma"/>
            <family val="2"/>
          </rPr>
          <t xml:space="preserve">
проверити збир!
</t>
        </r>
      </text>
    </comment>
    <comment ref="I5131" authorId="0">
      <text>
        <r>
          <rPr>
            <b/>
            <sz val="9"/>
            <color indexed="81"/>
            <rFont val="Tahoma"/>
            <family val="2"/>
          </rPr>
          <t>LPA:</t>
        </r>
        <r>
          <rPr>
            <sz val="9"/>
            <color indexed="81"/>
            <rFont val="Tahoma"/>
            <family val="2"/>
          </rPr>
          <t xml:space="preserve">
проверити збир!
</t>
        </r>
      </text>
    </comment>
    <comment ref="I5132" authorId="0">
      <text>
        <r>
          <rPr>
            <b/>
            <sz val="9"/>
            <color indexed="81"/>
            <rFont val="Tahoma"/>
            <family val="2"/>
          </rPr>
          <t>LPA:</t>
        </r>
        <r>
          <rPr>
            <sz val="9"/>
            <color indexed="81"/>
            <rFont val="Tahoma"/>
            <family val="2"/>
          </rPr>
          <t xml:space="preserve">
проверити збир!
</t>
        </r>
      </text>
    </comment>
    <comment ref="H5136" authorId="0">
      <text>
        <r>
          <rPr>
            <b/>
            <sz val="9"/>
            <color indexed="81"/>
            <rFont val="Tahoma"/>
            <family val="2"/>
          </rPr>
          <t>LPA:</t>
        </r>
        <r>
          <rPr>
            <sz val="9"/>
            <color indexed="81"/>
            <rFont val="Tahoma"/>
            <family val="2"/>
          </rPr>
          <t xml:space="preserve">
проверити збир!</t>
        </r>
      </text>
    </comment>
    <comment ref="I5136" authorId="0">
      <text>
        <r>
          <rPr>
            <b/>
            <sz val="9"/>
            <color indexed="81"/>
            <rFont val="Tahoma"/>
            <family val="2"/>
          </rPr>
          <t>LPA:</t>
        </r>
        <r>
          <rPr>
            <sz val="9"/>
            <color indexed="81"/>
            <rFont val="Tahoma"/>
            <family val="2"/>
          </rPr>
          <t xml:space="preserve">
проверити збир!
</t>
        </r>
      </text>
    </comment>
    <comment ref="I5137" authorId="0">
      <text>
        <r>
          <rPr>
            <b/>
            <sz val="9"/>
            <color indexed="81"/>
            <rFont val="Tahoma"/>
            <family val="2"/>
          </rPr>
          <t>LPA:</t>
        </r>
        <r>
          <rPr>
            <sz val="9"/>
            <color indexed="81"/>
            <rFont val="Tahoma"/>
            <family val="2"/>
          </rPr>
          <t xml:space="preserve">
проверити збир!
</t>
        </r>
      </text>
    </comment>
    <comment ref="I5138" authorId="0">
      <text>
        <r>
          <rPr>
            <b/>
            <sz val="9"/>
            <color indexed="81"/>
            <rFont val="Tahoma"/>
            <family val="2"/>
          </rPr>
          <t>LPA:</t>
        </r>
        <r>
          <rPr>
            <sz val="9"/>
            <color indexed="81"/>
            <rFont val="Tahoma"/>
            <family val="2"/>
          </rPr>
          <t xml:space="preserve">
проверити збир!
</t>
        </r>
      </text>
    </comment>
    <comment ref="I5139" authorId="0">
      <text>
        <r>
          <rPr>
            <b/>
            <sz val="9"/>
            <color indexed="81"/>
            <rFont val="Tahoma"/>
            <family val="2"/>
          </rPr>
          <t>LPA:</t>
        </r>
        <r>
          <rPr>
            <sz val="9"/>
            <color indexed="81"/>
            <rFont val="Tahoma"/>
            <family val="2"/>
          </rPr>
          <t xml:space="preserve">
проверити збир!
</t>
        </r>
      </text>
    </comment>
    <comment ref="I5140" authorId="0">
      <text>
        <r>
          <rPr>
            <b/>
            <sz val="9"/>
            <color indexed="81"/>
            <rFont val="Tahoma"/>
            <family val="2"/>
          </rPr>
          <t>LPA:</t>
        </r>
        <r>
          <rPr>
            <sz val="9"/>
            <color indexed="81"/>
            <rFont val="Tahoma"/>
            <family val="2"/>
          </rPr>
          <t xml:space="preserve">
проверити збир!
</t>
        </r>
      </text>
    </comment>
    <comment ref="I5141" authorId="0">
      <text>
        <r>
          <rPr>
            <b/>
            <sz val="9"/>
            <color indexed="81"/>
            <rFont val="Tahoma"/>
            <family val="2"/>
          </rPr>
          <t>LPA:</t>
        </r>
        <r>
          <rPr>
            <sz val="9"/>
            <color indexed="81"/>
            <rFont val="Tahoma"/>
            <family val="2"/>
          </rPr>
          <t xml:space="preserve">
проверити збир!
</t>
        </r>
      </text>
    </comment>
    <comment ref="I5142" authorId="0">
      <text>
        <r>
          <rPr>
            <b/>
            <sz val="9"/>
            <color indexed="81"/>
            <rFont val="Tahoma"/>
            <family val="2"/>
          </rPr>
          <t>LPA:</t>
        </r>
        <r>
          <rPr>
            <sz val="9"/>
            <color indexed="81"/>
            <rFont val="Tahoma"/>
            <family val="2"/>
          </rPr>
          <t xml:space="preserve">
проверити збир!
</t>
        </r>
      </text>
    </comment>
    <comment ref="I5143" authorId="0">
      <text>
        <r>
          <rPr>
            <b/>
            <sz val="9"/>
            <color indexed="81"/>
            <rFont val="Tahoma"/>
            <family val="2"/>
          </rPr>
          <t>LPA:</t>
        </r>
        <r>
          <rPr>
            <sz val="9"/>
            <color indexed="81"/>
            <rFont val="Tahoma"/>
            <family val="2"/>
          </rPr>
          <t xml:space="preserve">
проверити збир!
</t>
        </r>
      </text>
    </comment>
    <comment ref="I5144" authorId="0">
      <text>
        <r>
          <rPr>
            <b/>
            <sz val="9"/>
            <color indexed="81"/>
            <rFont val="Tahoma"/>
            <family val="2"/>
          </rPr>
          <t>LPA:</t>
        </r>
        <r>
          <rPr>
            <sz val="9"/>
            <color indexed="81"/>
            <rFont val="Tahoma"/>
            <family val="2"/>
          </rPr>
          <t xml:space="preserve">
проверити збир!
</t>
        </r>
      </text>
    </comment>
    <comment ref="I5145" authorId="0">
      <text>
        <r>
          <rPr>
            <b/>
            <sz val="9"/>
            <color indexed="81"/>
            <rFont val="Tahoma"/>
            <family val="2"/>
          </rPr>
          <t>LPA:</t>
        </r>
        <r>
          <rPr>
            <sz val="9"/>
            <color indexed="81"/>
            <rFont val="Tahoma"/>
            <family val="2"/>
          </rPr>
          <t xml:space="preserve">
проверити збир!
</t>
        </r>
      </text>
    </comment>
    <comment ref="I5146" authorId="0">
      <text>
        <r>
          <rPr>
            <b/>
            <sz val="9"/>
            <color indexed="81"/>
            <rFont val="Tahoma"/>
            <family val="2"/>
          </rPr>
          <t>LPA:</t>
        </r>
        <r>
          <rPr>
            <sz val="9"/>
            <color indexed="81"/>
            <rFont val="Tahoma"/>
            <family val="2"/>
          </rPr>
          <t xml:space="preserve">
проверити збир!
</t>
        </r>
      </text>
    </comment>
    <comment ref="I5147" authorId="0">
      <text>
        <r>
          <rPr>
            <b/>
            <sz val="9"/>
            <color indexed="81"/>
            <rFont val="Tahoma"/>
            <family val="2"/>
          </rPr>
          <t>LPA:</t>
        </r>
        <r>
          <rPr>
            <sz val="9"/>
            <color indexed="81"/>
            <rFont val="Tahoma"/>
            <family val="2"/>
          </rPr>
          <t xml:space="preserve">
проверити збир!
</t>
        </r>
      </text>
    </comment>
    <comment ref="I5148" authorId="0">
      <text>
        <r>
          <rPr>
            <b/>
            <sz val="9"/>
            <color indexed="81"/>
            <rFont val="Tahoma"/>
            <family val="2"/>
          </rPr>
          <t>LPA:</t>
        </r>
        <r>
          <rPr>
            <sz val="9"/>
            <color indexed="81"/>
            <rFont val="Tahoma"/>
            <family val="2"/>
          </rPr>
          <t xml:space="preserve">
проверити збир!
</t>
        </r>
      </text>
    </comment>
    <comment ref="I5149" authorId="0">
      <text>
        <r>
          <rPr>
            <b/>
            <sz val="9"/>
            <color indexed="81"/>
            <rFont val="Tahoma"/>
            <family val="2"/>
          </rPr>
          <t>LPA:</t>
        </r>
        <r>
          <rPr>
            <sz val="9"/>
            <color indexed="81"/>
            <rFont val="Tahoma"/>
            <family val="2"/>
          </rPr>
          <t xml:space="preserve">
проверити збир!
</t>
        </r>
      </text>
    </comment>
    <comment ref="I5150" authorId="0">
      <text>
        <r>
          <rPr>
            <b/>
            <sz val="9"/>
            <color indexed="81"/>
            <rFont val="Tahoma"/>
            <family val="2"/>
          </rPr>
          <t>LPA:</t>
        </r>
        <r>
          <rPr>
            <sz val="9"/>
            <color indexed="81"/>
            <rFont val="Tahoma"/>
            <family val="2"/>
          </rPr>
          <t xml:space="preserve">
проверити збир!
</t>
        </r>
      </text>
    </comment>
    <comment ref="I5151" authorId="0">
      <text>
        <r>
          <rPr>
            <b/>
            <sz val="9"/>
            <color indexed="81"/>
            <rFont val="Tahoma"/>
            <family val="2"/>
          </rPr>
          <t>LPA:</t>
        </r>
        <r>
          <rPr>
            <sz val="9"/>
            <color indexed="81"/>
            <rFont val="Tahoma"/>
            <family val="2"/>
          </rPr>
          <t xml:space="preserve">
проверити збир!
</t>
        </r>
      </text>
    </comment>
    <comment ref="I5165" authorId="0">
      <text>
        <r>
          <rPr>
            <b/>
            <sz val="9"/>
            <color indexed="81"/>
            <rFont val="Tahoma"/>
            <family val="2"/>
          </rPr>
          <t>LPA:</t>
        </r>
        <r>
          <rPr>
            <sz val="9"/>
            <color indexed="81"/>
            <rFont val="Tahoma"/>
            <family val="2"/>
          </rPr>
          <t xml:space="preserve">
проверити збир!
</t>
        </r>
      </text>
    </comment>
    <comment ref="I5166" authorId="0">
      <text>
        <r>
          <rPr>
            <b/>
            <sz val="9"/>
            <color indexed="81"/>
            <rFont val="Tahoma"/>
            <family val="2"/>
          </rPr>
          <t>LPA:</t>
        </r>
        <r>
          <rPr>
            <sz val="9"/>
            <color indexed="81"/>
            <rFont val="Tahoma"/>
            <family val="2"/>
          </rPr>
          <t xml:space="preserve">
проверити збир!
</t>
        </r>
      </text>
    </comment>
    <comment ref="I5167" authorId="0">
      <text>
        <r>
          <rPr>
            <b/>
            <sz val="9"/>
            <color indexed="81"/>
            <rFont val="Tahoma"/>
            <family val="2"/>
          </rPr>
          <t>LPA:</t>
        </r>
        <r>
          <rPr>
            <sz val="9"/>
            <color indexed="81"/>
            <rFont val="Tahoma"/>
            <family val="2"/>
          </rPr>
          <t xml:space="preserve">
проверити збир!
</t>
        </r>
      </text>
    </comment>
    <comment ref="I5168" authorId="0">
      <text>
        <r>
          <rPr>
            <b/>
            <sz val="9"/>
            <color indexed="81"/>
            <rFont val="Tahoma"/>
            <family val="2"/>
          </rPr>
          <t>LPA:</t>
        </r>
        <r>
          <rPr>
            <sz val="9"/>
            <color indexed="81"/>
            <rFont val="Tahoma"/>
            <family val="2"/>
          </rPr>
          <t xml:space="preserve">
проверити збир!
</t>
        </r>
      </text>
    </comment>
    <comment ref="I5169" authorId="0">
      <text>
        <r>
          <rPr>
            <b/>
            <sz val="9"/>
            <color indexed="81"/>
            <rFont val="Tahoma"/>
            <family val="2"/>
          </rPr>
          <t>LPA:</t>
        </r>
        <r>
          <rPr>
            <sz val="9"/>
            <color indexed="81"/>
            <rFont val="Tahoma"/>
            <family val="2"/>
          </rPr>
          <t xml:space="preserve">
проверити збир!
</t>
        </r>
      </text>
    </comment>
    <comment ref="I5170" authorId="0">
      <text>
        <r>
          <rPr>
            <b/>
            <sz val="9"/>
            <color indexed="81"/>
            <rFont val="Tahoma"/>
            <family val="2"/>
          </rPr>
          <t>LPA:</t>
        </r>
        <r>
          <rPr>
            <sz val="9"/>
            <color indexed="81"/>
            <rFont val="Tahoma"/>
            <family val="2"/>
          </rPr>
          <t xml:space="preserve">
проверити збир!
</t>
        </r>
      </text>
    </comment>
    <comment ref="I5171" authorId="0">
      <text>
        <r>
          <rPr>
            <b/>
            <sz val="9"/>
            <color indexed="81"/>
            <rFont val="Tahoma"/>
            <family val="2"/>
          </rPr>
          <t>LPA:</t>
        </r>
        <r>
          <rPr>
            <sz val="9"/>
            <color indexed="81"/>
            <rFont val="Tahoma"/>
            <family val="2"/>
          </rPr>
          <t xml:space="preserve">
проверити збир!
</t>
        </r>
      </text>
    </comment>
    <comment ref="I5172" authorId="0">
      <text>
        <r>
          <rPr>
            <b/>
            <sz val="9"/>
            <color indexed="81"/>
            <rFont val="Tahoma"/>
            <family val="2"/>
          </rPr>
          <t>LPA:</t>
        </r>
        <r>
          <rPr>
            <sz val="9"/>
            <color indexed="81"/>
            <rFont val="Tahoma"/>
            <family val="2"/>
          </rPr>
          <t xml:space="preserve">
проверити збир!
</t>
        </r>
      </text>
    </comment>
    <comment ref="I5173" authorId="0">
      <text>
        <r>
          <rPr>
            <b/>
            <sz val="9"/>
            <color indexed="81"/>
            <rFont val="Tahoma"/>
            <family val="2"/>
          </rPr>
          <t>LPA:</t>
        </r>
        <r>
          <rPr>
            <sz val="9"/>
            <color indexed="81"/>
            <rFont val="Tahoma"/>
            <family val="2"/>
          </rPr>
          <t xml:space="preserve">
проверити збир!
</t>
        </r>
      </text>
    </comment>
    <comment ref="I5174" authorId="0">
      <text>
        <r>
          <rPr>
            <b/>
            <sz val="9"/>
            <color indexed="81"/>
            <rFont val="Tahoma"/>
            <family val="2"/>
          </rPr>
          <t>LPA:</t>
        </r>
        <r>
          <rPr>
            <sz val="9"/>
            <color indexed="81"/>
            <rFont val="Tahoma"/>
            <family val="2"/>
          </rPr>
          <t xml:space="preserve">
проверити збир!
</t>
        </r>
      </text>
    </comment>
    <comment ref="I5175" authorId="0">
      <text>
        <r>
          <rPr>
            <b/>
            <sz val="9"/>
            <color indexed="81"/>
            <rFont val="Tahoma"/>
            <family val="2"/>
          </rPr>
          <t>LPA:</t>
        </r>
        <r>
          <rPr>
            <sz val="9"/>
            <color indexed="81"/>
            <rFont val="Tahoma"/>
            <family val="2"/>
          </rPr>
          <t xml:space="preserve">
проверити збир!
</t>
        </r>
      </text>
    </comment>
    <comment ref="I5176" authorId="0">
      <text>
        <r>
          <rPr>
            <b/>
            <sz val="9"/>
            <color indexed="81"/>
            <rFont val="Tahoma"/>
            <family val="2"/>
          </rPr>
          <t>LPA:</t>
        </r>
        <r>
          <rPr>
            <sz val="9"/>
            <color indexed="81"/>
            <rFont val="Tahoma"/>
            <family val="2"/>
          </rPr>
          <t xml:space="preserve">
проверити збир!
</t>
        </r>
      </text>
    </comment>
    <comment ref="I5177" authorId="0">
      <text>
        <r>
          <rPr>
            <b/>
            <sz val="9"/>
            <color indexed="81"/>
            <rFont val="Tahoma"/>
            <family val="2"/>
          </rPr>
          <t>LPA:</t>
        </r>
        <r>
          <rPr>
            <sz val="9"/>
            <color indexed="81"/>
            <rFont val="Tahoma"/>
            <family val="2"/>
          </rPr>
          <t xml:space="preserve">
проверити збир!
</t>
        </r>
      </text>
    </comment>
    <comment ref="H5180" authorId="0">
      <text>
        <r>
          <rPr>
            <b/>
            <sz val="9"/>
            <color indexed="81"/>
            <rFont val="Tahoma"/>
            <family val="2"/>
          </rPr>
          <t>LPA:</t>
        </r>
        <r>
          <rPr>
            <sz val="9"/>
            <color indexed="81"/>
            <rFont val="Tahoma"/>
            <family val="2"/>
          </rPr>
          <t xml:space="preserve">
проверити збир!</t>
        </r>
      </text>
    </comment>
    <comment ref="I5180" authorId="0">
      <text>
        <r>
          <rPr>
            <b/>
            <sz val="9"/>
            <color indexed="81"/>
            <rFont val="Tahoma"/>
            <family val="2"/>
          </rPr>
          <t>LPA:</t>
        </r>
        <r>
          <rPr>
            <sz val="9"/>
            <color indexed="81"/>
            <rFont val="Tahoma"/>
            <family val="2"/>
          </rPr>
          <t xml:space="preserve">
проверити збир!</t>
        </r>
      </text>
    </comment>
    <comment ref="I5181" authorId="0">
      <text>
        <r>
          <rPr>
            <b/>
            <sz val="9"/>
            <color indexed="81"/>
            <rFont val="Tahoma"/>
            <family val="2"/>
          </rPr>
          <t>LPA:</t>
        </r>
        <r>
          <rPr>
            <sz val="9"/>
            <color indexed="81"/>
            <rFont val="Tahoma"/>
            <family val="2"/>
          </rPr>
          <t xml:space="preserve">
проверити збир!
</t>
        </r>
      </text>
    </comment>
    <comment ref="I5182" authorId="0">
      <text>
        <r>
          <rPr>
            <b/>
            <sz val="9"/>
            <color indexed="81"/>
            <rFont val="Tahoma"/>
            <family val="2"/>
          </rPr>
          <t>LPA:</t>
        </r>
        <r>
          <rPr>
            <sz val="9"/>
            <color indexed="81"/>
            <rFont val="Tahoma"/>
            <family val="2"/>
          </rPr>
          <t xml:space="preserve">
проверити збир!
</t>
        </r>
      </text>
    </comment>
    <comment ref="I5183" authorId="0">
      <text>
        <r>
          <rPr>
            <b/>
            <sz val="9"/>
            <color indexed="81"/>
            <rFont val="Tahoma"/>
            <family val="2"/>
          </rPr>
          <t>LPA:</t>
        </r>
        <r>
          <rPr>
            <sz val="9"/>
            <color indexed="81"/>
            <rFont val="Tahoma"/>
            <family val="2"/>
          </rPr>
          <t xml:space="preserve">
проверити збир!
</t>
        </r>
      </text>
    </comment>
    <comment ref="I5184" authorId="0">
      <text>
        <r>
          <rPr>
            <b/>
            <sz val="9"/>
            <color indexed="81"/>
            <rFont val="Tahoma"/>
            <family val="2"/>
          </rPr>
          <t>LPA:</t>
        </r>
        <r>
          <rPr>
            <sz val="9"/>
            <color indexed="81"/>
            <rFont val="Tahoma"/>
            <family val="2"/>
          </rPr>
          <t xml:space="preserve">
проверити збир!
</t>
        </r>
      </text>
    </comment>
    <comment ref="I5185" authorId="0">
      <text>
        <r>
          <rPr>
            <b/>
            <sz val="9"/>
            <color indexed="81"/>
            <rFont val="Tahoma"/>
            <family val="2"/>
          </rPr>
          <t>LPA:</t>
        </r>
        <r>
          <rPr>
            <sz val="9"/>
            <color indexed="81"/>
            <rFont val="Tahoma"/>
            <family val="2"/>
          </rPr>
          <t xml:space="preserve">
проверити збир!
</t>
        </r>
      </text>
    </comment>
    <comment ref="I5186" authorId="0">
      <text>
        <r>
          <rPr>
            <b/>
            <sz val="9"/>
            <color indexed="81"/>
            <rFont val="Tahoma"/>
            <family val="2"/>
          </rPr>
          <t>LPA:</t>
        </r>
        <r>
          <rPr>
            <sz val="9"/>
            <color indexed="81"/>
            <rFont val="Tahoma"/>
            <family val="2"/>
          </rPr>
          <t xml:space="preserve">
проверити збир!
</t>
        </r>
      </text>
    </comment>
    <comment ref="I5187" authorId="0">
      <text>
        <r>
          <rPr>
            <b/>
            <sz val="9"/>
            <color indexed="81"/>
            <rFont val="Tahoma"/>
            <family val="2"/>
          </rPr>
          <t>LPA:</t>
        </r>
        <r>
          <rPr>
            <sz val="9"/>
            <color indexed="81"/>
            <rFont val="Tahoma"/>
            <family val="2"/>
          </rPr>
          <t xml:space="preserve">
проверити збир!
</t>
        </r>
      </text>
    </comment>
    <comment ref="I5188" authorId="0">
      <text>
        <r>
          <rPr>
            <b/>
            <sz val="9"/>
            <color indexed="81"/>
            <rFont val="Tahoma"/>
            <family val="2"/>
          </rPr>
          <t>LPA:</t>
        </r>
        <r>
          <rPr>
            <sz val="9"/>
            <color indexed="81"/>
            <rFont val="Tahoma"/>
            <family val="2"/>
          </rPr>
          <t xml:space="preserve">
проверити збир!
</t>
        </r>
      </text>
    </comment>
    <comment ref="I5189" authorId="0">
      <text>
        <r>
          <rPr>
            <b/>
            <sz val="9"/>
            <color indexed="81"/>
            <rFont val="Tahoma"/>
            <family val="2"/>
          </rPr>
          <t>LPA:</t>
        </r>
        <r>
          <rPr>
            <sz val="9"/>
            <color indexed="81"/>
            <rFont val="Tahoma"/>
            <family val="2"/>
          </rPr>
          <t xml:space="preserve">
проверити збир!
</t>
        </r>
      </text>
    </comment>
    <comment ref="I5190" authorId="0">
      <text>
        <r>
          <rPr>
            <b/>
            <sz val="9"/>
            <color indexed="81"/>
            <rFont val="Tahoma"/>
            <family val="2"/>
          </rPr>
          <t>LPA:</t>
        </r>
        <r>
          <rPr>
            <sz val="9"/>
            <color indexed="81"/>
            <rFont val="Tahoma"/>
            <family val="2"/>
          </rPr>
          <t xml:space="preserve">
проверити збир!
</t>
        </r>
      </text>
    </comment>
    <comment ref="I5191" authorId="0">
      <text>
        <r>
          <rPr>
            <b/>
            <sz val="9"/>
            <color indexed="81"/>
            <rFont val="Tahoma"/>
            <family val="2"/>
          </rPr>
          <t>LPA:</t>
        </r>
        <r>
          <rPr>
            <sz val="9"/>
            <color indexed="81"/>
            <rFont val="Tahoma"/>
            <family val="2"/>
          </rPr>
          <t xml:space="preserve">
проверити збир!
</t>
        </r>
      </text>
    </comment>
    <comment ref="I5192" authorId="0">
      <text>
        <r>
          <rPr>
            <b/>
            <sz val="9"/>
            <color indexed="81"/>
            <rFont val="Tahoma"/>
            <family val="2"/>
          </rPr>
          <t>LPA:</t>
        </r>
        <r>
          <rPr>
            <sz val="9"/>
            <color indexed="81"/>
            <rFont val="Tahoma"/>
            <family val="2"/>
          </rPr>
          <t xml:space="preserve">
проверити збир!
</t>
        </r>
      </text>
    </comment>
    <comment ref="I5193" authorId="0">
      <text>
        <r>
          <rPr>
            <b/>
            <sz val="9"/>
            <color indexed="81"/>
            <rFont val="Tahoma"/>
            <family val="2"/>
          </rPr>
          <t>LPA:</t>
        </r>
        <r>
          <rPr>
            <sz val="9"/>
            <color indexed="81"/>
            <rFont val="Tahoma"/>
            <family val="2"/>
          </rPr>
          <t xml:space="preserve">
проверити збир!
</t>
        </r>
      </text>
    </comment>
    <comment ref="I5194" authorId="0">
      <text>
        <r>
          <rPr>
            <b/>
            <sz val="9"/>
            <color indexed="81"/>
            <rFont val="Tahoma"/>
            <family val="2"/>
          </rPr>
          <t>LPA:</t>
        </r>
        <r>
          <rPr>
            <sz val="9"/>
            <color indexed="81"/>
            <rFont val="Tahoma"/>
            <family val="2"/>
          </rPr>
          <t xml:space="preserve">
проверити збир!
</t>
        </r>
      </text>
    </comment>
    <comment ref="I5195" authorId="0">
      <text>
        <r>
          <rPr>
            <b/>
            <sz val="9"/>
            <color indexed="81"/>
            <rFont val="Tahoma"/>
            <family val="2"/>
          </rPr>
          <t>LPA:</t>
        </r>
        <r>
          <rPr>
            <sz val="9"/>
            <color indexed="81"/>
            <rFont val="Tahoma"/>
            <family val="2"/>
          </rPr>
          <t xml:space="preserve">
проверити збир!
</t>
        </r>
      </text>
    </comment>
    <comment ref="H5199" authorId="0">
      <text>
        <r>
          <rPr>
            <b/>
            <sz val="9"/>
            <color indexed="81"/>
            <rFont val="Tahoma"/>
            <family val="2"/>
          </rPr>
          <t>LPA:</t>
        </r>
        <r>
          <rPr>
            <sz val="9"/>
            <color indexed="81"/>
            <rFont val="Tahoma"/>
            <family val="2"/>
          </rPr>
          <t xml:space="preserve">
проверити збир!</t>
        </r>
      </text>
    </comment>
    <comment ref="I5199" authorId="0">
      <text>
        <r>
          <rPr>
            <b/>
            <sz val="9"/>
            <color indexed="81"/>
            <rFont val="Tahoma"/>
            <family val="2"/>
          </rPr>
          <t>LPA:</t>
        </r>
        <r>
          <rPr>
            <sz val="9"/>
            <color indexed="81"/>
            <rFont val="Tahoma"/>
            <family val="2"/>
          </rPr>
          <t xml:space="preserve">
проверити збир!
</t>
        </r>
      </text>
    </comment>
    <comment ref="I5200" authorId="0">
      <text>
        <r>
          <rPr>
            <b/>
            <sz val="9"/>
            <color indexed="81"/>
            <rFont val="Tahoma"/>
            <family val="2"/>
          </rPr>
          <t>LPA:</t>
        </r>
        <r>
          <rPr>
            <sz val="9"/>
            <color indexed="81"/>
            <rFont val="Tahoma"/>
            <family val="2"/>
          </rPr>
          <t xml:space="preserve">
проверити збир!
</t>
        </r>
      </text>
    </comment>
    <comment ref="I5201" authorId="0">
      <text>
        <r>
          <rPr>
            <b/>
            <sz val="9"/>
            <color indexed="81"/>
            <rFont val="Tahoma"/>
            <family val="2"/>
          </rPr>
          <t>LPA:</t>
        </r>
        <r>
          <rPr>
            <sz val="9"/>
            <color indexed="81"/>
            <rFont val="Tahoma"/>
            <family val="2"/>
          </rPr>
          <t xml:space="preserve">
проверити збир!
</t>
        </r>
      </text>
    </comment>
    <comment ref="I5202" authorId="0">
      <text>
        <r>
          <rPr>
            <b/>
            <sz val="9"/>
            <color indexed="81"/>
            <rFont val="Tahoma"/>
            <family val="2"/>
          </rPr>
          <t>LPA:</t>
        </r>
        <r>
          <rPr>
            <sz val="9"/>
            <color indexed="81"/>
            <rFont val="Tahoma"/>
            <family val="2"/>
          </rPr>
          <t xml:space="preserve">
проверити збир!
</t>
        </r>
      </text>
    </comment>
    <comment ref="I5203" authorId="0">
      <text>
        <r>
          <rPr>
            <b/>
            <sz val="9"/>
            <color indexed="81"/>
            <rFont val="Tahoma"/>
            <family val="2"/>
          </rPr>
          <t>LPA:</t>
        </r>
        <r>
          <rPr>
            <sz val="9"/>
            <color indexed="81"/>
            <rFont val="Tahoma"/>
            <family val="2"/>
          </rPr>
          <t xml:space="preserve">
проверити збир!
</t>
        </r>
      </text>
    </comment>
    <comment ref="I5204" authorId="0">
      <text>
        <r>
          <rPr>
            <b/>
            <sz val="9"/>
            <color indexed="81"/>
            <rFont val="Tahoma"/>
            <family val="2"/>
          </rPr>
          <t>LPA:</t>
        </r>
        <r>
          <rPr>
            <sz val="9"/>
            <color indexed="81"/>
            <rFont val="Tahoma"/>
            <family val="2"/>
          </rPr>
          <t xml:space="preserve">
проверити збир!
</t>
        </r>
      </text>
    </comment>
    <comment ref="I5205" authorId="0">
      <text>
        <r>
          <rPr>
            <b/>
            <sz val="9"/>
            <color indexed="81"/>
            <rFont val="Tahoma"/>
            <family val="2"/>
          </rPr>
          <t>LPA:</t>
        </r>
        <r>
          <rPr>
            <sz val="9"/>
            <color indexed="81"/>
            <rFont val="Tahoma"/>
            <family val="2"/>
          </rPr>
          <t xml:space="preserve">
проверити збир!
</t>
        </r>
      </text>
    </comment>
    <comment ref="I5206" authorId="0">
      <text>
        <r>
          <rPr>
            <b/>
            <sz val="9"/>
            <color indexed="81"/>
            <rFont val="Tahoma"/>
            <family val="2"/>
          </rPr>
          <t>LPA:</t>
        </r>
        <r>
          <rPr>
            <sz val="9"/>
            <color indexed="81"/>
            <rFont val="Tahoma"/>
            <family val="2"/>
          </rPr>
          <t xml:space="preserve">
проверити збир!
</t>
        </r>
      </text>
    </comment>
    <comment ref="I5207" authorId="0">
      <text>
        <r>
          <rPr>
            <b/>
            <sz val="9"/>
            <color indexed="81"/>
            <rFont val="Tahoma"/>
            <family val="2"/>
          </rPr>
          <t>LPA:</t>
        </r>
        <r>
          <rPr>
            <sz val="9"/>
            <color indexed="81"/>
            <rFont val="Tahoma"/>
            <family val="2"/>
          </rPr>
          <t xml:space="preserve">
проверити збир!
</t>
        </r>
      </text>
    </comment>
    <comment ref="I5208" authorId="0">
      <text>
        <r>
          <rPr>
            <b/>
            <sz val="9"/>
            <color indexed="81"/>
            <rFont val="Tahoma"/>
            <family val="2"/>
          </rPr>
          <t>LPA:</t>
        </r>
        <r>
          <rPr>
            <sz val="9"/>
            <color indexed="81"/>
            <rFont val="Tahoma"/>
            <family val="2"/>
          </rPr>
          <t xml:space="preserve">
проверити збир!
</t>
        </r>
      </text>
    </comment>
    <comment ref="I5209" authorId="0">
      <text>
        <r>
          <rPr>
            <b/>
            <sz val="9"/>
            <color indexed="81"/>
            <rFont val="Tahoma"/>
            <family val="2"/>
          </rPr>
          <t>LPA:</t>
        </r>
        <r>
          <rPr>
            <sz val="9"/>
            <color indexed="81"/>
            <rFont val="Tahoma"/>
            <family val="2"/>
          </rPr>
          <t xml:space="preserve">
проверити збир!
</t>
        </r>
      </text>
    </comment>
    <comment ref="I5210" authorId="0">
      <text>
        <r>
          <rPr>
            <b/>
            <sz val="9"/>
            <color indexed="81"/>
            <rFont val="Tahoma"/>
            <family val="2"/>
          </rPr>
          <t>LPA:</t>
        </r>
        <r>
          <rPr>
            <sz val="9"/>
            <color indexed="81"/>
            <rFont val="Tahoma"/>
            <family val="2"/>
          </rPr>
          <t xml:space="preserve">
проверити збир!
</t>
        </r>
      </text>
    </comment>
    <comment ref="I5211" authorId="0">
      <text>
        <r>
          <rPr>
            <b/>
            <sz val="9"/>
            <color indexed="81"/>
            <rFont val="Tahoma"/>
            <family val="2"/>
          </rPr>
          <t>LPA:</t>
        </r>
        <r>
          <rPr>
            <sz val="9"/>
            <color indexed="81"/>
            <rFont val="Tahoma"/>
            <family val="2"/>
          </rPr>
          <t xml:space="preserve">
проверити збир!
</t>
        </r>
      </text>
    </comment>
    <comment ref="I5212" authorId="0">
      <text>
        <r>
          <rPr>
            <b/>
            <sz val="9"/>
            <color indexed="81"/>
            <rFont val="Tahoma"/>
            <family val="2"/>
          </rPr>
          <t>LPA:</t>
        </r>
        <r>
          <rPr>
            <sz val="9"/>
            <color indexed="81"/>
            <rFont val="Tahoma"/>
            <family val="2"/>
          </rPr>
          <t xml:space="preserve">
проверити збир!
</t>
        </r>
      </text>
    </comment>
    <comment ref="I5213" authorId="0">
      <text>
        <r>
          <rPr>
            <b/>
            <sz val="9"/>
            <color indexed="81"/>
            <rFont val="Tahoma"/>
            <family val="2"/>
          </rPr>
          <t>LPA:</t>
        </r>
        <r>
          <rPr>
            <sz val="9"/>
            <color indexed="81"/>
            <rFont val="Tahoma"/>
            <family val="2"/>
          </rPr>
          <t xml:space="preserve">
проверити збир!
</t>
        </r>
      </text>
    </comment>
    <comment ref="I5214" authorId="0">
      <text>
        <r>
          <rPr>
            <b/>
            <sz val="9"/>
            <color indexed="81"/>
            <rFont val="Tahoma"/>
            <family val="2"/>
          </rPr>
          <t>LPA:</t>
        </r>
        <r>
          <rPr>
            <sz val="9"/>
            <color indexed="81"/>
            <rFont val="Tahoma"/>
            <family val="2"/>
          </rPr>
          <t xml:space="preserve">
проверити збир!
</t>
        </r>
      </text>
    </comment>
    <comment ref="H5218" authorId="0">
      <text>
        <r>
          <rPr>
            <b/>
            <sz val="9"/>
            <color indexed="81"/>
            <rFont val="Tahoma"/>
            <family val="2"/>
          </rPr>
          <t>LPA:</t>
        </r>
        <r>
          <rPr>
            <sz val="9"/>
            <color indexed="81"/>
            <rFont val="Tahoma"/>
            <family val="2"/>
          </rPr>
          <t xml:space="preserve">
проверити збир!</t>
        </r>
      </text>
    </comment>
    <comment ref="I5218" authorId="0">
      <text>
        <r>
          <rPr>
            <b/>
            <sz val="9"/>
            <color indexed="81"/>
            <rFont val="Tahoma"/>
            <family val="2"/>
          </rPr>
          <t>LPA:</t>
        </r>
        <r>
          <rPr>
            <sz val="9"/>
            <color indexed="81"/>
            <rFont val="Tahoma"/>
            <family val="2"/>
          </rPr>
          <t xml:space="preserve">
проверити збир!
</t>
        </r>
      </text>
    </comment>
    <comment ref="I5219" authorId="0">
      <text>
        <r>
          <rPr>
            <b/>
            <sz val="9"/>
            <color indexed="81"/>
            <rFont val="Tahoma"/>
            <family val="2"/>
          </rPr>
          <t>LPA:</t>
        </r>
        <r>
          <rPr>
            <sz val="9"/>
            <color indexed="81"/>
            <rFont val="Tahoma"/>
            <family val="2"/>
          </rPr>
          <t xml:space="preserve">
проверити збир!
</t>
        </r>
      </text>
    </comment>
    <comment ref="I5220" authorId="0">
      <text>
        <r>
          <rPr>
            <b/>
            <sz val="9"/>
            <color indexed="81"/>
            <rFont val="Tahoma"/>
            <family val="2"/>
          </rPr>
          <t>LPA:</t>
        </r>
        <r>
          <rPr>
            <sz val="9"/>
            <color indexed="81"/>
            <rFont val="Tahoma"/>
            <family val="2"/>
          </rPr>
          <t xml:space="preserve">
проверити збир!
</t>
        </r>
      </text>
    </comment>
    <comment ref="I5221" authorId="0">
      <text>
        <r>
          <rPr>
            <b/>
            <sz val="9"/>
            <color indexed="81"/>
            <rFont val="Tahoma"/>
            <family val="2"/>
          </rPr>
          <t>LPA:</t>
        </r>
        <r>
          <rPr>
            <sz val="9"/>
            <color indexed="81"/>
            <rFont val="Tahoma"/>
            <family val="2"/>
          </rPr>
          <t xml:space="preserve">
проверити збир!
</t>
        </r>
      </text>
    </comment>
    <comment ref="I5222" authorId="0">
      <text>
        <r>
          <rPr>
            <b/>
            <sz val="9"/>
            <color indexed="81"/>
            <rFont val="Tahoma"/>
            <family val="2"/>
          </rPr>
          <t>LPA:</t>
        </r>
        <r>
          <rPr>
            <sz val="9"/>
            <color indexed="81"/>
            <rFont val="Tahoma"/>
            <family val="2"/>
          </rPr>
          <t xml:space="preserve">
проверити збир!
</t>
        </r>
      </text>
    </comment>
    <comment ref="I5223" authorId="0">
      <text>
        <r>
          <rPr>
            <b/>
            <sz val="9"/>
            <color indexed="81"/>
            <rFont val="Tahoma"/>
            <family val="2"/>
          </rPr>
          <t>LPA:</t>
        </r>
        <r>
          <rPr>
            <sz val="9"/>
            <color indexed="81"/>
            <rFont val="Tahoma"/>
            <family val="2"/>
          </rPr>
          <t xml:space="preserve">
проверити збир!
</t>
        </r>
      </text>
    </comment>
    <comment ref="I5224" authorId="0">
      <text>
        <r>
          <rPr>
            <b/>
            <sz val="9"/>
            <color indexed="81"/>
            <rFont val="Tahoma"/>
            <family val="2"/>
          </rPr>
          <t>LPA:</t>
        </r>
        <r>
          <rPr>
            <sz val="9"/>
            <color indexed="81"/>
            <rFont val="Tahoma"/>
            <family val="2"/>
          </rPr>
          <t xml:space="preserve">
проверити збир!
</t>
        </r>
      </text>
    </comment>
    <comment ref="I5225" authorId="0">
      <text>
        <r>
          <rPr>
            <b/>
            <sz val="9"/>
            <color indexed="81"/>
            <rFont val="Tahoma"/>
            <family val="2"/>
          </rPr>
          <t>LPA:</t>
        </r>
        <r>
          <rPr>
            <sz val="9"/>
            <color indexed="81"/>
            <rFont val="Tahoma"/>
            <family val="2"/>
          </rPr>
          <t xml:space="preserve">
проверити збир!
</t>
        </r>
      </text>
    </comment>
    <comment ref="I5226" authorId="0">
      <text>
        <r>
          <rPr>
            <b/>
            <sz val="9"/>
            <color indexed="81"/>
            <rFont val="Tahoma"/>
            <family val="2"/>
          </rPr>
          <t>LPA:</t>
        </r>
        <r>
          <rPr>
            <sz val="9"/>
            <color indexed="81"/>
            <rFont val="Tahoma"/>
            <family val="2"/>
          </rPr>
          <t xml:space="preserve">
проверити збир!
</t>
        </r>
      </text>
    </comment>
    <comment ref="I5227" authorId="0">
      <text>
        <r>
          <rPr>
            <b/>
            <sz val="9"/>
            <color indexed="81"/>
            <rFont val="Tahoma"/>
            <family val="2"/>
          </rPr>
          <t>LPA:</t>
        </r>
        <r>
          <rPr>
            <sz val="9"/>
            <color indexed="81"/>
            <rFont val="Tahoma"/>
            <family val="2"/>
          </rPr>
          <t xml:space="preserve">
проверити збир!
</t>
        </r>
      </text>
    </comment>
    <comment ref="I5228" authorId="0">
      <text>
        <r>
          <rPr>
            <b/>
            <sz val="9"/>
            <color indexed="81"/>
            <rFont val="Tahoma"/>
            <family val="2"/>
          </rPr>
          <t>LPA:</t>
        </r>
        <r>
          <rPr>
            <sz val="9"/>
            <color indexed="81"/>
            <rFont val="Tahoma"/>
            <family val="2"/>
          </rPr>
          <t xml:space="preserve">
проверити збир!
</t>
        </r>
      </text>
    </comment>
    <comment ref="I5229" authorId="0">
      <text>
        <r>
          <rPr>
            <b/>
            <sz val="9"/>
            <color indexed="81"/>
            <rFont val="Tahoma"/>
            <family val="2"/>
          </rPr>
          <t>LPA:</t>
        </r>
        <r>
          <rPr>
            <sz val="9"/>
            <color indexed="81"/>
            <rFont val="Tahoma"/>
            <family val="2"/>
          </rPr>
          <t xml:space="preserve">
проверити збир!
</t>
        </r>
      </text>
    </comment>
    <comment ref="I5230" authorId="0">
      <text>
        <r>
          <rPr>
            <b/>
            <sz val="9"/>
            <color indexed="81"/>
            <rFont val="Tahoma"/>
            <family val="2"/>
          </rPr>
          <t>LPA:</t>
        </r>
        <r>
          <rPr>
            <sz val="9"/>
            <color indexed="81"/>
            <rFont val="Tahoma"/>
            <family val="2"/>
          </rPr>
          <t xml:space="preserve">
проверити збир!
</t>
        </r>
      </text>
    </comment>
    <comment ref="I5231" authorId="0">
      <text>
        <r>
          <rPr>
            <b/>
            <sz val="9"/>
            <color indexed="81"/>
            <rFont val="Tahoma"/>
            <family val="2"/>
          </rPr>
          <t>LPA:</t>
        </r>
        <r>
          <rPr>
            <sz val="9"/>
            <color indexed="81"/>
            <rFont val="Tahoma"/>
            <family val="2"/>
          </rPr>
          <t xml:space="preserve">
проверити збир!
</t>
        </r>
      </text>
    </comment>
    <comment ref="I5232" authorId="0">
      <text>
        <r>
          <rPr>
            <b/>
            <sz val="9"/>
            <color indexed="81"/>
            <rFont val="Tahoma"/>
            <family val="2"/>
          </rPr>
          <t>LPA:</t>
        </r>
        <r>
          <rPr>
            <sz val="9"/>
            <color indexed="81"/>
            <rFont val="Tahoma"/>
            <family val="2"/>
          </rPr>
          <t xml:space="preserve">
проверити збир!
</t>
        </r>
      </text>
    </comment>
    <comment ref="I5233" authorId="0">
      <text>
        <r>
          <rPr>
            <b/>
            <sz val="9"/>
            <color indexed="81"/>
            <rFont val="Tahoma"/>
            <family val="2"/>
          </rPr>
          <t>LPA:</t>
        </r>
        <r>
          <rPr>
            <sz val="9"/>
            <color indexed="81"/>
            <rFont val="Tahoma"/>
            <family val="2"/>
          </rPr>
          <t xml:space="preserve">
проверити збир!
</t>
        </r>
      </text>
    </comment>
    <comment ref="I5305" authorId="0">
      <text>
        <r>
          <rPr>
            <b/>
            <sz val="9"/>
            <color indexed="81"/>
            <rFont val="Tahoma"/>
            <family val="2"/>
          </rPr>
          <t>LPA:</t>
        </r>
        <r>
          <rPr>
            <sz val="9"/>
            <color indexed="81"/>
            <rFont val="Tahoma"/>
            <family val="2"/>
          </rPr>
          <t xml:space="preserve">
проверити збир!
</t>
        </r>
      </text>
    </comment>
    <comment ref="I5306" authorId="0">
      <text>
        <r>
          <rPr>
            <b/>
            <sz val="9"/>
            <color indexed="81"/>
            <rFont val="Tahoma"/>
            <family val="2"/>
          </rPr>
          <t>LPA:</t>
        </r>
        <r>
          <rPr>
            <sz val="9"/>
            <color indexed="81"/>
            <rFont val="Tahoma"/>
            <family val="2"/>
          </rPr>
          <t xml:space="preserve">
проверити збир!
</t>
        </r>
      </text>
    </comment>
    <comment ref="I5307" authorId="0">
      <text>
        <r>
          <rPr>
            <b/>
            <sz val="9"/>
            <color indexed="81"/>
            <rFont val="Tahoma"/>
            <family val="2"/>
          </rPr>
          <t>LPA:</t>
        </r>
        <r>
          <rPr>
            <sz val="9"/>
            <color indexed="81"/>
            <rFont val="Tahoma"/>
            <family val="2"/>
          </rPr>
          <t xml:space="preserve">
проверити збир!
</t>
        </r>
      </text>
    </comment>
    <comment ref="I5308" authorId="0">
      <text>
        <r>
          <rPr>
            <b/>
            <sz val="9"/>
            <color indexed="81"/>
            <rFont val="Tahoma"/>
            <family val="2"/>
          </rPr>
          <t>LPA:</t>
        </r>
        <r>
          <rPr>
            <sz val="9"/>
            <color indexed="81"/>
            <rFont val="Tahoma"/>
            <family val="2"/>
          </rPr>
          <t xml:space="preserve">
проверити збир!
</t>
        </r>
      </text>
    </comment>
    <comment ref="I5309" authorId="0">
      <text>
        <r>
          <rPr>
            <b/>
            <sz val="9"/>
            <color indexed="81"/>
            <rFont val="Tahoma"/>
            <family val="2"/>
          </rPr>
          <t>LPA:</t>
        </r>
        <r>
          <rPr>
            <sz val="9"/>
            <color indexed="81"/>
            <rFont val="Tahoma"/>
            <family val="2"/>
          </rPr>
          <t xml:space="preserve">
проверити збир!
</t>
        </r>
      </text>
    </comment>
    <comment ref="I5310" authorId="0">
      <text>
        <r>
          <rPr>
            <b/>
            <sz val="9"/>
            <color indexed="81"/>
            <rFont val="Tahoma"/>
            <family val="2"/>
          </rPr>
          <t>LPA:</t>
        </r>
        <r>
          <rPr>
            <sz val="9"/>
            <color indexed="81"/>
            <rFont val="Tahoma"/>
            <family val="2"/>
          </rPr>
          <t xml:space="preserve">
проверити збир!
</t>
        </r>
      </text>
    </comment>
    <comment ref="I5311" authorId="0">
      <text>
        <r>
          <rPr>
            <b/>
            <sz val="9"/>
            <color indexed="81"/>
            <rFont val="Tahoma"/>
            <family val="2"/>
          </rPr>
          <t>LPA:</t>
        </r>
        <r>
          <rPr>
            <sz val="9"/>
            <color indexed="81"/>
            <rFont val="Tahoma"/>
            <family val="2"/>
          </rPr>
          <t xml:space="preserve">
проверити збир!
</t>
        </r>
      </text>
    </comment>
    <comment ref="I5312" authorId="0">
      <text>
        <r>
          <rPr>
            <b/>
            <sz val="9"/>
            <color indexed="81"/>
            <rFont val="Tahoma"/>
            <family val="2"/>
          </rPr>
          <t>LPA:</t>
        </r>
        <r>
          <rPr>
            <sz val="9"/>
            <color indexed="81"/>
            <rFont val="Tahoma"/>
            <family val="2"/>
          </rPr>
          <t xml:space="preserve">
проверити збир!
</t>
        </r>
      </text>
    </comment>
    <comment ref="I5313" authorId="0">
      <text>
        <r>
          <rPr>
            <b/>
            <sz val="9"/>
            <color indexed="81"/>
            <rFont val="Tahoma"/>
            <family val="2"/>
          </rPr>
          <t>LPA:</t>
        </r>
        <r>
          <rPr>
            <sz val="9"/>
            <color indexed="81"/>
            <rFont val="Tahoma"/>
            <family val="2"/>
          </rPr>
          <t xml:space="preserve">
проверити збир!
</t>
        </r>
      </text>
    </comment>
    <comment ref="I5314" authorId="0">
      <text>
        <r>
          <rPr>
            <b/>
            <sz val="9"/>
            <color indexed="81"/>
            <rFont val="Tahoma"/>
            <family val="2"/>
          </rPr>
          <t>LPA:</t>
        </r>
        <r>
          <rPr>
            <sz val="9"/>
            <color indexed="81"/>
            <rFont val="Tahoma"/>
            <family val="2"/>
          </rPr>
          <t xml:space="preserve">
проверити збир!
</t>
        </r>
      </text>
    </comment>
    <comment ref="I5315" authorId="0">
      <text>
        <r>
          <rPr>
            <b/>
            <sz val="9"/>
            <color indexed="81"/>
            <rFont val="Tahoma"/>
            <family val="2"/>
          </rPr>
          <t>LPA:</t>
        </r>
        <r>
          <rPr>
            <sz val="9"/>
            <color indexed="81"/>
            <rFont val="Tahoma"/>
            <family val="2"/>
          </rPr>
          <t xml:space="preserve">
проверити збир!
</t>
        </r>
      </text>
    </comment>
    <comment ref="I5316" authorId="0">
      <text>
        <r>
          <rPr>
            <b/>
            <sz val="9"/>
            <color indexed="81"/>
            <rFont val="Tahoma"/>
            <family val="2"/>
          </rPr>
          <t>LPA:</t>
        </r>
        <r>
          <rPr>
            <sz val="9"/>
            <color indexed="81"/>
            <rFont val="Tahoma"/>
            <family val="2"/>
          </rPr>
          <t xml:space="preserve">
проверити збир!
</t>
        </r>
      </text>
    </comment>
    <comment ref="I5317" authorId="0">
      <text>
        <r>
          <rPr>
            <b/>
            <sz val="9"/>
            <color indexed="81"/>
            <rFont val="Tahoma"/>
            <family val="2"/>
          </rPr>
          <t>LPA:</t>
        </r>
        <r>
          <rPr>
            <sz val="9"/>
            <color indexed="81"/>
            <rFont val="Tahoma"/>
            <family val="2"/>
          </rPr>
          <t xml:space="preserve">
проверити збир!
</t>
        </r>
      </text>
    </comment>
    <comment ref="H5320" authorId="0">
      <text>
        <r>
          <rPr>
            <b/>
            <sz val="9"/>
            <color indexed="81"/>
            <rFont val="Tahoma"/>
            <family val="2"/>
          </rPr>
          <t>LPA:</t>
        </r>
        <r>
          <rPr>
            <sz val="9"/>
            <color indexed="81"/>
            <rFont val="Tahoma"/>
            <family val="2"/>
          </rPr>
          <t xml:space="preserve">
проверити збир!</t>
        </r>
      </text>
    </comment>
    <comment ref="I5320" authorId="0">
      <text>
        <r>
          <rPr>
            <b/>
            <sz val="9"/>
            <color indexed="81"/>
            <rFont val="Tahoma"/>
            <family val="2"/>
          </rPr>
          <t>LPA:</t>
        </r>
        <r>
          <rPr>
            <sz val="9"/>
            <color indexed="81"/>
            <rFont val="Tahoma"/>
            <family val="2"/>
          </rPr>
          <t xml:space="preserve">
проверити збир!</t>
        </r>
      </text>
    </comment>
    <comment ref="I5321" authorId="0">
      <text>
        <r>
          <rPr>
            <b/>
            <sz val="9"/>
            <color indexed="81"/>
            <rFont val="Tahoma"/>
            <family val="2"/>
          </rPr>
          <t>LPA:</t>
        </r>
        <r>
          <rPr>
            <sz val="9"/>
            <color indexed="81"/>
            <rFont val="Tahoma"/>
            <family val="2"/>
          </rPr>
          <t xml:space="preserve">
проверити збир!
</t>
        </r>
      </text>
    </comment>
    <comment ref="I5322" authorId="0">
      <text>
        <r>
          <rPr>
            <b/>
            <sz val="9"/>
            <color indexed="81"/>
            <rFont val="Tahoma"/>
            <family val="2"/>
          </rPr>
          <t>LPA:</t>
        </r>
        <r>
          <rPr>
            <sz val="9"/>
            <color indexed="81"/>
            <rFont val="Tahoma"/>
            <family val="2"/>
          </rPr>
          <t xml:space="preserve">
проверити збир!
</t>
        </r>
      </text>
    </comment>
    <comment ref="I5323" authorId="0">
      <text>
        <r>
          <rPr>
            <b/>
            <sz val="9"/>
            <color indexed="81"/>
            <rFont val="Tahoma"/>
            <family val="2"/>
          </rPr>
          <t>LPA:</t>
        </r>
        <r>
          <rPr>
            <sz val="9"/>
            <color indexed="81"/>
            <rFont val="Tahoma"/>
            <family val="2"/>
          </rPr>
          <t xml:space="preserve">
проверити збир!
</t>
        </r>
      </text>
    </comment>
    <comment ref="I5324" authorId="0">
      <text>
        <r>
          <rPr>
            <b/>
            <sz val="9"/>
            <color indexed="81"/>
            <rFont val="Tahoma"/>
            <family val="2"/>
          </rPr>
          <t>LPA:</t>
        </r>
        <r>
          <rPr>
            <sz val="9"/>
            <color indexed="81"/>
            <rFont val="Tahoma"/>
            <family val="2"/>
          </rPr>
          <t xml:space="preserve">
проверити збир!
</t>
        </r>
      </text>
    </comment>
    <comment ref="I5325" authorId="0">
      <text>
        <r>
          <rPr>
            <b/>
            <sz val="9"/>
            <color indexed="81"/>
            <rFont val="Tahoma"/>
            <family val="2"/>
          </rPr>
          <t>LPA:</t>
        </r>
        <r>
          <rPr>
            <sz val="9"/>
            <color indexed="81"/>
            <rFont val="Tahoma"/>
            <family val="2"/>
          </rPr>
          <t xml:space="preserve">
проверити збир!
</t>
        </r>
      </text>
    </comment>
    <comment ref="I5326" authorId="0">
      <text>
        <r>
          <rPr>
            <b/>
            <sz val="9"/>
            <color indexed="81"/>
            <rFont val="Tahoma"/>
            <family val="2"/>
          </rPr>
          <t>LPA:</t>
        </r>
        <r>
          <rPr>
            <sz val="9"/>
            <color indexed="81"/>
            <rFont val="Tahoma"/>
            <family val="2"/>
          </rPr>
          <t xml:space="preserve">
проверити збир!
</t>
        </r>
      </text>
    </comment>
    <comment ref="I5327" authorId="0">
      <text>
        <r>
          <rPr>
            <b/>
            <sz val="9"/>
            <color indexed="81"/>
            <rFont val="Tahoma"/>
            <family val="2"/>
          </rPr>
          <t>LPA:</t>
        </r>
        <r>
          <rPr>
            <sz val="9"/>
            <color indexed="81"/>
            <rFont val="Tahoma"/>
            <family val="2"/>
          </rPr>
          <t xml:space="preserve">
проверити збир!
</t>
        </r>
      </text>
    </comment>
    <comment ref="I5328" authorId="0">
      <text>
        <r>
          <rPr>
            <b/>
            <sz val="9"/>
            <color indexed="81"/>
            <rFont val="Tahoma"/>
            <family val="2"/>
          </rPr>
          <t>LPA:</t>
        </r>
        <r>
          <rPr>
            <sz val="9"/>
            <color indexed="81"/>
            <rFont val="Tahoma"/>
            <family val="2"/>
          </rPr>
          <t xml:space="preserve">
проверити збир!
</t>
        </r>
      </text>
    </comment>
    <comment ref="I5329" authorId="0">
      <text>
        <r>
          <rPr>
            <b/>
            <sz val="9"/>
            <color indexed="81"/>
            <rFont val="Tahoma"/>
            <family val="2"/>
          </rPr>
          <t>LPA:</t>
        </r>
        <r>
          <rPr>
            <sz val="9"/>
            <color indexed="81"/>
            <rFont val="Tahoma"/>
            <family val="2"/>
          </rPr>
          <t xml:space="preserve">
проверити збир!
</t>
        </r>
      </text>
    </comment>
    <comment ref="I5330" authorId="0">
      <text>
        <r>
          <rPr>
            <b/>
            <sz val="9"/>
            <color indexed="81"/>
            <rFont val="Tahoma"/>
            <family val="2"/>
          </rPr>
          <t>LPA:</t>
        </r>
        <r>
          <rPr>
            <sz val="9"/>
            <color indexed="81"/>
            <rFont val="Tahoma"/>
            <family val="2"/>
          </rPr>
          <t xml:space="preserve">
проверити збир!
</t>
        </r>
      </text>
    </comment>
    <comment ref="I5331" authorId="0">
      <text>
        <r>
          <rPr>
            <b/>
            <sz val="9"/>
            <color indexed="81"/>
            <rFont val="Tahoma"/>
            <family val="2"/>
          </rPr>
          <t>LPA:</t>
        </r>
        <r>
          <rPr>
            <sz val="9"/>
            <color indexed="81"/>
            <rFont val="Tahoma"/>
            <family val="2"/>
          </rPr>
          <t xml:space="preserve">
проверити збир!
</t>
        </r>
      </text>
    </comment>
    <comment ref="I5332" authorId="0">
      <text>
        <r>
          <rPr>
            <b/>
            <sz val="9"/>
            <color indexed="81"/>
            <rFont val="Tahoma"/>
            <family val="2"/>
          </rPr>
          <t>LPA:</t>
        </r>
        <r>
          <rPr>
            <sz val="9"/>
            <color indexed="81"/>
            <rFont val="Tahoma"/>
            <family val="2"/>
          </rPr>
          <t xml:space="preserve">
проверити збир!
</t>
        </r>
      </text>
    </comment>
    <comment ref="I5333" authorId="0">
      <text>
        <r>
          <rPr>
            <b/>
            <sz val="9"/>
            <color indexed="81"/>
            <rFont val="Tahoma"/>
            <family val="2"/>
          </rPr>
          <t>LPA:</t>
        </r>
        <r>
          <rPr>
            <sz val="9"/>
            <color indexed="81"/>
            <rFont val="Tahoma"/>
            <family val="2"/>
          </rPr>
          <t xml:space="preserve">
проверити збир!
</t>
        </r>
      </text>
    </comment>
    <comment ref="I5334" authorId="0">
      <text>
        <r>
          <rPr>
            <b/>
            <sz val="9"/>
            <color indexed="81"/>
            <rFont val="Tahoma"/>
            <family val="2"/>
          </rPr>
          <t>LPA:</t>
        </r>
        <r>
          <rPr>
            <sz val="9"/>
            <color indexed="81"/>
            <rFont val="Tahoma"/>
            <family val="2"/>
          </rPr>
          <t xml:space="preserve">
проверити збир!
</t>
        </r>
      </text>
    </comment>
    <comment ref="I5335" authorId="0">
      <text>
        <r>
          <rPr>
            <b/>
            <sz val="9"/>
            <color indexed="81"/>
            <rFont val="Tahoma"/>
            <family val="2"/>
          </rPr>
          <t>LPA:</t>
        </r>
        <r>
          <rPr>
            <sz val="9"/>
            <color indexed="81"/>
            <rFont val="Tahoma"/>
            <family val="2"/>
          </rPr>
          <t xml:space="preserve">
проверити збир!
</t>
        </r>
      </text>
    </comment>
    <comment ref="H5339" authorId="0">
      <text>
        <r>
          <rPr>
            <b/>
            <sz val="9"/>
            <color indexed="81"/>
            <rFont val="Tahoma"/>
            <family val="2"/>
          </rPr>
          <t>LPA:</t>
        </r>
        <r>
          <rPr>
            <sz val="9"/>
            <color indexed="81"/>
            <rFont val="Tahoma"/>
            <family val="2"/>
          </rPr>
          <t xml:space="preserve">
проверити збир!</t>
        </r>
      </text>
    </comment>
    <comment ref="I5339" authorId="0">
      <text>
        <r>
          <rPr>
            <b/>
            <sz val="9"/>
            <color indexed="81"/>
            <rFont val="Tahoma"/>
            <family val="2"/>
          </rPr>
          <t>LPA:</t>
        </r>
        <r>
          <rPr>
            <sz val="9"/>
            <color indexed="81"/>
            <rFont val="Tahoma"/>
            <family val="2"/>
          </rPr>
          <t xml:space="preserve">
проверити збир!
</t>
        </r>
      </text>
    </comment>
    <comment ref="I5340" authorId="0">
      <text>
        <r>
          <rPr>
            <b/>
            <sz val="9"/>
            <color indexed="81"/>
            <rFont val="Tahoma"/>
            <family val="2"/>
          </rPr>
          <t>LPA:</t>
        </r>
        <r>
          <rPr>
            <sz val="9"/>
            <color indexed="81"/>
            <rFont val="Tahoma"/>
            <family val="2"/>
          </rPr>
          <t xml:space="preserve">
проверити збир!
</t>
        </r>
      </text>
    </comment>
    <comment ref="I5341" authorId="0">
      <text>
        <r>
          <rPr>
            <b/>
            <sz val="9"/>
            <color indexed="81"/>
            <rFont val="Tahoma"/>
            <family val="2"/>
          </rPr>
          <t>LPA:</t>
        </r>
        <r>
          <rPr>
            <sz val="9"/>
            <color indexed="81"/>
            <rFont val="Tahoma"/>
            <family val="2"/>
          </rPr>
          <t xml:space="preserve">
проверити збир!
</t>
        </r>
      </text>
    </comment>
    <comment ref="I5342" authorId="0">
      <text>
        <r>
          <rPr>
            <b/>
            <sz val="9"/>
            <color indexed="81"/>
            <rFont val="Tahoma"/>
            <family val="2"/>
          </rPr>
          <t>LPA:</t>
        </r>
        <r>
          <rPr>
            <sz val="9"/>
            <color indexed="81"/>
            <rFont val="Tahoma"/>
            <family val="2"/>
          </rPr>
          <t xml:space="preserve">
проверити збир!
</t>
        </r>
      </text>
    </comment>
    <comment ref="I5343" authorId="0">
      <text>
        <r>
          <rPr>
            <b/>
            <sz val="9"/>
            <color indexed="81"/>
            <rFont val="Tahoma"/>
            <family val="2"/>
          </rPr>
          <t>LPA:</t>
        </r>
        <r>
          <rPr>
            <sz val="9"/>
            <color indexed="81"/>
            <rFont val="Tahoma"/>
            <family val="2"/>
          </rPr>
          <t xml:space="preserve">
проверити збир!
</t>
        </r>
      </text>
    </comment>
    <comment ref="I5344" authorId="0">
      <text>
        <r>
          <rPr>
            <b/>
            <sz val="9"/>
            <color indexed="81"/>
            <rFont val="Tahoma"/>
            <family val="2"/>
          </rPr>
          <t>LPA:</t>
        </r>
        <r>
          <rPr>
            <sz val="9"/>
            <color indexed="81"/>
            <rFont val="Tahoma"/>
            <family val="2"/>
          </rPr>
          <t xml:space="preserve">
проверити збир!
</t>
        </r>
      </text>
    </comment>
    <comment ref="I5345" authorId="0">
      <text>
        <r>
          <rPr>
            <b/>
            <sz val="9"/>
            <color indexed="81"/>
            <rFont val="Tahoma"/>
            <family val="2"/>
          </rPr>
          <t>LPA:</t>
        </r>
        <r>
          <rPr>
            <sz val="9"/>
            <color indexed="81"/>
            <rFont val="Tahoma"/>
            <family val="2"/>
          </rPr>
          <t xml:space="preserve">
проверити збир!
</t>
        </r>
      </text>
    </comment>
    <comment ref="I5346" authorId="0">
      <text>
        <r>
          <rPr>
            <b/>
            <sz val="9"/>
            <color indexed="81"/>
            <rFont val="Tahoma"/>
            <family val="2"/>
          </rPr>
          <t>LPA:</t>
        </r>
        <r>
          <rPr>
            <sz val="9"/>
            <color indexed="81"/>
            <rFont val="Tahoma"/>
            <family val="2"/>
          </rPr>
          <t xml:space="preserve">
проверити збир!
</t>
        </r>
      </text>
    </comment>
    <comment ref="I5347" authorId="0">
      <text>
        <r>
          <rPr>
            <b/>
            <sz val="9"/>
            <color indexed="81"/>
            <rFont val="Tahoma"/>
            <family val="2"/>
          </rPr>
          <t>LPA:</t>
        </r>
        <r>
          <rPr>
            <sz val="9"/>
            <color indexed="81"/>
            <rFont val="Tahoma"/>
            <family val="2"/>
          </rPr>
          <t xml:space="preserve">
проверити збир!
</t>
        </r>
      </text>
    </comment>
    <comment ref="I5348" authorId="0">
      <text>
        <r>
          <rPr>
            <b/>
            <sz val="9"/>
            <color indexed="81"/>
            <rFont val="Tahoma"/>
            <family val="2"/>
          </rPr>
          <t>LPA:</t>
        </r>
        <r>
          <rPr>
            <sz val="9"/>
            <color indexed="81"/>
            <rFont val="Tahoma"/>
            <family val="2"/>
          </rPr>
          <t xml:space="preserve">
проверити збир!
</t>
        </r>
      </text>
    </comment>
    <comment ref="I5349" authorId="0">
      <text>
        <r>
          <rPr>
            <b/>
            <sz val="9"/>
            <color indexed="81"/>
            <rFont val="Tahoma"/>
            <family val="2"/>
          </rPr>
          <t>LPA:</t>
        </r>
        <r>
          <rPr>
            <sz val="9"/>
            <color indexed="81"/>
            <rFont val="Tahoma"/>
            <family val="2"/>
          </rPr>
          <t xml:space="preserve">
проверити збир!
</t>
        </r>
      </text>
    </comment>
    <comment ref="I5350" authorId="0">
      <text>
        <r>
          <rPr>
            <b/>
            <sz val="9"/>
            <color indexed="81"/>
            <rFont val="Tahoma"/>
            <family val="2"/>
          </rPr>
          <t>LPA:</t>
        </r>
        <r>
          <rPr>
            <sz val="9"/>
            <color indexed="81"/>
            <rFont val="Tahoma"/>
            <family val="2"/>
          </rPr>
          <t xml:space="preserve">
проверити збир!
</t>
        </r>
      </text>
    </comment>
    <comment ref="I5351" authorId="0">
      <text>
        <r>
          <rPr>
            <b/>
            <sz val="9"/>
            <color indexed="81"/>
            <rFont val="Tahoma"/>
            <family val="2"/>
          </rPr>
          <t>LPA:</t>
        </r>
        <r>
          <rPr>
            <sz val="9"/>
            <color indexed="81"/>
            <rFont val="Tahoma"/>
            <family val="2"/>
          </rPr>
          <t xml:space="preserve">
проверити збир!
</t>
        </r>
      </text>
    </comment>
    <comment ref="I5352" authorId="0">
      <text>
        <r>
          <rPr>
            <b/>
            <sz val="9"/>
            <color indexed="81"/>
            <rFont val="Tahoma"/>
            <family val="2"/>
          </rPr>
          <t>LPA:</t>
        </r>
        <r>
          <rPr>
            <sz val="9"/>
            <color indexed="81"/>
            <rFont val="Tahoma"/>
            <family val="2"/>
          </rPr>
          <t xml:space="preserve">
проверити збир!
</t>
        </r>
      </text>
    </comment>
    <comment ref="I5353" authorId="0">
      <text>
        <r>
          <rPr>
            <b/>
            <sz val="9"/>
            <color indexed="81"/>
            <rFont val="Tahoma"/>
            <family val="2"/>
          </rPr>
          <t>LPA:</t>
        </r>
        <r>
          <rPr>
            <sz val="9"/>
            <color indexed="81"/>
            <rFont val="Tahoma"/>
            <family val="2"/>
          </rPr>
          <t xml:space="preserve">
проверити збир!
</t>
        </r>
      </text>
    </comment>
    <comment ref="I5354" authorId="0">
      <text>
        <r>
          <rPr>
            <b/>
            <sz val="9"/>
            <color indexed="81"/>
            <rFont val="Tahoma"/>
            <family val="2"/>
          </rPr>
          <t>LPA:</t>
        </r>
        <r>
          <rPr>
            <sz val="9"/>
            <color indexed="81"/>
            <rFont val="Tahoma"/>
            <family val="2"/>
          </rPr>
          <t xml:space="preserve">
проверити збир!
</t>
        </r>
      </text>
    </comment>
    <comment ref="H5358" authorId="0">
      <text>
        <r>
          <rPr>
            <b/>
            <sz val="9"/>
            <color indexed="81"/>
            <rFont val="Tahoma"/>
            <family val="2"/>
          </rPr>
          <t>LPA:</t>
        </r>
        <r>
          <rPr>
            <sz val="9"/>
            <color indexed="81"/>
            <rFont val="Tahoma"/>
            <family val="2"/>
          </rPr>
          <t xml:space="preserve">
проверити збир!</t>
        </r>
      </text>
    </comment>
    <comment ref="I5358" authorId="0">
      <text>
        <r>
          <rPr>
            <b/>
            <sz val="9"/>
            <color indexed="81"/>
            <rFont val="Tahoma"/>
            <family val="2"/>
          </rPr>
          <t>LPA:</t>
        </r>
        <r>
          <rPr>
            <sz val="9"/>
            <color indexed="81"/>
            <rFont val="Tahoma"/>
            <family val="2"/>
          </rPr>
          <t xml:space="preserve">
проверити збир!
</t>
        </r>
      </text>
    </comment>
    <comment ref="I5359" authorId="0">
      <text>
        <r>
          <rPr>
            <b/>
            <sz val="9"/>
            <color indexed="81"/>
            <rFont val="Tahoma"/>
            <family val="2"/>
          </rPr>
          <t>LPA:</t>
        </r>
        <r>
          <rPr>
            <sz val="9"/>
            <color indexed="81"/>
            <rFont val="Tahoma"/>
            <family val="2"/>
          </rPr>
          <t xml:space="preserve">
проверити збир!
</t>
        </r>
      </text>
    </comment>
    <comment ref="I5360" authorId="0">
      <text>
        <r>
          <rPr>
            <b/>
            <sz val="9"/>
            <color indexed="81"/>
            <rFont val="Tahoma"/>
            <family val="2"/>
          </rPr>
          <t>LPA:</t>
        </r>
        <r>
          <rPr>
            <sz val="9"/>
            <color indexed="81"/>
            <rFont val="Tahoma"/>
            <family val="2"/>
          </rPr>
          <t xml:space="preserve">
проверити збир!
</t>
        </r>
      </text>
    </comment>
    <comment ref="I5361" authorId="0">
      <text>
        <r>
          <rPr>
            <b/>
            <sz val="9"/>
            <color indexed="81"/>
            <rFont val="Tahoma"/>
            <family val="2"/>
          </rPr>
          <t>LPA:</t>
        </r>
        <r>
          <rPr>
            <sz val="9"/>
            <color indexed="81"/>
            <rFont val="Tahoma"/>
            <family val="2"/>
          </rPr>
          <t xml:space="preserve">
проверити збир!
</t>
        </r>
      </text>
    </comment>
    <comment ref="I5362" authorId="0">
      <text>
        <r>
          <rPr>
            <b/>
            <sz val="9"/>
            <color indexed="81"/>
            <rFont val="Tahoma"/>
            <family val="2"/>
          </rPr>
          <t>LPA:</t>
        </r>
        <r>
          <rPr>
            <sz val="9"/>
            <color indexed="81"/>
            <rFont val="Tahoma"/>
            <family val="2"/>
          </rPr>
          <t xml:space="preserve">
проверити збир!
</t>
        </r>
      </text>
    </comment>
    <comment ref="I5363" authorId="0">
      <text>
        <r>
          <rPr>
            <b/>
            <sz val="9"/>
            <color indexed="81"/>
            <rFont val="Tahoma"/>
            <family val="2"/>
          </rPr>
          <t>LPA:</t>
        </r>
        <r>
          <rPr>
            <sz val="9"/>
            <color indexed="81"/>
            <rFont val="Tahoma"/>
            <family val="2"/>
          </rPr>
          <t xml:space="preserve">
проверити збир!
</t>
        </r>
      </text>
    </comment>
    <comment ref="I5364" authorId="0">
      <text>
        <r>
          <rPr>
            <b/>
            <sz val="9"/>
            <color indexed="81"/>
            <rFont val="Tahoma"/>
            <family val="2"/>
          </rPr>
          <t>LPA:</t>
        </r>
        <r>
          <rPr>
            <sz val="9"/>
            <color indexed="81"/>
            <rFont val="Tahoma"/>
            <family val="2"/>
          </rPr>
          <t xml:space="preserve">
проверити збир!
</t>
        </r>
      </text>
    </comment>
    <comment ref="I5365" authorId="0">
      <text>
        <r>
          <rPr>
            <b/>
            <sz val="9"/>
            <color indexed="81"/>
            <rFont val="Tahoma"/>
            <family val="2"/>
          </rPr>
          <t>LPA:</t>
        </r>
        <r>
          <rPr>
            <sz val="9"/>
            <color indexed="81"/>
            <rFont val="Tahoma"/>
            <family val="2"/>
          </rPr>
          <t xml:space="preserve">
проверити збир!
</t>
        </r>
      </text>
    </comment>
    <comment ref="I5366" authorId="0">
      <text>
        <r>
          <rPr>
            <b/>
            <sz val="9"/>
            <color indexed="81"/>
            <rFont val="Tahoma"/>
            <family val="2"/>
          </rPr>
          <t>LPA:</t>
        </r>
        <r>
          <rPr>
            <sz val="9"/>
            <color indexed="81"/>
            <rFont val="Tahoma"/>
            <family val="2"/>
          </rPr>
          <t xml:space="preserve">
проверити збир!
</t>
        </r>
      </text>
    </comment>
    <comment ref="I5367" authorId="0">
      <text>
        <r>
          <rPr>
            <b/>
            <sz val="9"/>
            <color indexed="81"/>
            <rFont val="Tahoma"/>
            <family val="2"/>
          </rPr>
          <t>LPA:</t>
        </r>
        <r>
          <rPr>
            <sz val="9"/>
            <color indexed="81"/>
            <rFont val="Tahoma"/>
            <family val="2"/>
          </rPr>
          <t xml:space="preserve">
проверити збир!
</t>
        </r>
      </text>
    </comment>
    <comment ref="I5368" authorId="0">
      <text>
        <r>
          <rPr>
            <b/>
            <sz val="9"/>
            <color indexed="81"/>
            <rFont val="Tahoma"/>
            <family val="2"/>
          </rPr>
          <t>LPA:</t>
        </r>
        <r>
          <rPr>
            <sz val="9"/>
            <color indexed="81"/>
            <rFont val="Tahoma"/>
            <family val="2"/>
          </rPr>
          <t xml:space="preserve">
проверити збир!
</t>
        </r>
      </text>
    </comment>
    <comment ref="I5369" authorId="0">
      <text>
        <r>
          <rPr>
            <b/>
            <sz val="9"/>
            <color indexed="81"/>
            <rFont val="Tahoma"/>
            <family val="2"/>
          </rPr>
          <t>LPA:</t>
        </r>
        <r>
          <rPr>
            <sz val="9"/>
            <color indexed="81"/>
            <rFont val="Tahoma"/>
            <family val="2"/>
          </rPr>
          <t xml:space="preserve">
проверити збир!
</t>
        </r>
      </text>
    </comment>
    <comment ref="I5370" authorId="0">
      <text>
        <r>
          <rPr>
            <b/>
            <sz val="9"/>
            <color indexed="81"/>
            <rFont val="Tahoma"/>
            <family val="2"/>
          </rPr>
          <t>LPA:</t>
        </r>
        <r>
          <rPr>
            <sz val="9"/>
            <color indexed="81"/>
            <rFont val="Tahoma"/>
            <family val="2"/>
          </rPr>
          <t xml:space="preserve">
проверити збир!
</t>
        </r>
      </text>
    </comment>
    <comment ref="I5371" authorId="0">
      <text>
        <r>
          <rPr>
            <b/>
            <sz val="9"/>
            <color indexed="81"/>
            <rFont val="Tahoma"/>
            <family val="2"/>
          </rPr>
          <t>LPA:</t>
        </r>
        <r>
          <rPr>
            <sz val="9"/>
            <color indexed="81"/>
            <rFont val="Tahoma"/>
            <family val="2"/>
          </rPr>
          <t xml:space="preserve">
проверити збир!
</t>
        </r>
      </text>
    </comment>
    <comment ref="I5372" authorId="0">
      <text>
        <r>
          <rPr>
            <b/>
            <sz val="9"/>
            <color indexed="81"/>
            <rFont val="Tahoma"/>
            <family val="2"/>
          </rPr>
          <t>LPA:</t>
        </r>
        <r>
          <rPr>
            <sz val="9"/>
            <color indexed="81"/>
            <rFont val="Tahoma"/>
            <family val="2"/>
          </rPr>
          <t xml:space="preserve">
проверити збир!
</t>
        </r>
      </text>
    </comment>
    <comment ref="I5373" authorId="0">
      <text>
        <r>
          <rPr>
            <b/>
            <sz val="9"/>
            <color indexed="81"/>
            <rFont val="Tahoma"/>
            <family val="2"/>
          </rPr>
          <t>LPA:</t>
        </r>
        <r>
          <rPr>
            <sz val="9"/>
            <color indexed="81"/>
            <rFont val="Tahoma"/>
            <family val="2"/>
          </rPr>
          <t xml:space="preserve">
проверити збир!
</t>
        </r>
      </text>
    </comment>
    <comment ref="I5445" authorId="0">
      <text>
        <r>
          <rPr>
            <b/>
            <sz val="9"/>
            <color indexed="81"/>
            <rFont val="Tahoma"/>
            <family val="2"/>
          </rPr>
          <t>LPA:</t>
        </r>
        <r>
          <rPr>
            <sz val="9"/>
            <color indexed="81"/>
            <rFont val="Tahoma"/>
            <family val="2"/>
          </rPr>
          <t xml:space="preserve">
проверити збир!
</t>
        </r>
      </text>
    </comment>
    <comment ref="I5446" authorId="0">
      <text>
        <r>
          <rPr>
            <b/>
            <sz val="9"/>
            <color indexed="81"/>
            <rFont val="Tahoma"/>
            <family val="2"/>
          </rPr>
          <t>LPA:</t>
        </r>
        <r>
          <rPr>
            <sz val="9"/>
            <color indexed="81"/>
            <rFont val="Tahoma"/>
            <family val="2"/>
          </rPr>
          <t xml:space="preserve">
проверити збир!
</t>
        </r>
      </text>
    </comment>
    <comment ref="I5447" authorId="0">
      <text>
        <r>
          <rPr>
            <b/>
            <sz val="9"/>
            <color indexed="81"/>
            <rFont val="Tahoma"/>
            <family val="2"/>
          </rPr>
          <t>LPA:</t>
        </r>
        <r>
          <rPr>
            <sz val="9"/>
            <color indexed="81"/>
            <rFont val="Tahoma"/>
            <family val="2"/>
          </rPr>
          <t xml:space="preserve">
проверити збир!
</t>
        </r>
      </text>
    </comment>
    <comment ref="I5448" authorId="0">
      <text>
        <r>
          <rPr>
            <b/>
            <sz val="9"/>
            <color indexed="81"/>
            <rFont val="Tahoma"/>
            <family val="2"/>
          </rPr>
          <t>LPA:</t>
        </r>
        <r>
          <rPr>
            <sz val="9"/>
            <color indexed="81"/>
            <rFont val="Tahoma"/>
            <family val="2"/>
          </rPr>
          <t xml:space="preserve">
проверити збир!
</t>
        </r>
      </text>
    </comment>
    <comment ref="I5449" authorId="0">
      <text>
        <r>
          <rPr>
            <b/>
            <sz val="9"/>
            <color indexed="81"/>
            <rFont val="Tahoma"/>
            <family val="2"/>
          </rPr>
          <t>LPA:</t>
        </r>
        <r>
          <rPr>
            <sz val="9"/>
            <color indexed="81"/>
            <rFont val="Tahoma"/>
            <family val="2"/>
          </rPr>
          <t xml:space="preserve">
проверити збир!
</t>
        </r>
      </text>
    </comment>
    <comment ref="I5450" authorId="0">
      <text>
        <r>
          <rPr>
            <b/>
            <sz val="9"/>
            <color indexed="81"/>
            <rFont val="Tahoma"/>
            <family val="2"/>
          </rPr>
          <t>LPA:</t>
        </r>
        <r>
          <rPr>
            <sz val="9"/>
            <color indexed="81"/>
            <rFont val="Tahoma"/>
            <family val="2"/>
          </rPr>
          <t xml:space="preserve">
проверити збир!
</t>
        </r>
      </text>
    </comment>
    <comment ref="I5451" authorId="0">
      <text>
        <r>
          <rPr>
            <b/>
            <sz val="9"/>
            <color indexed="81"/>
            <rFont val="Tahoma"/>
            <family val="2"/>
          </rPr>
          <t>LPA:</t>
        </r>
        <r>
          <rPr>
            <sz val="9"/>
            <color indexed="81"/>
            <rFont val="Tahoma"/>
            <family val="2"/>
          </rPr>
          <t xml:space="preserve">
проверити збир!
</t>
        </r>
      </text>
    </comment>
    <comment ref="I5452" authorId="0">
      <text>
        <r>
          <rPr>
            <b/>
            <sz val="9"/>
            <color indexed="81"/>
            <rFont val="Tahoma"/>
            <family val="2"/>
          </rPr>
          <t>LPA:</t>
        </r>
        <r>
          <rPr>
            <sz val="9"/>
            <color indexed="81"/>
            <rFont val="Tahoma"/>
            <family val="2"/>
          </rPr>
          <t xml:space="preserve">
проверити збир!
</t>
        </r>
      </text>
    </comment>
    <comment ref="I5453" authorId="0">
      <text>
        <r>
          <rPr>
            <b/>
            <sz val="9"/>
            <color indexed="81"/>
            <rFont val="Tahoma"/>
            <family val="2"/>
          </rPr>
          <t>LPA:</t>
        </r>
        <r>
          <rPr>
            <sz val="9"/>
            <color indexed="81"/>
            <rFont val="Tahoma"/>
            <family val="2"/>
          </rPr>
          <t xml:space="preserve">
проверити збир!
</t>
        </r>
      </text>
    </comment>
    <comment ref="I5454" authorId="0">
      <text>
        <r>
          <rPr>
            <b/>
            <sz val="9"/>
            <color indexed="81"/>
            <rFont val="Tahoma"/>
            <family val="2"/>
          </rPr>
          <t>LPA:</t>
        </r>
        <r>
          <rPr>
            <sz val="9"/>
            <color indexed="81"/>
            <rFont val="Tahoma"/>
            <family val="2"/>
          </rPr>
          <t xml:space="preserve">
проверити збир!
</t>
        </r>
      </text>
    </comment>
    <comment ref="I5455" authorId="0">
      <text>
        <r>
          <rPr>
            <b/>
            <sz val="9"/>
            <color indexed="81"/>
            <rFont val="Tahoma"/>
            <family val="2"/>
          </rPr>
          <t>LPA:</t>
        </r>
        <r>
          <rPr>
            <sz val="9"/>
            <color indexed="81"/>
            <rFont val="Tahoma"/>
            <family val="2"/>
          </rPr>
          <t xml:space="preserve">
проверити збир!
</t>
        </r>
      </text>
    </comment>
    <comment ref="I5456" authorId="0">
      <text>
        <r>
          <rPr>
            <b/>
            <sz val="9"/>
            <color indexed="81"/>
            <rFont val="Tahoma"/>
            <family val="2"/>
          </rPr>
          <t>LPA:</t>
        </r>
        <r>
          <rPr>
            <sz val="9"/>
            <color indexed="81"/>
            <rFont val="Tahoma"/>
            <family val="2"/>
          </rPr>
          <t xml:space="preserve">
проверити збир!
</t>
        </r>
      </text>
    </comment>
    <comment ref="I5457" authorId="0">
      <text>
        <r>
          <rPr>
            <b/>
            <sz val="9"/>
            <color indexed="81"/>
            <rFont val="Tahoma"/>
            <family val="2"/>
          </rPr>
          <t>LPA:</t>
        </r>
        <r>
          <rPr>
            <sz val="9"/>
            <color indexed="81"/>
            <rFont val="Tahoma"/>
            <family val="2"/>
          </rPr>
          <t xml:space="preserve">
проверити збир!
</t>
        </r>
      </text>
    </comment>
    <comment ref="I5460" authorId="0">
      <text>
        <r>
          <rPr>
            <b/>
            <sz val="9"/>
            <color indexed="81"/>
            <rFont val="Tahoma"/>
            <family val="2"/>
          </rPr>
          <t>LPA:</t>
        </r>
        <r>
          <rPr>
            <sz val="9"/>
            <color indexed="81"/>
            <rFont val="Tahoma"/>
            <family val="2"/>
          </rPr>
          <t xml:space="preserve">
проверити збир!</t>
        </r>
      </text>
    </comment>
    <comment ref="I5461" authorId="0">
      <text>
        <r>
          <rPr>
            <b/>
            <sz val="9"/>
            <color indexed="81"/>
            <rFont val="Tahoma"/>
            <family val="2"/>
          </rPr>
          <t>LPA:</t>
        </r>
        <r>
          <rPr>
            <sz val="9"/>
            <color indexed="81"/>
            <rFont val="Tahoma"/>
            <family val="2"/>
          </rPr>
          <t xml:space="preserve">
проверити збир!
</t>
        </r>
      </text>
    </comment>
    <comment ref="I5462" authorId="0">
      <text>
        <r>
          <rPr>
            <b/>
            <sz val="9"/>
            <color indexed="81"/>
            <rFont val="Tahoma"/>
            <family val="2"/>
          </rPr>
          <t>LPA:</t>
        </r>
        <r>
          <rPr>
            <sz val="9"/>
            <color indexed="81"/>
            <rFont val="Tahoma"/>
            <family val="2"/>
          </rPr>
          <t xml:space="preserve">
проверити збир!
</t>
        </r>
      </text>
    </comment>
    <comment ref="I5463" authorId="0">
      <text>
        <r>
          <rPr>
            <b/>
            <sz val="9"/>
            <color indexed="81"/>
            <rFont val="Tahoma"/>
            <family val="2"/>
          </rPr>
          <t>LPA:</t>
        </r>
        <r>
          <rPr>
            <sz val="9"/>
            <color indexed="81"/>
            <rFont val="Tahoma"/>
            <family val="2"/>
          </rPr>
          <t xml:space="preserve">
проверити збир!
</t>
        </r>
      </text>
    </comment>
    <comment ref="I5464" authorId="0">
      <text>
        <r>
          <rPr>
            <b/>
            <sz val="9"/>
            <color indexed="81"/>
            <rFont val="Tahoma"/>
            <family val="2"/>
          </rPr>
          <t>LPA:</t>
        </r>
        <r>
          <rPr>
            <sz val="9"/>
            <color indexed="81"/>
            <rFont val="Tahoma"/>
            <family val="2"/>
          </rPr>
          <t xml:space="preserve">
проверити збир!
</t>
        </r>
      </text>
    </comment>
    <comment ref="I5465" authorId="0">
      <text>
        <r>
          <rPr>
            <b/>
            <sz val="9"/>
            <color indexed="81"/>
            <rFont val="Tahoma"/>
            <family val="2"/>
          </rPr>
          <t>LPA:</t>
        </r>
        <r>
          <rPr>
            <sz val="9"/>
            <color indexed="81"/>
            <rFont val="Tahoma"/>
            <family val="2"/>
          </rPr>
          <t xml:space="preserve">
проверити збир!
</t>
        </r>
      </text>
    </comment>
    <comment ref="I5466" authorId="0">
      <text>
        <r>
          <rPr>
            <b/>
            <sz val="9"/>
            <color indexed="81"/>
            <rFont val="Tahoma"/>
            <family val="2"/>
          </rPr>
          <t>LPA:</t>
        </r>
        <r>
          <rPr>
            <sz val="9"/>
            <color indexed="81"/>
            <rFont val="Tahoma"/>
            <family val="2"/>
          </rPr>
          <t xml:space="preserve">
проверити збир!
</t>
        </r>
      </text>
    </comment>
    <comment ref="I5467" authorId="0">
      <text>
        <r>
          <rPr>
            <b/>
            <sz val="9"/>
            <color indexed="81"/>
            <rFont val="Tahoma"/>
            <family val="2"/>
          </rPr>
          <t>LPA:</t>
        </r>
        <r>
          <rPr>
            <sz val="9"/>
            <color indexed="81"/>
            <rFont val="Tahoma"/>
            <family val="2"/>
          </rPr>
          <t xml:space="preserve">
проверити збир!
</t>
        </r>
      </text>
    </comment>
    <comment ref="I5468" authorId="0">
      <text>
        <r>
          <rPr>
            <b/>
            <sz val="9"/>
            <color indexed="81"/>
            <rFont val="Tahoma"/>
            <family val="2"/>
          </rPr>
          <t>LPA:</t>
        </r>
        <r>
          <rPr>
            <sz val="9"/>
            <color indexed="81"/>
            <rFont val="Tahoma"/>
            <family val="2"/>
          </rPr>
          <t xml:space="preserve">
проверити збир!
</t>
        </r>
      </text>
    </comment>
    <comment ref="I5469" authorId="0">
      <text>
        <r>
          <rPr>
            <b/>
            <sz val="9"/>
            <color indexed="81"/>
            <rFont val="Tahoma"/>
            <family val="2"/>
          </rPr>
          <t>LPA:</t>
        </r>
        <r>
          <rPr>
            <sz val="9"/>
            <color indexed="81"/>
            <rFont val="Tahoma"/>
            <family val="2"/>
          </rPr>
          <t xml:space="preserve">
проверити збир!
</t>
        </r>
      </text>
    </comment>
    <comment ref="I5470" authorId="0">
      <text>
        <r>
          <rPr>
            <b/>
            <sz val="9"/>
            <color indexed="81"/>
            <rFont val="Tahoma"/>
            <family val="2"/>
          </rPr>
          <t>LPA:</t>
        </r>
        <r>
          <rPr>
            <sz val="9"/>
            <color indexed="81"/>
            <rFont val="Tahoma"/>
            <family val="2"/>
          </rPr>
          <t xml:space="preserve">
проверити збир!
</t>
        </r>
      </text>
    </comment>
    <comment ref="I5471" authorId="0">
      <text>
        <r>
          <rPr>
            <b/>
            <sz val="9"/>
            <color indexed="81"/>
            <rFont val="Tahoma"/>
            <family val="2"/>
          </rPr>
          <t>LPA:</t>
        </r>
        <r>
          <rPr>
            <sz val="9"/>
            <color indexed="81"/>
            <rFont val="Tahoma"/>
            <family val="2"/>
          </rPr>
          <t xml:space="preserve">
проверити збир!
</t>
        </r>
      </text>
    </comment>
    <comment ref="I5472" authorId="0">
      <text>
        <r>
          <rPr>
            <b/>
            <sz val="9"/>
            <color indexed="81"/>
            <rFont val="Tahoma"/>
            <family val="2"/>
          </rPr>
          <t>LPA:</t>
        </r>
        <r>
          <rPr>
            <sz val="9"/>
            <color indexed="81"/>
            <rFont val="Tahoma"/>
            <family val="2"/>
          </rPr>
          <t xml:space="preserve">
проверити збир!
</t>
        </r>
      </text>
    </comment>
    <comment ref="I5473" authorId="0">
      <text>
        <r>
          <rPr>
            <b/>
            <sz val="9"/>
            <color indexed="81"/>
            <rFont val="Tahoma"/>
            <family val="2"/>
          </rPr>
          <t>LPA:</t>
        </r>
        <r>
          <rPr>
            <sz val="9"/>
            <color indexed="81"/>
            <rFont val="Tahoma"/>
            <family val="2"/>
          </rPr>
          <t xml:space="preserve">
проверити збир!
</t>
        </r>
      </text>
    </comment>
    <comment ref="I5474" authorId="0">
      <text>
        <r>
          <rPr>
            <b/>
            <sz val="9"/>
            <color indexed="81"/>
            <rFont val="Tahoma"/>
            <family val="2"/>
          </rPr>
          <t>LPA:</t>
        </r>
        <r>
          <rPr>
            <sz val="9"/>
            <color indexed="81"/>
            <rFont val="Tahoma"/>
            <family val="2"/>
          </rPr>
          <t xml:space="preserve">
проверити збир!
</t>
        </r>
      </text>
    </comment>
    <comment ref="I5475" authorId="0">
      <text>
        <r>
          <rPr>
            <b/>
            <sz val="9"/>
            <color indexed="81"/>
            <rFont val="Tahoma"/>
            <family val="2"/>
          </rPr>
          <t>LPA:</t>
        </r>
        <r>
          <rPr>
            <sz val="9"/>
            <color indexed="81"/>
            <rFont val="Tahoma"/>
            <family val="2"/>
          </rPr>
          <t xml:space="preserve">
проверити збир!
</t>
        </r>
      </text>
    </comment>
    <comment ref="I5545" authorId="0">
      <text>
        <r>
          <rPr>
            <b/>
            <sz val="9"/>
            <color indexed="81"/>
            <rFont val="Tahoma"/>
            <family val="2"/>
          </rPr>
          <t>LPA:</t>
        </r>
        <r>
          <rPr>
            <sz val="9"/>
            <color indexed="81"/>
            <rFont val="Tahoma"/>
            <family val="2"/>
          </rPr>
          <t xml:space="preserve">
проверити збир!
</t>
        </r>
      </text>
    </comment>
    <comment ref="I5546" authorId="0">
      <text>
        <r>
          <rPr>
            <b/>
            <sz val="9"/>
            <color indexed="81"/>
            <rFont val="Tahoma"/>
            <family val="2"/>
          </rPr>
          <t>LPA:</t>
        </r>
        <r>
          <rPr>
            <sz val="9"/>
            <color indexed="81"/>
            <rFont val="Tahoma"/>
            <family val="2"/>
          </rPr>
          <t xml:space="preserve">
проверити збир!
</t>
        </r>
      </text>
    </comment>
    <comment ref="I5547" authorId="0">
      <text>
        <r>
          <rPr>
            <b/>
            <sz val="9"/>
            <color indexed="81"/>
            <rFont val="Tahoma"/>
            <family val="2"/>
          </rPr>
          <t>LPA:</t>
        </r>
        <r>
          <rPr>
            <sz val="9"/>
            <color indexed="81"/>
            <rFont val="Tahoma"/>
            <family val="2"/>
          </rPr>
          <t xml:space="preserve">
проверити збир!
</t>
        </r>
      </text>
    </comment>
    <comment ref="I5548" authorId="0">
      <text>
        <r>
          <rPr>
            <b/>
            <sz val="9"/>
            <color indexed="81"/>
            <rFont val="Tahoma"/>
            <family val="2"/>
          </rPr>
          <t>LPA:</t>
        </r>
        <r>
          <rPr>
            <sz val="9"/>
            <color indexed="81"/>
            <rFont val="Tahoma"/>
            <family val="2"/>
          </rPr>
          <t xml:space="preserve">
проверити збир!
</t>
        </r>
      </text>
    </comment>
    <comment ref="I5549" authorId="0">
      <text>
        <r>
          <rPr>
            <b/>
            <sz val="9"/>
            <color indexed="81"/>
            <rFont val="Tahoma"/>
            <family val="2"/>
          </rPr>
          <t>LPA:</t>
        </r>
        <r>
          <rPr>
            <sz val="9"/>
            <color indexed="81"/>
            <rFont val="Tahoma"/>
            <family val="2"/>
          </rPr>
          <t xml:space="preserve">
проверити збир!
</t>
        </r>
      </text>
    </comment>
    <comment ref="I5550" authorId="0">
      <text>
        <r>
          <rPr>
            <b/>
            <sz val="9"/>
            <color indexed="81"/>
            <rFont val="Tahoma"/>
            <family val="2"/>
          </rPr>
          <t>LPA:</t>
        </r>
        <r>
          <rPr>
            <sz val="9"/>
            <color indexed="81"/>
            <rFont val="Tahoma"/>
            <family val="2"/>
          </rPr>
          <t xml:space="preserve">
проверити збир!
</t>
        </r>
      </text>
    </comment>
    <comment ref="I5551" authorId="0">
      <text>
        <r>
          <rPr>
            <b/>
            <sz val="9"/>
            <color indexed="81"/>
            <rFont val="Tahoma"/>
            <family val="2"/>
          </rPr>
          <t>LPA:</t>
        </r>
        <r>
          <rPr>
            <sz val="9"/>
            <color indexed="81"/>
            <rFont val="Tahoma"/>
            <family val="2"/>
          </rPr>
          <t xml:space="preserve">
проверити збир!
</t>
        </r>
      </text>
    </comment>
    <comment ref="I5552" authorId="0">
      <text>
        <r>
          <rPr>
            <b/>
            <sz val="9"/>
            <color indexed="81"/>
            <rFont val="Tahoma"/>
            <family val="2"/>
          </rPr>
          <t>LPA:</t>
        </r>
        <r>
          <rPr>
            <sz val="9"/>
            <color indexed="81"/>
            <rFont val="Tahoma"/>
            <family val="2"/>
          </rPr>
          <t xml:space="preserve">
проверити збир!
</t>
        </r>
      </text>
    </comment>
    <comment ref="I5553" authorId="0">
      <text>
        <r>
          <rPr>
            <b/>
            <sz val="9"/>
            <color indexed="81"/>
            <rFont val="Tahoma"/>
            <family val="2"/>
          </rPr>
          <t>LPA:</t>
        </r>
        <r>
          <rPr>
            <sz val="9"/>
            <color indexed="81"/>
            <rFont val="Tahoma"/>
            <family val="2"/>
          </rPr>
          <t xml:space="preserve">
проверити збир!
</t>
        </r>
      </text>
    </comment>
    <comment ref="I5554" authorId="0">
      <text>
        <r>
          <rPr>
            <b/>
            <sz val="9"/>
            <color indexed="81"/>
            <rFont val="Tahoma"/>
            <family val="2"/>
          </rPr>
          <t>LPA:</t>
        </r>
        <r>
          <rPr>
            <sz val="9"/>
            <color indexed="81"/>
            <rFont val="Tahoma"/>
            <family val="2"/>
          </rPr>
          <t xml:space="preserve">
проверити збир!
</t>
        </r>
      </text>
    </comment>
    <comment ref="I5555" authorId="0">
      <text>
        <r>
          <rPr>
            <b/>
            <sz val="9"/>
            <color indexed="81"/>
            <rFont val="Tahoma"/>
            <family val="2"/>
          </rPr>
          <t>LPA:</t>
        </r>
        <r>
          <rPr>
            <sz val="9"/>
            <color indexed="81"/>
            <rFont val="Tahoma"/>
            <family val="2"/>
          </rPr>
          <t xml:space="preserve">
проверити збир!
</t>
        </r>
      </text>
    </comment>
    <comment ref="I5556" authorId="0">
      <text>
        <r>
          <rPr>
            <b/>
            <sz val="9"/>
            <color indexed="81"/>
            <rFont val="Tahoma"/>
            <family val="2"/>
          </rPr>
          <t>LPA:</t>
        </r>
        <r>
          <rPr>
            <sz val="9"/>
            <color indexed="81"/>
            <rFont val="Tahoma"/>
            <family val="2"/>
          </rPr>
          <t xml:space="preserve">
проверити збир!
</t>
        </r>
      </text>
    </comment>
    <comment ref="I5557" authorId="0">
      <text>
        <r>
          <rPr>
            <b/>
            <sz val="9"/>
            <color indexed="81"/>
            <rFont val="Tahoma"/>
            <family val="2"/>
          </rPr>
          <t>LPA:</t>
        </r>
        <r>
          <rPr>
            <sz val="9"/>
            <color indexed="81"/>
            <rFont val="Tahoma"/>
            <family val="2"/>
          </rPr>
          <t xml:space="preserve">
проверити збир!
</t>
        </r>
      </text>
    </comment>
    <comment ref="I5563" authorId="0">
      <text>
        <r>
          <rPr>
            <b/>
            <sz val="9"/>
            <color indexed="81"/>
            <rFont val="Tahoma"/>
            <family val="2"/>
          </rPr>
          <t>LPA:</t>
        </r>
        <r>
          <rPr>
            <sz val="9"/>
            <color indexed="81"/>
            <rFont val="Tahoma"/>
            <family val="2"/>
          </rPr>
          <t xml:space="preserve">
проверити збир!
</t>
        </r>
      </text>
    </comment>
    <comment ref="I5564" authorId="0">
      <text>
        <r>
          <rPr>
            <b/>
            <sz val="9"/>
            <color indexed="81"/>
            <rFont val="Tahoma"/>
            <family val="2"/>
          </rPr>
          <t>LPA:</t>
        </r>
        <r>
          <rPr>
            <sz val="9"/>
            <color indexed="81"/>
            <rFont val="Tahoma"/>
            <family val="2"/>
          </rPr>
          <t xml:space="preserve">
проверити збир!
</t>
        </r>
      </text>
    </comment>
    <comment ref="I5565" authorId="0">
      <text>
        <r>
          <rPr>
            <b/>
            <sz val="9"/>
            <color indexed="81"/>
            <rFont val="Tahoma"/>
            <family val="2"/>
          </rPr>
          <t>LPA:</t>
        </r>
        <r>
          <rPr>
            <sz val="9"/>
            <color indexed="81"/>
            <rFont val="Tahoma"/>
            <family val="2"/>
          </rPr>
          <t xml:space="preserve">
проверити збир!
</t>
        </r>
      </text>
    </comment>
    <comment ref="I5566" authorId="0">
      <text>
        <r>
          <rPr>
            <b/>
            <sz val="9"/>
            <color indexed="81"/>
            <rFont val="Tahoma"/>
            <family val="2"/>
          </rPr>
          <t>LPA:</t>
        </r>
        <r>
          <rPr>
            <sz val="9"/>
            <color indexed="81"/>
            <rFont val="Tahoma"/>
            <family val="2"/>
          </rPr>
          <t xml:space="preserve">
проверити збир!
</t>
        </r>
      </text>
    </comment>
    <comment ref="I5567" authorId="0">
      <text>
        <r>
          <rPr>
            <b/>
            <sz val="9"/>
            <color indexed="81"/>
            <rFont val="Tahoma"/>
            <family val="2"/>
          </rPr>
          <t>LPA:</t>
        </r>
        <r>
          <rPr>
            <sz val="9"/>
            <color indexed="81"/>
            <rFont val="Tahoma"/>
            <family val="2"/>
          </rPr>
          <t xml:space="preserve">
проверити збир!
</t>
        </r>
      </text>
    </comment>
    <comment ref="I5568" authorId="0">
      <text>
        <r>
          <rPr>
            <b/>
            <sz val="9"/>
            <color indexed="81"/>
            <rFont val="Tahoma"/>
            <family val="2"/>
          </rPr>
          <t>LPA:</t>
        </r>
        <r>
          <rPr>
            <sz val="9"/>
            <color indexed="81"/>
            <rFont val="Tahoma"/>
            <family val="2"/>
          </rPr>
          <t xml:space="preserve">
проверити збир!
</t>
        </r>
      </text>
    </comment>
    <comment ref="I5569" authorId="0">
      <text>
        <r>
          <rPr>
            <b/>
            <sz val="9"/>
            <color indexed="81"/>
            <rFont val="Tahoma"/>
            <family val="2"/>
          </rPr>
          <t>LPA:</t>
        </r>
        <r>
          <rPr>
            <sz val="9"/>
            <color indexed="81"/>
            <rFont val="Tahoma"/>
            <family val="2"/>
          </rPr>
          <t xml:space="preserve">
проверити збир!
</t>
        </r>
      </text>
    </comment>
    <comment ref="I5570" authorId="0">
      <text>
        <r>
          <rPr>
            <b/>
            <sz val="9"/>
            <color indexed="81"/>
            <rFont val="Tahoma"/>
            <family val="2"/>
          </rPr>
          <t>LPA:</t>
        </r>
        <r>
          <rPr>
            <sz val="9"/>
            <color indexed="81"/>
            <rFont val="Tahoma"/>
            <family val="2"/>
          </rPr>
          <t xml:space="preserve">
проверити збир!
</t>
        </r>
      </text>
    </comment>
    <comment ref="I5571" authorId="0">
      <text>
        <r>
          <rPr>
            <b/>
            <sz val="9"/>
            <color indexed="81"/>
            <rFont val="Tahoma"/>
            <family val="2"/>
          </rPr>
          <t>LPA:</t>
        </r>
        <r>
          <rPr>
            <sz val="9"/>
            <color indexed="81"/>
            <rFont val="Tahoma"/>
            <family val="2"/>
          </rPr>
          <t xml:space="preserve">
проверити збир!
</t>
        </r>
      </text>
    </comment>
    <comment ref="I5572" authorId="0">
      <text>
        <r>
          <rPr>
            <b/>
            <sz val="9"/>
            <color indexed="81"/>
            <rFont val="Tahoma"/>
            <family val="2"/>
          </rPr>
          <t>LPA:</t>
        </r>
        <r>
          <rPr>
            <sz val="9"/>
            <color indexed="81"/>
            <rFont val="Tahoma"/>
            <family val="2"/>
          </rPr>
          <t xml:space="preserve">
проверити збир!
</t>
        </r>
      </text>
    </comment>
    <comment ref="I5573" authorId="0">
      <text>
        <r>
          <rPr>
            <b/>
            <sz val="9"/>
            <color indexed="81"/>
            <rFont val="Tahoma"/>
            <family val="2"/>
          </rPr>
          <t>LPA:</t>
        </r>
        <r>
          <rPr>
            <sz val="9"/>
            <color indexed="81"/>
            <rFont val="Tahoma"/>
            <family val="2"/>
          </rPr>
          <t xml:space="preserve">
проверити збир!
</t>
        </r>
      </text>
    </comment>
    <comment ref="I5574" authorId="0">
      <text>
        <r>
          <rPr>
            <b/>
            <sz val="9"/>
            <color indexed="81"/>
            <rFont val="Tahoma"/>
            <family val="2"/>
          </rPr>
          <t>LPA:</t>
        </r>
        <r>
          <rPr>
            <sz val="9"/>
            <color indexed="81"/>
            <rFont val="Tahoma"/>
            <family val="2"/>
          </rPr>
          <t xml:space="preserve">
проверити збир!
</t>
        </r>
      </text>
    </comment>
    <comment ref="I5575" authorId="0">
      <text>
        <r>
          <rPr>
            <b/>
            <sz val="9"/>
            <color indexed="81"/>
            <rFont val="Tahoma"/>
            <family val="2"/>
          </rPr>
          <t>LPA:</t>
        </r>
        <r>
          <rPr>
            <sz val="9"/>
            <color indexed="81"/>
            <rFont val="Tahoma"/>
            <family val="2"/>
          </rPr>
          <t xml:space="preserve">
проверити збир!
</t>
        </r>
      </text>
    </comment>
    <comment ref="H5579" authorId="0">
      <text>
        <r>
          <rPr>
            <b/>
            <sz val="9"/>
            <color indexed="81"/>
            <rFont val="Tahoma"/>
            <family val="2"/>
          </rPr>
          <t>LPA:</t>
        </r>
        <r>
          <rPr>
            <sz val="9"/>
            <color indexed="81"/>
            <rFont val="Tahoma"/>
            <family val="2"/>
          </rPr>
          <t xml:space="preserve">
проверити збир!</t>
        </r>
      </text>
    </comment>
    <comment ref="I5579" authorId="0">
      <text>
        <r>
          <rPr>
            <b/>
            <sz val="9"/>
            <color indexed="81"/>
            <rFont val="Tahoma"/>
            <family val="2"/>
          </rPr>
          <t>LPA:</t>
        </r>
        <r>
          <rPr>
            <sz val="9"/>
            <color indexed="81"/>
            <rFont val="Tahoma"/>
            <family val="2"/>
          </rPr>
          <t xml:space="preserve">
проверити збир!
</t>
        </r>
      </text>
    </comment>
    <comment ref="I5580" authorId="0">
      <text>
        <r>
          <rPr>
            <b/>
            <sz val="9"/>
            <color indexed="81"/>
            <rFont val="Tahoma"/>
            <family val="2"/>
          </rPr>
          <t>LPA:</t>
        </r>
        <r>
          <rPr>
            <sz val="9"/>
            <color indexed="81"/>
            <rFont val="Tahoma"/>
            <family val="2"/>
          </rPr>
          <t xml:space="preserve">
проверити збир!
</t>
        </r>
      </text>
    </comment>
    <comment ref="I5581" authorId="0">
      <text>
        <r>
          <rPr>
            <b/>
            <sz val="9"/>
            <color indexed="81"/>
            <rFont val="Tahoma"/>
            <family val="2"/>
          </rPr>
          <t>LPA:</t>
        </r>
        <r>
          <rPr>
            <sz val="9"/>
            <color indexed="81"/>
            <rFont val="Tahoma"/>
            <family val="2"/>
          </rPr>
          <t xml:space="preserve">
проверити збир!
</t>
        </r>
      </text>
    </comment>
    <comment ref="I5582" authorId="0">
      <text>
        <r>
          <rPr>
            <b/>
            <sz val="9"/>
            <color indexed="81"/>
            <rFont val="Tahoma"/>
            <family val="2"/>
          </rPr>
          <t>LPA:</t>
        </r>
        <r>
          <rPr>
            <sz val="9"/>
            <color indexed="81"/>
            <rFont val="Tahoma"/>
            <family val="2"/>
          </rPr>
          <t xml:space="preserve">
проверити збир!
</t>
        </r>
      </text>
    </comment>
    <comment ref="I5583" authorId="0">
      <text>
        <r>
          <rPr>
            <b/>
            <sz val="9"/>
            <color indexed="81"/>
            <rFont val="Tahoma"/>
            <family val="2"/>
          </rPr>
          <t>LPA:</t>
        </r>
        <r>
          <rPr>
            <sz val="9"/>
            <color indexed="81"/>
            <rFont val="Tahoma"/>
            <family val="2"/>
          </rPr>
          <t xml:space="preserve">
проверити збир!
</t>
        </r>
      </text>
    </comment>
    <comment ref="I5584" authorId="0">
      <text>
        <r>
          <rPr>
            <b/>
            <sz val="9"/>
            <color indexed="81"/>
            <rFont val="Tahoma"/>
            <family val="2"/>
          </rPr>
          <t>LPA:</t>
        </r>
        <r>
          <rPr>
            <sz val="9"/>
            <color indexed="81"/>
            <rFont val="Tahoma"/>
            <family val="2"/>
          </rPr>
          <t xml:space="preserve">
проверити збир!
</t>
        </r>
      </text>
    </comment>
    <comment ref="I5585" authorId="0">
      <text>
        <r>
          <rPr>
            <b/>
            <sz val="9"/>
            <color indexed="81"/>
            <rFont val="Tahoma"/>
            <family val="2"/>
          </rPr>
          <t>LPA:</t>
        </r>
        <r>
          <rPr>
            <sz val="9"/>
            <color indexed="81"/>
            <rFont val="Tahoma"/>
            <family val="2"/>
          </rPr>
          <t xml:space="preserve">
проверити збир!
</t>
        </r>
      </text>
    </comment>
    <comment ref="I5586" authorId="0">
      <text>
        <r>
          <rPr>
            <b/>
            <sz val="9"/>
            <color indexed="81"/>
            <rFont val="Tahoma"/>
            <family val="2"/>
          </rPr>
          <t>LPA:</t>
        </r>
        <r>
          <rPr>
            <sz val="9"/>
            <color indexed="81"/>
            <rFont val="Tahoma"/>
            <family val="2"/>
          </rPr>
          <t xml:space="preserve">
проверити збир!
</t>
        </r>
      </text>
    </comment>
    <comment ref="I5587" authorId="0">
      <text>
        <r>
          <rPr>
            <b/>
            <sz val="9"/>
            <color indexed="81"/>
            <rFont val="Tahoma"/>
            <family val="2"/>
          </rPr>
          <t>LPA:</t>
        </r>
        <r>
          <rPr>
            <sz val="9"/>
            <color indexed="81"/>
            <rFont val="Tahoma"/>
            <family val="2"/>
          </rPr>
          <t xml:space="preserve">
проверити збир!
</t>
        </r>
      </text>
    </comment>
    <comment ref="I5588" authorId="0">
      <text>
        <r>
          <rPr>
            <b/>
            <sz val="9"/>
            <color indexed="81"/>
            <rFont val="Tahoma"/>
            <family val="2"/>
          </rPr>
          <t>LPA:</t>
        </r>
        <r>
          <rPr>
            <sz val="9"/>
            <color indexed="81"/>
            <rFont val="Tahoma"/>
            <family val="2"/>
          </rPr>
          <t xml:space="preserve">
проверити збир!
</t>
        </r>
      </text>
    </comment>
    <comment ref="I5589" authorId="0">
      <text>
        <r>
          <rPr>
            <b/>
            <sz val="9"/>
            <color indexed="81"/>
            <rFont val="Tahoma"/>
            <family val="2"/>
          </rPr>
          <t>LPA:</t>
        </r>
        <r>
          <rPr>
            <sz val="9"/>
            <color indexed="81"/>
            <rFont val="Tahoma"/>
            <family val="2"/>
          </rPr>
          <t xml:space="preserve">
проверити збир!
</t>
        </r>
      </text>
    </comment>
    <comment ref="I5590" authorId="0">
      <text>
        <r>
          <rPr>
            <b/>
            <sz val="9"/>
            <color indexed="81"/>
            <rFont val="Tahoma"/>
            <family val="2"/>
          </rPr>
          <t>LPA:</t>
        </r>
        <r>
          <rPr>
            <sz val="9"/>
            <color indexed="81"/>
            <rFont val="Tahoma"/>
            <family val="2"/>
          </rPr>
          <t xml:space="preserve">
проверити збир!
</t>
        </r>
      </text>
    </comment>
    <comment ref="I5591" authorId="0">
      <text>
        <r>
          <rPr>
            <b/>
            <sz val="9"/>
            <color indexed="81"/>
            <rFont val="Tahoma"/>
            <family val="2"/>
          </rPr>
          <t>LPA:</t>
        </r>
        <r>
          <rPr>
            <sz val="9"/>
            <color indexed="81"/>
            <rFont val="Tahoma"/>
            <family val="2"/>
          </rPr>
          <t xml:space="preserve">
проверити збир!
</t>
        </r>
      </text>
    </comment>
    <comment ref="I5592" authorId="0">
      <text>
        <r>
          <rPr>
            <b/>
            <sz val="9"/>
            <color indexed="81"/>
            <rFont val="Tahoma"/>
            <family val="2"/>
          </rPr>
          <t>LPA:</t>
        </r>
        <r>
          <rPr>
            <sz val="9"/>
            <color indexed="81"/>
            <rFont val="Tahoma"/>
            <family val="2"/>
          </rPr>
          <t xml:space="preserve">
проверити збир!
</t>
        </r>
      </text>
    </comment>
    <comment ref="I5593" authorId="0">
      <text>
        <r>
          <rPr>
            <b/>
            <sz val="9"/>
            <color indexed="81"/>
            <rFont val="Tahoma"/>
            <family val="2"/>
          </rPr>
          <t>LPA:</t>
        </r>
        <r>
          <rPr>
            <sz val="9"/>
            <color indexed="81"/>
            <rFont val="Tahoma"/>
            <family val="2"/>
          </rPr>
          <t xml:space="preserve">
проверити збир!
</t>
        </r>
      </text>
    </comment>
    <comment ref="I5594" authorId="0">
      <text>
        <r>
          <rPr>
            <b/>
            <sz val="9"/>
            <color indexed="81"/>
            <rFont val="Tahoma"/>
            <family val="2"/>
          </rPr>
          <t>LPA:</t>
        </r>
        <r>
          <rPr>
            <sz val="9"/>
            <color indexed="81"/>
            <rFont val="Tahoma"/>
            <family val="2"/>
          </rPr>
          <t xml:space="preserve">
проверити збир!
</t>
        </r>
      </text>
    </comment>
    <comment ref="H5598" authorId="0">
      <text>
        <r>
          <rPr>
            <b/>
            <sz val="9"/>
            <color indexed="81"/>
            <rFont val="Tahoma"/>
            <family val="2"/>
          </rPr>
          <t>LPA:</t>
        </r>
        <r>
          <rPr>
            <sz val="9"/>
            <color indexed="81"/>
            <rFont val="Tahoma"/>
            <family val="2"/>
          </rPr>
          <t xml:space="preserve">
проверити збир!</t>
        </r>
      </text>
    </comment>
    <comment ref="I5598" authorId="0">
      <text>
        <r>
          <rPr>
            <b/>
            <sz val="9"/>
            <color indexed="81"/>
            <rFont val="Tahoma"/>
            <family val="2"/>
          </rPr>
          <t>LPA:</t>
        </r>
        <r>
          <rPr>
            <sz val="9"/>
            <color indexed="81"/>
            <rFont val="Tahoma"/>
            <family val="2"/>
          </rPr>
          <t xml:space="preserve">
проверити збир!
</t>
        </r>
      </text>
    </comment>
    <comment ref="I5599" authorId="0">
      <text>
        <r>
          <rPr>
            <b/>
            <sz val="9"/>
            <color indexed="81"/>
            <rFont val="Tahoma"/>
            <family val="2"/>
          </rPr>
          <t>LPA:</t>
        </r>
        <r>
          <rPr>
            <sz val="9"/>
            <color indexed="81"/>
            <rFont val="Tahoma"/>
            <family val="2"/>
          </rPr>
          <t xml:space="preserve">
проверити збир!
</t>
        </r>
      </text>
    </comment>
    <comment ref="I5600" authorId="0">
      <text>
        <r>
          <rPr>
            <b/>
            <sz val="9"/>
            <color indexed="81"/>
            <rFont val="Tahoma"/>
            <family val="2"/>
          </rPr>
          <t>LPA:</t>
        </r>
        <r>
          <rPr>
            <sz val="9"/>
            <color indexed="81"/>
            <rFont val="Tahoma"/>
            <family val="2"/>
          </rPr>
          <t xml:space="preserve">
проверити збир!
</t>
        </r>
      </text>
    </comment>
    <comment ref="I5601" authorId="0">
      <text>
        <r>
          <rPr>
            <b/>
            <sz val="9"/>
            <color indexed="81"/>
            <rFont val="Tahoma"/>
            <family val="2"/>
          </rPr>
          <t>LPA:</t>
        </r>
        <r>
          <rPr>
            <sz val="9"/>
            <color indexed="81"/>
            <rFont val="Tahoma"/>
            <family val="2"/>
          </rPr>
          <t xml:space="preserve">
проверити збир!
</t>
        </r>
      </text>
    </comment>
    <comment ref="I5602" authorId="0">
      <text>
        <r>
          <rPr>
            <b/>
            <sz val="9"/>
            <color indexed="81"/>
            <rFont val="Tahoma"/>
            <family val="2"/>
          </rPr>
          <t>LPA:</t>
        </r>
        <r>
          <rPr>
            <sz val="9"/>
            <color indexed="81"/>
            <rFont val="Tahoma"/>
            <family val="2"/>
          </rPr>
          <t xml:space="preserve">
проверити збир!
</t>
        </r>
      </text>
    </comment>
    <comment ref="I5603" authorId="0">
      <text>
        <r>
          <rPr>
            <b/>
            <sz val="9"/>
            <color indexed="81"/>
            <rFont val="Tahoma"/>
            <family val="2"/>
          </rPr>
          <t>LPA:</t>
        </r>
        <r>
          <rPr>
            <sz val="9"/>
            <color indexed="81"/>
            <rFont val="Tahoma"/>
            <family val="2"/>
          </rPr>
          <t xml:space="preserve">
проверити збир!
</t>
        </r>
      </text>
    </comment>
    <comment ref="I5604" authorId="0">
      <text>
        <r>
          <rPr>
            <b/>
            <sz val="9"/>
            <color indexed="81"/>
            <rFont val="Tahoma"/>
            <family val="2"/>
          </rPr>
          <t>LPA:</t>
        </r>
        <r>
          <rPr>
            <sz val="9"/>
            <color indexed="81"/>
            <rFont val="Tahoma"/>
            <family val="2"/>
          </rPr>
          <t xml:space="preserve">
проверити збир!
</t>
        </r>
      </text>
    </comment>
    <comment ref="I5605" authorId="0">
      <text>
        <r>
          <rPr>
            <b/>
            <sz val="9"/>
            <color indexed="81"/>
            <rFont val="Tahoma"/>
            <family val="2"/>
          </rPr>
          <t>LPA:</t>
        </r>
        <r>
          <rPr>
            <sz val="9"/>
            <color indexed="81"/>
            <rFont val="Tahoma"/>
            <family val="2"/>
          </rPr>
          <t xml:space="preserve">
проверити збир!
</t>
        </r>
      </text>
    </comment>
    <comment ref="I5606" authorId="0">
      <text>
        <r>
          <rPr>
            <b/>
            <sz val="9"/>
            <color indexed="81"/>
            <rFont val="Tahoma"/>
            <family val="2"/>
          </rPr>
          <t>LPA:</t>
        </r>
        <r>
          <rPr>
            <sz val="9"/>
            <color indexed="81"/>
            <rFont val="Tahoma"/>
            <family val="2"/>
          </rPr>
          <t xml:space="preserve">
проверити збир!
</t>
        </r>
      </text>
    </comment>
    <comment ref="I5607" authorId="0">
      <text>
        <r>
          <rPr>
            <b/>
            <sz val="9"/>
            <color indexed="81"/>
            <rFont val="Tahoma"/>
            <family val="2"/>
          </rPr>
          <t>LPA:</t>
        </r>
        <r>
          <rPr>
            <sz val="9"/>
            <color indexed="81"/>
            <rFont val="Tahoma"/>
            <family val="2"/>
          </rPr>
          <t xml:space="preserve">
проверити збир!
</t>
        </r>
      </text>
    </comment>
    <comment ref="I5608" authorId="0">
      <text>
        <r>
          <rPr>
            <b/>
            <sz val="9"/>
            <color indexed="81"/>
            <rFont val="Tahoma"/>
            <family val="2"/>
          </rPr>
          <t>LPA:</t>
        </r>
        <r>
          <rPr>
            <sz val="9"/>
            <color indexed="81"/>
            <rFont val="Tahoma"/>
            <family val="2"/>
          </rPr>
          <t xml:space="preserve">
проверити збир!
</t>
        </r>
      </text>
    </comment>
    <comment ref="I5609" authorId="0">
      <text>
        <r>
          <rPr>
            <b/>
            <sz val="9"/>
            <color indexed="81"/>
            <rFont val="Tahoma"/>
            <family val="2"/>
          </rPr>
          <t>LPA:</t>
        </r>
        <r>
          <rPr>
            <sz val="9"/>
            <color indexed="81"/>
            <rFont val="Tahoma"/>
            <family val="2"/>
          </rPr>
          <t xml:space="preserve">
проверити збир!
</t>
        </r>
      </text>
    </comment>
    <comment ref="I5610" authorId="0">
      <text>
        <r>
          <rPr>
            <b/>
            <sz val="9"/>
            <color indexed="81"/>
            <rFont val="Tahoma"/>
            <family val="2"/>
          </rPr>
          <t>LPA:</t>
        </r>
        <r>
          <rPr>
            <sz val="9"/>
            <color indexed="81"/>
            <rFont val="Tahoma"/>
            <family val="2"/>
          </rPr>
          <t xml:space="preserve">
проверити збир!
</t>
        </r>
      </text>
    </comment>
    <comment ref="I5611" authorId="0">
      <text>
        <r>
          <rPr>
            <b/>
            <sz val="9"/>
            <color indexed="81"/>
            <rFont val="Tahoma"/>
            <family val="2"/>
          </rPr>
          <t>LPA:</t>
        </r>
        <r>
          <rPr>
            <sz val="9"/>
            <color indexed="81"/>
            <rFont val="Tahoma"/>
            <family val="2"/>
          </rPr>
          <t xml:space="preserve">
проверити збир!
</t>
        </r>
      </text>
    </comment>
    <comment ref="I5612" authorId="0">
      <text>
        <r>
          <rPr>
            <b/>
            <sz val="9"/>
            <color indexed="81"/>
            <rFont val="Tahoma"/>
            <family val="2"/>
          </rPr>
          <t>LPA:</t>
        </r>
        <r>
          <rPr>
            <sz val="9"/>
            <color indexed="81"/>
            <rFont val="Tahoma"/>
            <family val="2"/>
          </rPr>
          <t xml:space="preserve">
проверити збир!
</t>
        </r>
      </text>
    </comment>
    <comment ref="I5613" authorId="0">
      <text>
        <r>
          <rPr>
            <b/>
            <sz val="9"/>
            <color indexed="81"/>
            <rFont val="Tahoma"/>
            <family val="2"/>
          </rPr>
          <t>LPA:</t>
        </r>
        <r>
          <rPr>
            <sz val="9"/>
            <color indexed="81"/>
            <rFont val="Tahoma"/>
            <family val="2"/>
          </rPr>
          <t xml:space="preserve">
проверити збир!
</t>
        </r>
      </text>
    </comment>
    <comment ref="I5684" authorId="0">
      <text>
        <r>
          <rPr>
            <b/>
            <sz val="9"/>
            <color indexed="81"/>
            <rFont val="Tahoma"/>
            <family val="2"/>
          </rPr>
          <t>LPA:</t>
        </r>
        <r>
          <rPr>
            <sz val="9"/>
            <color indexed="81"/>
            <rFont val="Tahoma"/>
            <family val="2"/>
          </rPr>
          <t xml:space="preserve">
проверити збир!
</t>
        </r>
      </text>
    </comment>
    <comment ref="I5685" authorId="0">
      <text>
        <r>
          <rPr>
            <b/>
            <sz val="9"/>
            <color indexed="81"/>
            <rFont val="Tahoma"/>
            <family val="2"/>
          </rPr>
          <t>LPA:</t>
        </r>
        <r>
          <rPr>
            <sz val="9"/>
            <color indexed="81"/>
            <rFont val="Tahoma"/>
            <family val="2"/>
          </rPr>
          <t xml:space="preserve">
проверити збир!
</t>
        </r>
      </text>
    </comment>
    <comment ref="I5686" authorId="0">
      <text>
        <r>
          <rPr>
            <b/>
            <sz val="9"/>
            <color indexed="81"/>
            <rFont val="Tahoma"/>
            <family val="2"/>
          </rPr>
          <t>LPA:</t>
        </r>
        <r>
          <rPr>
            <sz val="9"/>
            <color indexed="81"/>
            <rFont val="Tahoma"/>
            <family val="2"/>
          </rPr>
          <t xml:space="preserve">
проверити збир!
</t>
        </r>
      </text>
    </comment>
    <comment ref="I5687" authorId="0">
      <text>
        <r>
          <rPr>
            <b/>
            <sz val="9"/>
            <color indexed="81"/>
            <rFont val="Tahoma"/>
            <family val="2"/>
          </rPr>
          <t>LPA:</t>
        </r>
        <r>
          <rPr>
            <sz val="9"/>
            <color indexed="81"/>
            <rFont val="Tahoma"/>
            <family val="2"/>
          </rPr>
          <t xml:space="preserve">
проверити збир!
</t>
        </r>
      </text>
    </comment>
    <comment ref="I5688" authorId="0">
      <text>
        <r>
          <rPr>
            <b/>
            <sz val="9"/>
            <color indexed="81"/>
            <rFont val="Tahoma"/>
            <family val="2"/>
          </rPr>
          <t>LPA:</t>
        </r>
        <r>
          <rPr>
            <sz val="9"/>
            <color indexed="81"/>
            <rFont val="Tahoma"/>
            <family val="2"/>
          </rPr>
          <t xml:space="preserve">
проверити збир!
</t>
        </r>
      </text>
    </comment>
    <comment ref="I5689" authorId="0">
      <text>
        <r>
          <rPr>
            <b/>
            <sz val="9"/>
            <color indexed="81"/>
            <rFont val="Tahoma"/>
            <family val="2"/>
          </rPr>
          <t>LPA:</t>
        </r>
        <r>
          <rPr>
            <sz val="9"/>
            <color indexed="81"/>
            <rFont val="Tahoma"/>
            <family val="2"/>
          </rPr>
          <t xml:space="preserve">
проверити збир!
</t>
        </r>
      </text>
    </comment>
    <comment ref="I5690" authorId="0">
      <text>
        <r>
          <rPr>
            <b/>
            <sz val="9"/>
            <color indexed="81"/>
            <rFont val="Tahoma"/>
            <family val="2"/>
          </rPr>
          <t>LPA:</t>
        </r>
        <r>
          <rPr>
            <sz val="9"/>
            <color indexed="81"/>
            <rFont val="Tahoma"/>
            <family val="2"/>
          </rPr>
          <t xml:space="preserve">
проверити збир!
</t>
        </r>
      </text>
    </comment>
    <comment ref="I5691" authorId="0">
      <text>
        <r>
          <rPr>
            <b/>
            <sz val="9"/>
            <color indexed="81"/>
            <rFont val="Tahoma"/>
            <family val="2"/>
          </rPr>
          <t>LPA:</t>
        </r>
        <r>
          <rPr>
            <sz val="9"/>
            <color indexed="81"/>
            <rFont val="Tahoma"/>
            <family val="2"/>
          </rPr>
          <t xml:space="preserve">
проверити збир!
</t>
        </r>
      </text>
    </comment>
    <comment ref="I5692" authorId="0">
      <text>
        <r>
          <rPr>
            <b/>
            <sz val="9"/>
            <color indexed="81"/>
            <rFont val="Tahoma"/>
            <family val="2"/>
          </rPr>
          <t>LPA:</t>
        </r>
        <r>
          <rPr>
            <sz val="9"/>
            <color indexed="81"/>
            <rFont val="Tahoma"/>
            <family val="2"/>
          </rPr>
          <t xml:space="preserve">
проверити збир!
</t>
        </r>
      </text>
    </comment>
    <comment ref="I5693" authorId="0">
      <text>
        <r>
          <rPr>
            <b/>
            <sz val="9"/>
            <color indexed="81"/>
            <rFont val="Tahoma"/>
            <family val="2"/>
          </rPr>
          <t>LPA:</t>
        </r>
        <r>
          <rPr>
            <sz val="9"/>
            <color indexed="81"/>
            <rFont val="Tahoma"/>
            <family val="2"/>
          </rPr>
          <t xml:space="preserve">
проверити збир!
</t>
        </r>
      </text>
    </comment>
    <comment ref="I5694" authorId="0">
      <text>
        <r>
          <rPr>
            <b/>
            <sz val="9"/>
            <color indexed="81"/>
            <rFont val="Tahoma"/>
            <family val="2"/>
          </rPr>
          <t>LPA:</t>
        </r>
        <r>
          <rPr>
            <sz val="9"/>
            <color indexed="81"/>
            <rFont val="Tahoma"/>
            <family val="2"/>
          </rPr>
          <t xml:space="preserve">
проверити збир!
</t>
        </r>
      </text>
    </comment>
    <comment ref="I5695" authorId="0">
      <text>
        <r>
          <rPr>
            <b/>
            <sz val="9"/>
            <color indexed="81"/>
            <rFont val="Tahoma"/>
            <family val="2"/>
          </rPr>
          <t>LPA:</t>
        </r>
        <r>
          <rPr>
            <sz val="9"/>
            <color indexed="81"/>
            <rFont val="Tahoma"/>
            <family val="2"/>
          </rPr>
          <t xml:space="preserve">
проверити збир!
</t>
        </r>
      </text>
    </comment>
    <comment ref="I5696" authorId="0">
      <text>
        <r>
          <rPr>
            <b/>
            <sz val="9"/>
            <color indexed="81"/>
            <rFont val="Tahoma"/>
            <family val="2"/>
          </rPr>
          <t>LPA:</t>
        </r>
        <r>
          <rPr>
            <sz val="9"/>
            <color indexed="81"/>
            <rFont val="Tahoma"/>
            <family val="2"/>
          </rPr>
          <t xml:space="preserve">
проверити збир!
</t>
        </r>
      </text>
    </comment>
    <comment ref="H5699" authorId="0">
      <text>
        <r>
          <rPr>
            <b/>
            <sz val="9"/>
            <color indexed="81"/>
            <rFont val="Tahoma"/>
            <family val="2"/>
          </rPr>
          <t>LPA:</t>
        </r>
        <r>
          <rPr>
            <sz val="9"/>
            <color indexed="81"/>
            <rFont val="Tahoma"/>
            <family val="2"/>
          </rPr>
          <t xml:space="preserve">
проверити збир!</t>
        </r>
      </text>
    </comment>
    <comment ref="I5699" authorId="0">
      <text>
        <r>
          <rPr>
            <b/>
            <sz val="9"/>
            <color indexed="81"/>
            <rFont val="Tahoma"/>
            <family val="2"/>
          </rPr>
          <t>LPA:</t>
        </r>
        <r>
          <rPr>
            <sz val="9"/>
            <color indexed="81"/>
            <rFont val="Tahoma"/>
            <family val="2"/>
          </rPr>
          <t xml:space="preserve">
проверити збир!</t>
        </r>
      </text>
    </comment>
    <comment ref="I5700" authorId="0">
      <text>
        <r>
          <rPr>
            <b/>
            <sz val="9"/>
            <color indexed="81"/>
            <rFont val="Tahoma"/>
            <family val="2"/>
          </rPr>
          <t>LPA:</t>
        </r>
        <r>
          <rPr>
            <sz val="9"/>
            <color indexed="81"/>
            <rFont val="Tahoma"/>
            <family val="2"/>
          </rPr>
          <t xml:space="preserve">
проверити збир!
</t>
        </r>
      </text>
    </comment>
    <comment ref="I5701" authorId="0">
      <text>
        <r>
          <rPr>
            <b/>
            <sz val="9"/>
            <color indexed="81"/>
            <rFont val="Tahoma"/>
            <family val="2"/>
          </rPr>
          <t>LPA:</t>
        </r>
        <r>
          <rPr>
            <sz val="9"/>
            <color indexed="81"/>
            <rFont val="Tahoma"/>
            <family val="2"/>
          </rPr>
          <t xml:space="preserve">
проверити збир!
</t>
        </r>
      </text>
    </comment>
    <comment ref="I5702" authorId="0">
      <text>
        <r>
          <rPr>
            <b/>
            <sz val="9"/>
            <color indexed="81"/>
            <rFont val="Tahoma"/>
            <family val="2"/>
          </rPr>
          <t>LPA:</t>
        </r>
        <r>
          <rPr>
            <sz val="9"/>
            <color indexed="81"/>
            <rFont val="Tahoma"/>
            <family val="2"/>
          </rPr>
          <t xml:space="preserve">
проверити збир!
</t>
        </r>
      </text>
    </comment>
    <comment ref="I5703" authorId="0">
      <text>
        <r>
          <rPr>
            <b/>
            <sz val="9"/>
            <color indexed="81"/>
            <rFont val="Tahoma"/>
            <family val="2"/>
          </rPr>
          <t>LPA:</t>
        </r>
        <r>
          <rPr>
            <sz val="9"/>
            <color indexed="81"/>
            <rFont val="Tahoma"/>
            <family val="2"/>
          </rPr>
          <t xml:space="preserve">
проверити збир!
</t>
        </r>
      </text>
    </comment>
    <comment ref="I5704" authorId="0">
      <text>
        <r>
          <rPr>
            <b/>
            <sz val="9"/>
            <color indexed="81"/>
            <rFont val="Tahoma"/>
            <family val="2"/>
          </rPr>
          <t>LPA:</t>
        </r>
        <r>
          <rPr>
            <sz val="9"/>
            <color indexed="81"/>
            <rFont val="Tahoma"/>
            <family val="2"/>
          </rPr>
          <t xml:space="preserve">
проверити збир!
</t>
        </r>
      </text>
    </comment>
    <comment ref="I5705" authorId="0">
      <text>
        <r>
          <rPr>
            <b/>
            <sz val="9"/>
            <color indexed="81"/>
            <rFont val="Tahoma"/>
            <family val="2"/>
          </rPr>
          <t>LPA:</t>
        </r>
        <r>
          <rPr>
            <sz val="9"/>
            <color indexed="81"/>
            <rFont val="Tahoma"/>
            <family val="2"/>
          </rPr>
          <t xml:space="preserve">
проверити збир!
</t>
        </r>
      </text>
    </comment>
    <comment ref="I5706" authorId="0">
      <text>
        <r>
          <rPr>
            <b/>
            <sz val="9"/>
            <color indexed="81"/>
            <rFont val="Tahoma"/>
            <family val="2"/>
          </rPr>
          <t>LPA:</t>
        </r>
        <r>
          <rPr>
            <sz val="9"/>
            <color indexed="81"/>
            <rFont val="Tahoma"/>
            <family val="2"/>
          </rPr>
          <t xml:space="preserve">
проверити збир!
</t>
        </r>
      </text>
    </comment>
    <comment ref="I5707" authorId="0">
      <text>
        <r>
          <rPr>
            <b/>
            <sz val="9"/>
            <color indexed="81"/>
            <rFont val="Tahoma"/>
            <family val="2"/>
          </rPr>
          <t>LPA:</t>
        </r>
        <r>
          <rPr>
            <sz val="9"/>
            <color indexed="81"/>
            <rFont val="Tahoma"/>
            <family val="2"/>
          </rPr>
          <t xml:space="preserve">
проверити збир!
</t>
        </r>
      </text>
    </comment>
    <comment ref="I5708" authorId="0">
      <text>
        <r>
          <rPr>
            <b/>
            <sz val="9"/>
            <color indexed="81"/>
            <rFont val="Tahoma"/>
            <family val="2"/>
          </rPr>
          <t>LPA:</t>
        </r>
        <r>
          <rPr>
            <sz val="9"/>
            <color indexed="81"/>
            <rFont val="Tahoma"/>
            <family val="2"/>
          </rPr>
          <t xml:space="preserve">
проверити збир!
</t>
        </r>
      </text>
    </comment>
    <comment ref="I5709" authorId="0">
      <text>
        <r>
          <rPr>
            <b/>
            <sz val="9"/>
            <color indexed="81"/>
            <rFont val="Tahoma"/>
            <family val="2"/>
          </rPr>
          <t>LPA:</t>
        </r>
        <r>
          <rPr>
            <sz val="9"/>
            <color indexed="81"/>
            <rFont val="Tahoma"/>
            <family val="2"/>
          </rPr>
          <t xml:space="preserve">
проверити збир!
</t>
        </r>
      </text>
    </comment>
    <comment ref="I5710" authorId="0">
      <text>
        <r>
          <rPr>
            <b/>
            <sz val="9"/>
            <color indexed="81"/>
            <rFont val="Tahoma"/>
            <family val="2"/>
          </rPr>
          <t>LPA:</t>
        </r>
        <r>
          <rPr>
            <sz val="9"/>
            <color indexed="81"/>
            <rFont val="Tahoma"/>
            <family val="2"/>
          </rPr>
          <t xml:space="preserve">
проверити збир!
</t>
        </r>
      </text>
    </comment>
    <comment ref="I5711" authorId="0">
      <text>
        <r>
          <rPr>
            <b/>
            <sz val="9"/>
            <color indexed="81"/>
            <rFont val="Tahoma"/>
            <family val="2"/>
          </rPr>
          <t>LPA:</t>
        </r>
        <r>
          <rPr>
            <sz val="9"/>
            <color indexed="81"/>
            <rFont val="Tahoma"/>
            <family val="2"/>
          </rPr>
          <t xml:space="preserve">
проверити збир!
</t>
        </r>
      </text>
    </comment>
    <comment ref="I5712" authorId="0">
      <text>
        <r>
          <rPr>
            <b/>
            <sz val="9"/>
            <color indexed="81"/>
            <rFont val="Tahoma"/>
            <family val="2"/>
          </rPr>
          <t>LPA:</t>
        </r>
        <r>
          <rPr>
            <sz val="9"/>
            <color indexed="81"/>
            <rFont val="Tahoma"/>
            <family val="2"/>
          </rPr>
          <t xml:space="preserve">
проверити збир!
</t>
        </r>
      </text>
    </comment>
    <comment ref="I5713" authorId="0">
      <text>
        <r>
          <rPr>
            <b/>
            <sz val="9"/>
            <color indexed="81"/>
            <rFont val="Tahoma"/>
            <family val="2"/>
          </rPr>
          <t>LPA:</t>
        </r>
        <r>
          <rPr>
            <sz val="9"/>
            <color indexed="81"/>
            <rFont val="Tahoma"/>
            <family val="2"/>
          </rPr>
          <t xml:space="preserve">
проверити збир!
</t>
        </r>
      </text>
    </comment>
    <comment ref="I5714" authorId="0">
      <text>
        <r>
          <rPr>
            <b/>
            <sz val="9"/>
            <color indexed="81"/>
            <rFont val="Tahoma"/>
            <family val="2"/>
          </rPr>
          <t>LPA:</t>
        </r>
        <r>
          <rPr>
            <sz val="9"/>
            <color indexed="81"/>
            <rFont val="Tahoma"/>
            <family val="2"/>
          </rPr>
          <t xml:space="preserve">
проверити збир!
</t>
        </r>
      </text>
    </comment>
    <comment ref="I5783" authorId="0">
      <text>
        <r>
          <rPr>
            <b/>
            <sz val="9"/>
            <color indexed="81"/>
            <rFont val="Tahoma"/>
            <family val="2"/>
          </rPr>
          <t>LPA:</t>
        </r>
        <r>
          <rPr>
            <sz val="9"/>
            <color indexed="81"/>
            <rFont val="Tahoma"/>
            <family val="2"/>
          </rPr>
          <t xml:space="preserve">
проверити збир!
</t>
        </r>
      </text>
    </comment>
    <comment ref="I5784" authorId="0">
      <text>
        <r>
          <rPr>
            <b/>
            <sz val="9"/>
            <color indexed="81"/>
            <rFont val="Tahoma"/>
            <family val="2"/>
          </rPr>
          <t>LPA:</t>
        </r>
        <r>
          <rPr>
            <sz val="9"/>
            <color indexed="81"/>
            <rFont val="Tahoma"/>
            <family val="2"/>
          </rPr>
          <t xml:space="preserve">
проверити збир!
</t>
        </r>
      </text>
    </comment>
    <comment ref="I5785" authorId="0">
      <text>
        <r>
          <rPr>
            <b/>
            <sz val="9"/>
            <color indexed="81"/>
            <rFont val="Tahoma"/>
            <family val="2"/>
          </rPr>
          <t>LPA:</t>
        </r>
        <r>
          <rPr>
            <sz val="9"/>
            <color indexed="81"/>
            <rFont val="Tahoma"/>
            <family val="2"/>
          </rPr>
          <t xml:space="preserve">
проверити збир!
</t>
        </r>
      </text>
    </comment>
    <comment ref="I5786" authorId="0">
      <text>
        <r>
          <rPr>
            <b/>
            <sz val="9"/>
            <color indexed="81"/>
            <rFont val="Tahoma"/>
            <family val="2"/>
          </rPr>
          <t>LPA:</t>
        </r>
        <r>
          <rPr>
            <sz val="9"/>
            <color indexed="81"/>
            <rFont val="Tahoma"/>
            <family val="2"/>
          </rPr>
          <t xml:space="preserve">
проверити збир!
</t>
        </r>
      </text>
    </comment>
    <comment ref="I5787" authorId="0">
      <text>
        <r>
          <rPr>
            <b/>
            <sz val="9"/>
            <color indexed="81"/>
            <rFont val="Tahoma"/>
            <family val="2"/>
          </rPr>
          <t>LPA:</t>
        </r>
        <r>
          <rPr>
            <sz val="9"/>
            <color indexed="81"/>
            <rFont val="Tahoma"/>
            <family val="2"/>
          </rPr>
          <t xml:space="preserve">
проверити збир!
</t>
        </r>
      </text>
    </comment>
    <comment ref="I5788" authorId="0">
      <text>
        <r>
          <rPr>
            <b/>
            <sz val="9"/>
            <color indexed="81"/>
            <rFont val="Tahoma"/>
            <family val="2"/>
          </rPr>
          <t>LPA:</t>
        </r>
        <r>
          <rPr>
            <sz val="9"/>
            <color indexed="81"/>
            <rFont val="Tahoma"/>
            <family val="2"/>
          </rPr>
          <t xml:space="preserve">
проверити збир!
</t>
        </r>
      </text>
    </comment>
    <comment ref="I5789" authorId="0">
      <text>
        <r>
          <rPr>
            <b/>
            <sz val="9"/>
            <color indexed="81"/>
            <rFont val="Tahoma"/>
            <family val="2"/>
          </rPr>
          <t>LPA:</t>
        </r>
        <r>
          <rPr>
            <sz val="9"/>
            <color indexed="81"/>
            <rFont val="Tahoma"/>
            <family val="2"/>
          </rPr>
          <t xml:space="preserve">
проверити збир!
</t>
        </r>
      </text>
    </comment>
    <comment ref="I5790" authorId="0">
      <text>
        <r>
          <rPr>
            <b/>
            <sz val="9"/>
            <color indexed="81"/>
            <rFont val="Tahoma"/>
            <family val="2"/>
          </rPr>
          <t>LPA:</t>
        </r>
        <r>
          <rPr>
            <sz val="9"/>
            <color indexed="81"/>
            <rFont val="Tahoma"/>
            <family val="2"/>
          </rPr>
          <t xml:space="preserve">
проверити збир!
</t>
        </r>
      </text>
    </comment>
    <comment ref="I5791" authorId="0">
      <text>
        <r>
          <rPr>
            <b/>
            <sz val="9"/>
            <color indexed="81"/>
            <rFont val="Tahoma"/>
            <family val="2"/>
          </rPr>
          <t>LPA:</t>
        </r>
        <r>
          <rPr>
            <sz val="9"/>
            <color indexed="81"/>
            <rFont val="Tahoma"/>
            <family val="2"/>
          </rPr>
          <t xml:space="preserve">
проверити збир!
</t>
        </r>
      </text>
    </comment>
    <comment ref="I5792" authorId="0">
      <text>
        <r>
          <rPr>
            <b/>
            <sz val="9"/>
            <color indexed="81"/>
            <rFont val="Tahoma"/>
            <family val="2"/>
          </rPr>
          <t>LPA:</t>
        </r>
        <r>
          <rPr>
            <sz val="9"/>
            <color indexed="81"/>
            <rFont val="Tahoma"/>
            <family val="2"/>
          </rPr>
          <t xml:space="preserve">
проверити збир!
</t>
        </r>
      </text>
    </comment>
    <comment ref="I5793" authorId="0">
      <text>
        <r>
          <rPr>
            <b/>
            <sz val="9"/>
            <color indexed="81"/>
            <rFont val="Tahoma"/>
            <family val="2"/>
          </rPr>
          <t>LPA:</t>
        </r>
        <r>
          <rPr>
            <sz val="9"/>
            <color indexed="81"/>
            <rFont val="Tahoma"/>
            <family val="2"/>
          </rPr>
          <t xml:space="preserve">
проверити збир!
</t>
        </r>
      </text>
    </comment>
    <comment ref="I5794" authorId="0">
      <text>
        <r>
          <rPr>
            <b/>
            <sz val="9"/>
            <color indexed="81"/>
            <rFont val="Tahoma"/>
            <family val="2"/>
          </rPr>
          <t>LPA:</t>
        </r>
        <r>
          <rPr>
            <sz val="9"/>
            <color indexed="81"/>
            <rFont val="Tahoma"/>
            <family val="2"/>
          </rPr>
          <t xml:space="preserve">
проверити збир!
</t>
        </r>
      </text>
    </comment>
    <comment ref="I5795" authorId="0">
      <text>
        <r>
          <rPr>
            <b/>
            <sz val="9"/>
            <color indexed="81"/>
            <rFont val="Tahoma"/>
            <family val="2"/>
          </rPr>
          <t>LPA:</t>
        </r>
        <r>
          <rPr>
            <sz val="9"/>
            <color indexed="81"/>
            <rFont val="Tahoma"/>
            <family val="2"/>
          </rPr>
          <t xml:space="preserve">
проверити збир!
</t>
        </r>
      </text>
    </comment>
    <comment ref="H5798" authorId="0">
      <text>
        <r>
          <rPr>
            <b/>
            <sz val="9"/>
            <color indexed="81"/>
            <rFont val="Tahoma"/>
            <family val="2"/>
          </rPr>
          <t>LPA:</t>
        </r>
        <r>
          <rPr>
            <sz val="9"/>
            <color indexed="81"/>
            <rFont val="Tahoma"/>
            <family val="2"/>
          </rPr>
          <t xml:space="preserve">
проверити збир!</t>
        </r>
      </text>
    </comment>
    <comment ref="I5798" authorId="0">
      <text>
        <r>
          <rPr>
            <b/>
            <sz val="9"/>
            <color indexed="81"/>
            <rFont val="Tahoma"/>
            <family val="2"/>
          </rPr>
          <t>LPA:</t>
        </r>
        <r>
          <rPr>
            <sz val="9"/>
            <color indexed="81"/>
            <rFont val="Tahoma"/>
            <family val="2"/>
          </rPr>
          <t xml:space="preserve">
проверити збир!</t>
        </r>
      </text>
    </comment>
    <comment ref="I5799" authorId="0">
      <text>
        <r>
          <rPr>
            <b/>
            <sz val="9"/>
            <color indexed="81"/>
            <rFont val="Tahoma"/>
            <family val="2"/>
          </rPr>
          <t>LPA:</t>
        </r>
        <r>
          <rPr>
            <sz val="9"/>
            <color indexed="81"/>
            <rFont val="Tahoma"/>
            <family val="2"/>
          </rPr>
          <t xml:space="preserve">
проверити збир!
</t>
        </r>
      </text>
    </comment>
    <comment ref="I5800" authorId="0">
      <text>
        <r>
          <rPr>
            <b/>
            <sz val="9"/>
            <color indexed="81"/>
            <rFont val="Tahoma"/>
            <family val="2"/>
          </rPr>
          <t>LPA:</t>
        </r>
        <r>
          <rPr>
            <sz val="9"/>
            <color indexed="81"/>
            <rFont val="Tahoma"/>
            <family val="2"/>
          </rPr>
          <t xml:space="preserve">
проверити збир!
</t>
        </r>
      </text>
    </comment>
    <comment ref="I5801" authorId="0">
      <text>
        <r>
          <rPr>
            <b/>
            <sz val="9"/>
            <color indexed="81"/>
            <rFont val="Tahoma"/>
            <family val="2"/>
          </rPr>
          <t>LPA:</t>
        </r>
        <r>
          <rPr>
            <sz val="9"/>
            <color indexed="81"/>
            <rFont val="Tahoma"/>
            <family val="2"/>
          </rPr>
          <t xml:space="preserve">
проверити збир!
</t>
        </r>
      </text>
    </comment>
    <comment ref="I5802" authorId="0">
      <text>
        <r>
          <rPr>
            <b/>
            <sz val="9"/>
            <color indexed="81"/>
            <rFont val="Tahoma"/>
            <family val="2"/>
          </rPr>
          <t>LPA:</t>
        </r>
        <r>
          <rPr>
            <sz val="9"/>
            <color indexed="81"/>
            <rFont val="Tahoma"/>
            <family val="2"/>
          </rPr>
          <t xml:space="preserve">
проверити збир!
</t>
        </r>
      </text>
    </comment>
    <comment ref="I5803" authorId="0">
      <text>
        <r>
          <rPr>
            <b/>
            <sz val="9"/>
            <color indexed="81"/>
            <rFont val="Tahoma"/>
            <family val="2"/>
          </rPr>
          <t>LPA:</t>
        </r>
        <r>
          <rPr>
            <sz val="9"/>
            <color indexed="81"/>
            <rFont val="Tahoma"/>
            <family val="2"/>
          </rPr>
          <t xml:space="preserve">
проверити збир!
</t>
        </r>
      </text>
    </comment>
    <comment ref="I5804" authorId="0">
      <text>
        <r>
          <rPr>
            <b/>
            <sz val="9"/>
            <color indexed="81"/>
            <rFont val="Tahoma"/>
            <family val="2"/>
          </rPr>
          <t>LPA:</t>
        </r>
        <r>
          <rPr>
            <sz val="9"/>
            <color indexed="81"/>
            <rFont val="Tahoma"/>
            <family val="2"/>
          </rPr>
          <t xml:space="preserve">
проверити збир!
</t>
        </r>
      </text>
    </comment>
    <comment ref="I5805" authorId="0">
      <text>
        <r>
          <rPr>
            <b/>
            <sz val="9"/>
            <color indexed="81"/>
            <rFont val="Tahoma"/>
            <family val="2"/>
          </rPr>
          <t>LPA:</t>
        </r>
        <r>
          <rPr>
            <sz val="9"/>
            <color indexed="81"/>
            <rFont val="Tahoma"/>
            <family val="2"/>
          </rPr>
          <t xml:space="preserve">
проверити збир!
</t>
        </r>
      </text>
    </comment>
    <comment ref="I5806" authorId="0">
      <text>
        <r>
          <rPr>
            <b/>
            <sz val="9"/>
            <color indexed="81"/>
            <rFont val="Tahoma"/>
            <family val="2"/>
          </rPr>
          <t>LPA:</t>
        </r>
        <r>
          <rPr>
            <sz val="9"/>
            <color indexed="81"/>
            <rFont val="Tahoma"/>
            <family val="2"/>
          </rPr>
          <t xml:space="preserve">
проверити збир!
</t>
        </r>
      </text>
    </comment>
    <comment ref="I5807" authorId="0">
      <text>
        <r>
          <rPr>
            <b/>
            <sz val="9"/>
            <color indexed="81"/>
            <rFont val="Tahoma"/>
            <family val="2"/>
          </rPr>
          <t>LPA:</t>
        </r>
        <r>
          <rPr>
            <sz val="9"/>
            <color indexed="81"/>
            <rFont val="Tahoma"/>
            <family val="2"/>
          </rPr>
          <t xml:space="preserve">
проверити збир!
</t>
        </r>
      </text>
    </comment>
    <comment ref="I5808" authorId="0">
      <text>
        <r>
          <rPr>
            <b/>
            <sz val="9"/>
            <color indexed="81"/>
            <rFont val="Tahoma"/>
            <family val="2"/>
          </rPr>
          <t>LPA:</t>
        </r>
        <r>
          <rPr>
            <sz val="9"/>
            <color indexed="81"/>
            <rFont val="Tahoma"/>
            <family val="2"/>
          </rPr>
          <t xml:space="preserve">
проверити збир!
</t>
        </r>
      </text>
    </comment>
    <comment ref="I5809" authorId="0">
      <text>
        <r>
          <rPr>
            <b/>
            <sz val="9"/>
            <color indexed="81"/>
            <rFont val="Tahoma"/>
            <family val="2"/>
          </rPr>
          <t>LPA:</t>
        </r>
        <r>
          <rPr>
            <sz val="9"/>
            <color indexed="81"/>
            <rFont val="Tahoma"/>
            <family val="2"/>
          </rPr>
          <t xml:space="preserve">
проверити збир!
</t>
        </r>
      </text>
    </comment>
    <comment ref="I5810" authorId="0">
      <text>
        <r>
          <rPr>
            <b/>
            <sz val="9"/>
            <color indexed="81"/>
            <rFont val="Tahoma"/>
            <family val="2"/>
          </rPr>
          <t>LPA:</t>
        </r>
        <r>
          <rPr>
            <sz val="9"/>
            <color indexed="81"/>
            <rFont val="Tahoma"/>
            <family val="2"/>
          </rPr>
          <t xml:space="preserve">
проверити збир!
</t>
        </r>
      </text>
    </comment>
    <comment ref="I5811" authorId="0">
      <text>
        <r>
          <rPr>
            <b/>
            <sz val="9"/>
            <color indexed="81"/>
            <rFont val="Tahoma"/>
            <family val="2"/>
          </rPr>
          <t>LPA:</t>
        </r>
        <r>
          <rPr>
            <sz val="9"/>
            <color indexed="81"/>
            <rFont val="Tahoma"/>
            <family val="2"/>
          </rPr>
          <t xml:space="preserve">
проверити збир!
</t>
        </r>
      </text>
    </comment>
    <comment ref="I5812" authorId="0">
      <text>
        <r>
          <rPr>
            <b/>
            <sz val="9"/>
            <color indexed="81"/>
            <rFont val="Tahoma"/>
            <family val="2"/>
          </rPr>
          <t>LPA:</t>
        </r>
        <r>
          <rPr>
            <sz val="9"/>
            <color indexed="81"/>
            <rFont val="Tahoma"/>
            <family val="2"/>
          </rPr>
          <t xml:space="preserve">
проверити збир!
</t>
        </r>
      </text>
    </comment>
    <comment ref="I5813" authorId="0">
      <text>
        <r>
          <rPr>
            <b/>
            <sz val="9"/>
            <color indexed="81"/>
            <rFont val="Tahoma"/>
            <family val="2"/>
          </rPr>
          <t>LPA:</t>
        </r>
        <r>
          <rPr>
            <sz val="9"/>
            <color indexed="81"/>
            <rFont val="Tahoma"/>
            <family val="2"/>
          </rPr>
          <t xml:space="preserve">
проверити збир!
</t>
        </r>
      </text>
    </comment>
    <comment ref="I5882" authorId="0">
      <text>
        <r>
          <rPr>
            <b/>
            <sz val="9"/>
            <color indexed="81"/>
            <rFont val="Tahoma"/>
            <family val="2"/>
          </rPr>
          <t>LPA:</t>
        </r>
        <r>
          <rPr>
            <sz val="9"/>
            <color indexed="81"/>
            <rFont val="Tahoma"/>
            <family val="2"/>
          </rPr>
          <t xml:space="preserve">
проверити збир!
</t>
        </r>
      </text>
    </comment>
    <comment ref="I5883" authorId="0">
      <text>
        <r>
          <rPr>
            <b/>
            <sz val="9"/>
            <color indexed="81"/>
            <rFont val="Tahoma"/>
            <family val="2"/>
          </rPr>
          <t>LPA:</t>
        </r>
        <r>
          <rPr>
            <sz val="9"/>
            <color indexed="81"/>
            <rFont val="Tahoma"/>
            <family val="2"/>
          </rPr>
          <t xml:space="preserve">
проверити збир!
</t>
        </r>
      </text>
    </comment>
    <comment ref="I5884" authorId="0">
      <text>
        <r>
          <rPr>
            <b/>
            <sz val="9"/>
            <color indexed="81"/>
            <rFont val="Tahoma"/>
            <family val="2"/>
          </rPr>
          <t>LPA:</t>
        </r>
        <r>
          <rPr>
            <sz val="9"/>
            <color indexed="81"/>
            <rFont val="Tahoma"/>
            <family val="2"/>
          </rPr>
          <t xml:space="preserve">
проверити збир!
</t>
        </r>
      </text>
    </comment>
    <comment ref="I5885" authorId="0">
      <text>
        <r>
          <rPr>
            <b/>
            <sz val="9"/>
            <color indexed="81"/>
            <rFont val="Tahoma"/>
            <family val="2"/>
          </rPr>
          <t>LPA:</t>
        </r>
        <r>
          <rPr>
            <sz val="9"/>
            <color indexed="81"/>
            <rFont val="Tahoma"/>
            <family val="2"/>
          </rPr>
          <t xml:space="preserve">
проверити збир!
</t>
        </r>
      </text>
    </comment>
    <comment ref="I5886" authorId="0">
      <text>
        <r>
          <rPr>
            <b/>
            <sz val="9"/>
            <color indexed="81"/>
            <rFont val="Tahoma"/>
            <family val="2"/>
          </rPr>
          <t>LPA:</t>
        </r>
        <r>
          <rPr>
            <sz val="9"/>
            <color indexed="81"/>
            <rFont val="Tahoma"/>
            <family val="2"/>
          </rPr>
          <t xml:space="preserve">
проверити збир!
</t>
        </r>
      </text>
    </comment>
    <comment ref="I5887" authorId="0">
      <text>
        <r>
          <rPr>
            <b/>
            <sz val="9"/>
            <color indexed="81"/>
            <rFont val="Tahoma"/>
            <family val="2"/>
          </rPr>
          <t>LPA:</t>
        </r>
        <r>
          <rPr>
            <sz val="9"/>
            <color indexed="81"/>
            <rFont val="Tahoma"/>
            <family val="2"/>
          </rPr>
          <t xml:space="preserve">
проверити збир!
</t>
        </r>
      </text>
    </comment>
    <comment ref="I5888" authorId="0">
      <text>
        <r>
          <rPr>
            <b/>
            <sz val="9"/>
            <color indexed="81"/>
            <rFont val="Tahoma"/>
            <family val="2"/>
          </rPr>
          <t>LPA:</t>
        </r>
        <r>
          <rPr>
            <sz val="9"/>
            <color indexed="81"/>
            <rFont val="Tahoma"/>
            <family val="2"/>
          </rPr>
          <t xml:space="preserve">
проверити збир!
</t>
        </r>
      </text>
    </comment>
    <comment ref="I5889" authorId="0">
      <text>
        <r>
          <rPr>
            <b/>
            <sz val="9"/>
            <color indexed="81"/>
            <rFont val="Tahoma"/>
            <family val="2"/>
          </rPr>
          <t>LPA:</t>
        </r>
        <r>
          <rPr>
            <sz val="9"/>
            <color indexed="81"/>
            <rFont val="Tahoma"/>
            <family val="2"/>
          </rPr>
          <t xml:space="preserve">
проверити збир!
</t>
        </r>
      </text>
    </comment>
    <comment ref="I5890" authorId="0">
      <text>
        <r>
          <rPr>
            <b/>
            <sz val="9"/>
            <color indexed="81"/>
            <rFont val="Tahoma"/>
            <family val="2"/>
          </rPr>
          <t>LPA:</t>
        </r>
        <r>
          <rPr>
            <sz val="9"/>
            <color indexed="81"/>
            <rFont val="Tahoma"/>
            <family val="2"/>
          </rPr>
          <t xml:space="preserve">
проверити збир!
</t>
        </r>
      </text>
    </comment>
    <comment ref="I5891" authorId="0">
      <text>
        <r>
          <rPr>
            <b/>
            <sz val="9"/>
            <color indexed="81"/>
            <rFont val="Tahoma"/>
            <family val="2"/>
          </rPr>
          <t>LPA:</t>
        </r>
        <r>
          <rPr>
            <sz val="9"/>
            <color indexed="81"/>
            <rFont val="Tahoma"/>
            <family val="2"/>
          </rPr>
          <t xml:space="preserve">
проверити збир!
</t>
        </r>
      </text>
    </comment>
    <comment ref="I5892" authorId="0">
      <text>
        <r>
          <rPr>
            <b/>
            <sz val="9"/>
            <color indexed="81"/>
            <rFont val="Tahoma"/>
            <family val="2"/>
          </rPr>
          <t>LPA:</t>
        </r>
        <r>
          <rPr>
            <sz val="9"/>
            <color indexed="81"/>
            <rFont val="Tahoma"/>
            <family val="2"/>
          </rPr>
          <t xml:space="preserve">
проверити збир!
</t>
        </r>
      </text>
    </comment>
    <comment ref="I5893" authorId="0">
      <text>
        <r>
          <rPr>
            <b/>
            <sz val="9"/>
            <color indexed="81"/>
            <rFont val="Tahoma"/>
            <family val="2"/>
          </rPr>
          <t>LPA:</t>
        </r>
        <r>
          <rPr>
            <sz val="9"/>
            <color indexed="81"/>
            <rFont val="Tahoma"/>
            <family val="2"/>
          </rPr>
          <t xml:space="preserve">
проверити збир!
</t>
        </r>
      </text>
    </comment>
    <comment ref="I5894" authorId="0">
      <text>
        <r>
          <rPr>
            <b/>
            <sz val="9"/>
            <color indexed="81"/>
            <rFont val="Tahoma"/>
            <family val="2"/>
          </rPr>
          <t>LPA:</t>
        </r>
        <r>
          <rPr>
            <sz val="9"/>
            <color indexed="81"/>
            <rFont val="Tahoma"/>
            <family val="2"/>
          </rPr>
          <t xml:space="preserve">
проверити збир!
</t>
        </r>
      </text>
    </comment>
    <comment ref="H5897" authorId="0">
      <text>
        <r>
          <rPr>
            <b/>
            <sz val="9"/>
            <color indexed="81"/>
            <rFont val="Tahoma"/>
            <family val="2"/>
          </rPr>
          <t>LPA:</t>
        </r>
        <r>
          <rPr>
            <sz val="9"/>
            <color indexed="81"/>
            <rFont val="Tahoma"/>
            <family val="2"/>
          </rPr>
          <t xml:space="preserve">
проверити збир!</t>
        </r>
      </text>
    </comment>
    <comment ref="I5897" authorId="0">
      <text>
        <r>
          <rPr>
            <b/>
            <sz val="9"/>
            <color indexed="81"/>
            <rFont val="Tahoma"/>
            <family val="2"/>
          </rPr>
          <t>LPA:</t>
        </r>
        <r>
          <rPr>
            <sz val="9"/>
            <color indexed="81"/>
            <rFont val="Tahoma"/>
            <family val="2"/>
          </rPr>
          <t xml:space="preserve">
проверити збир!</t>
        </r>
      </text>
    </comment>
    <comment ref="I5898" authorId="0">
      <text>
        <r>
          <rPr>
            <b/>
            <sz val="9"/>
            <color indexed="81"/>
            <rFont val="Tahoma"/>
            <family val="2"/>
          </rPr>
          <t>LPA:</t>
        </r>
        <r>
          <rPr>
            <sz val="9"/>
            <color indexed="81"/>
            <rFont val="Tahoma"/>
            <family val="2"/>
          </rPr>
          <t xml:space="preserve">
проверити збир!
</t>
        </r>
      </text>
    </comment>
    <comment ref="I5899" authorId="0">
      <text>
        <r>
          <rPr>
            <b/>
            <sz val="9"/>
            <color indexed="81"/>
            <rFont val="Tahoma"/>
            <family val="2"/>
          </rPr>
          <t>LPA:</t>
        </r>
        <r>
          <rPr>
            <sz val="9"/>
            <color indexed="81"/>
            <rFont val="Tahoma"/>
            <family val="2"/>
          </rPr>
          <t xml:space="preserve">
проверити збир!
</t>
        </r>
      </text>
    </comment>
    <comment ref="I5900" authorId="0">
      <text>
        <r>
          <rPr>
            <b/>
            <sz val="9"/>
            <color indexed="81"/>
            <rFont val="Tahoma"/>
            <family val="2"/>
          </rPr>
          <t>LPA:</t>
        </r>
        <r>
          <rPr>
            <sz val="9"/>
            <color indexed="81"/>
            <rFont val="Tahoma"/>
            <family val="2"/>
          </rPr>
          <t xml:space="preserve">
проверити збир!
</t>
        </r>
      </text>
    </comment>
    <comment ref="I5901" authorId="0">
      <text>
        <r>
          <rPr>
            <b/>
            <sz val="9"/>
            <color indexed="81"/>
            <rFont val="Tahoma"/>
            <family val="2"/>
          </rPr>
          <t>LPA:</t>
        </r>
        <r>
          <rPr>
            <sz val="9"/>
            <color indexed="81"/>
            <rFont val="Tahoma"/>
            <family val="2"/>
          </rPr>
          <t xml:space="preserve">
проверити збир!
</t>
        </r>
      </text>
    </comment>
    <comment ref="I5902" authorId="0">
      <text>
        <r>
          <rPr>
            <b/>
            <sz val="9"/>
            <color indexed="81"/>
            <rFont val="Tahoma"/>
            <family val="2"/>
          </rPr>
          <t>LPA:</t>
        </r>
        <r>
          <rPr>
            <sz val="9"/>
            <color indexed="81"/>
            <rFont val="Tahoma"/>
            <family val="2"/>
          </rPr>
          <t xml:space="preserve">
проверити збир!
</t>
        </r>
      </text>
    </comment>
    <comment ref="I5903" authorId="0">
      <text>
        <r>
          <rPr>
            <b/>
            <sz val="9"/>
            <color indexed="81"/>
            <rFont val="Tahoma"/>
            <family val="2"/>
          </rPr>
          <t>LPA:</t>
        </r>
        <r>
          <rPr>
            <sz val="9"/>
            <color indexed="81"/>
            <rFont val="Tahoma"/>
            <family val="2"/>
          </rPr>
          <t xml:space="preserve">
проверити збир!
</t>
        </r>
      </text>
    </comment>
    <comment ref="I5904" authorId="0">
      <text>
        <r>
          <rPr>
            <b/>
            <sz val="9"/>
            <color indexed="81"/>
            <rFont val="Tahoma"/>
            <family val="2"/>
          </rPr>
          <t>LPA:</t>
        </r>
        <r>
          <rPr>
            <sz val="9"/>
            <color indexed="81"/>
            <rFont val="Tahoma"/>
            <family val="2"/>
          </rPr>
          <t xml:space="preserve">
проверити збир!
</t>
        </r>
      </text>
    </comment>
    <comment ref="I5905" authorId="0">
      <text>
        <r>
          <rPr>
            <b/>
            <sz val="9"/>
            <color indexed="81"/>
            <rFont val="Tahoma"/>
            <family val="2"/>
          </rPr>
          <t>LPA:</t>
        </r>
        <r>
          <rPr>
            <sz val="9"/>
            <color indexed="81"/>
            <rFont val="Tahoma"/>
            <family val="2"/>
          </rPr>
          <t xml:space="preserve">
проверити збир!
</t>
        </r>
      </text>
    </comment>
    <comment ref="I5906" authorId="0">
      <text>
        <r>
          <rPr>
            <b/>
            <sz val="9"/>
            <color indexed="81"/>
            <rFont val="Tahoma"/>
            <family val="2"/>
          </rPr>
          <t>LPA:</t>
        </r>
        <r>
          <rPr>
            <sz val="9"/>
            <color indexed="81"/>
            <rFont val="Tahoma"/>
            <family val="2"/>
          </rPr>
          <t xml:space="preserve">
проверити збир!
</t>
        </r>
      </text>
    </comment>
    <comment ref="I5907" authorId="0">
      <text>
        <r>
          <rPr>
            <b/>
            <sz val="9"/>
            <color indexed="81"/>
            <rFont val="Tahoma"/>
            <family val="2"/>
          </rPr>
          <t>LPA:</t>
        </r>
        <r>
          <rPr>
            <sz val="9"/>
            <color indexed="81"/>
            <rFont val="Tahoma"/>
            <family val="2"/>
          </rPr>
          <t xml:space="preserve">
проверити збир!
</t>
        </r>
      </text>
    </comment>
    <comment ref="I5908" authorId="0">
      <text>
        <r>
          <rPr>
            <b/>
            <sz val="9"/>
            <color indexed="81"/>
            <rFont val="Tahoma"/>
            <family val="2"/>
          </rPr>
          <t>LPA:</t>
        </r>
        <r>
          <rPr>
            <sz val="9"/>
            <color indexed="81"/>
            <rFont val="Tahoma"/>
            <family val="2"/>
          </rPr>
          <t xml:space="preserve">
проверити збир!
</t>
        </r>
      </text>
    </comment>
    <comment ref="I5909" authorId="0">
      <text>
        <r>
          <rPr>
            <b/>
            <sz val="9"/>
            <color indexed="81"/>
            <rFont val="Tahoma"/>
            <family val="2"/>
          </rPr>
          <t>LPA:</t>
        </r>
        <r>
          <rPr>
            <sz val="9"/>
            <color indexed="81"/>
            <rFont val="Tahoma"/>
            <family val="2"/>
          </rPr>
          <t xml:space="preserve">
проверити збир!
</t>
        </r>
      </text>
    </comment>
    <comment ref="I5910" authorId="0">
      <text>
        <r>
          <rPr>
            <b/>
            <sz val="9"/>
            <color indexed="81"/>
            <rFont val="Tahoma"/>
            <family val="2"/>
          </rPr>
          <t>LPA:</t>
        </r>
        <r>
          <rPr>
            <sz val="9"/>
            <color indexed="81"/>
            <rFont val="Tahoma"/>
            <family val="2"/>
          </rPr>
          <t xml:space="preserve">
проверити збир!
</t>
        </r>
      </text>
    </comment>
    <comment ref="I5911" authorId="0">
      <text>
        <r>
          <rPr>
            <b/>
            <sz val="9"/>
            <color indexed="81"/>
            <rFont val="Tahoma"/>
            <family val="2"/>
          </rPr>
          <t>LPA:</t>
        </r>
        <r>
          <rPr>
            <sz val="9"/>
            <color indexed="81"/>
            <rFont val="Tahoma"/>
            <family val="2"/>
          </rPr>
          <t xml:space="preserve">
проверити збир!
</t>
        </r>
      </text>
    </comment>
    <comment ref="I5912" authorId="0">
      <text>
        <r>
          <rPr>
            <b/>
            <sz val="9"/>
            <color indexed="81"/>
            <rFont val="Tahoma"/>
            <family val="2"/>
          </rPr>
          <t>LPA:</t>
        </r>
        <r>
          <rPr>
            <sz val="9"/>
            <color indexed="81"/>
            <rFont val="Tahoma"/>
            <family val="2"/>
          </rPr>
          <t xml:space="preserve">
проверити збир!
</t>
        </r>
      </text>
    </comment>
    <comment ref="H5916" authorId="0">
      <text>
        <r>
          <rPr>
            <b/>
            <sz val="9"/>
            <color indexed="81"/>
            <rFont val="Tahoma"/>
            <family val="2"/>
          </rPr>
          <t>LPA:</t>
        </r>
        <r>
          <rPr>
            <sz val="9"/>
            <color indexed="81"/>
            <rFont val="Tahoma"/>
            <family val="2"/>
          </rPr>
          <t xml:space="preserve">
проверити збир!</t>
        </r>
      </text>
    </comment>
    <comment ref="I5916" authorId="0">
      <text>
        <r>
          <rPr>
            <b/>
            <sz val="9"/>
            <color indexed="81"/>
            <rFont val="Tahoma"/>
            <family val="2"/>
          </rPr>
          <t>LPA:</t>
        </r>
        <r>
          <rPr>
            <sz val="9"/>
            <color indexed="81"/>
            <rFont val="Tahoma"/>
            <family val="2"/>
          </rPr>
          <t xml:space="preserve">
проверити збир!
</t>
        </r>
      </text>
    </comment>
    <comment ref="I5917" authorId="0">
      <text>
        <r>
          <rPr>
            <b/>
            <sz val="9"/>
            <color indexed="81"/>
            <rFont val="Tahoma"/>
            <family val="2"/>
          </rPr>
          <t>LPA:</t>
        </r>
        <r>
          <rPr>
            <sz val="9"/>
            <color indexed="81"/>
            <rFont val="Tahoma"/>
            <family val="2"/>
          </rPr>
          <t xml:space="preserve">
проверити збир!
</t>
        </r>
      </text>
    </comment>
    <comment ref="I5918" authorId="0">
      <text>
        <r>
          <rPr>
            <b/>
            <sz val="9"/>
            <color indexed="81"/>
            <rFont val="Tahoma"/>
            <family val="2"/>
          </rPr>
          <t>LPA:</t>
        </r>
        <r>
          <rPr>
            <sz val="9"/>
            <color indexed="81"/>
            <rFont val="Tahoma"/>
            <family val="2"/>
          </rPr>
          <t xml:space="preserve">
проверити збир!
</t>
        </r>
      </text>
    </comment>
    <comment ref="I5919" authorId="0">
      <text>
        <r>
          <rPr>
            <b/>
            <sz val="9"/>
            <color indexed="81"/>
            <rFont val="Tahoma"/>
            <family val="2"/>
          </rPr>
          <t>LPA:</t>
        </r>
        <r>
          <rPr>
            <sz val="9"/>
            <color indexed="81"/>
            <rFont val="Tahoma"/>
            <family val="2"/>
          </rPr>
          <t xml:space="preserve">
проверити збир!
</t>
        </r>
      </text>
    </comment>
    <comment ref="I5920" authorId="0">
      <text>
        <r>
          <rPr>
            <b/>
            <sz val="9"/>
            <color indexed="81"/>
            <rFont val="Tahoma"/>
            <family val="2"/>
          </rPr>
          <t>LPA:</t>
        </r>
        <r>
          <rPr>
            <sz val="9"/>
            <color indexed="81"/>
            <rFont val="Tahoma"/>
            <family val="2"/>
          </rPr>
          <t xml:space="preserve">
проверити збир!
</t>
        </r>
      </text>
    </comment>
    <comment ref="I5921" authorId="0">
      <text>
        <r>
          <rPr>
            <b/>
            <sz val="9"/>
            <color indexed="81"/>
            <rFont val="Tahoma"/>
            <family val="2"/>
          </rPr>
          <t>LPA:</t>
        </r>
        <r>
          <rPr>
            <sz val="9"/>
            <color indexed="81"/>
            <rFont val="Tahoma"/>
            <family val="2"/>
          </rPr>
          <t xml:space="preserve">
проверити збир!
</t>
        </r>
      </text>
    </comment>
    <comment ref="I5922" authorId="0">
      <text>
        <r>
          <rPr>
            <b/>
            <sz val="9"/>
            <color indexed="81"/>
            <rFont val="Tahoma"/>
            <family val="2"/>
          </rPr>
          <t>LPA:</t>
        </r>
        <r>
          <rPr>
            <sz val="9"/>
            <color indexed="81"/>
            <rFont val="Tahoma"/>
            <family val="2"/>
          </rPr>
          <t xml:space="preserve">
проверити збир!
</t>
        </r>
      </text>
    </comment>
    <comment ref="I5923" authorId="0">
      <text>
        <r>
          <rPr>
            <b/>
            <sz val="9"/>
            <color indexed="81"/>
            <rFont val="Tahoma"/>
            <family val="2"/>
          </rPr>
          <t>LPA:</t>
        </r>
        <r>
          <rPr>
            <sz val="9"/>
            <color indexed="81"/>
            <rFont val="Tahoma"/>
            <family val="2"/>
          </rPr>
          <t xml:space="preserve">
проверити збир!
</t>
        </r>
      </text>
    </comment>
    <comment ref="I5924" authorId="0">
      <text>
        <r>
          <rPr>
            <b/>
            <sz val="9"/>
            <color indexed="81"/>
            <rFont val="Tahoma"/>
            <family val="2"/>
          </rPr>
          <t>LPA:</t>
        </r>
        <r>
          <rPr>
            <sz val="9"/>
            <color indexed="81"/>
            <rFont val="Tahoma"/>
            <family val="2"/>
          </rPr>
          <t xml:space="preserve">
проверити збир!
</t>
        </r>
      </text>
    </comment>
    <comment ref="I5925" authorId="0">
      <text>
        <r>
          <rPr>
            <b/>
            <sz val="9"/>
            <color indexed="81"/>
            <rFont val="Tahoma"/>
            <family val="2"/>
          </rPr>
          <t>LPA:</t>
        </r>
        <r>
          <rPr>
            <sz val="9"/>
            <color indexed="81"/>
            <rFont val="Tahoma"/>
            <family val="2"/>
          </rPr>
          <t xml:space="preserve">
проверити збир!
</t>
        </r>
      </text>
    </comment>
    <comment ref="I5926" authorId="0">
      <text>
        <r>
          <rPr>
            <b/>
            <sz val="9"/>
            <color indexed="81"/>
            <rFont val="Tahoma"/>
            <family val="2"/>
          </rPr>
          <t>LPA:</t>
        </r>
        <r>
          <rPr>
            <sz val="9"/>
            <color indexed="81"/>
            <rFont val="Tahoma"/>
            <family val="2"/>
          </rPr>
          <t xml:space="preserve">
проверити збир!
</t>
        </r>
      </text>
    </comment>
    <comment ref="I5927" authorId="0">
      <text>
        <r>
          <rPr>
            <b/>
            <sz val="9"/>
            <color indexed="81"/>
            <rFont val="Tahoma"/>
            <family val="2"/>
          </rPr>
          <t>LPA:</t>
        </r>
        <r>
          <rPr>
            <sz val="9"/>
            <color indexed="81"/>
            <rFont val="Tahoma"/>
            <family val="2"/>
          </rPr>
          <t xml:space="preserve">
проверити збир!
</t>
        </r>
      </text>
    </comment>
    <comment ref="I5928" authorId="0">
      <text>
        <r>
          <rPr>
            <b/>
            <sz val="9"/>
            <color indexed="81"/>
            <rFont val="Tahoma"/>
            <family val="2"/>
          </rPr>
          <t>LPA:</t>
        </r>
        <r>
          <rPr>
            <sz val="9"/>
            <color indexed="81"/>
            <rFont val="Tahoma"/>
            <family val="2"/>
          </rPr>
          <t xml:space="preserve">
проверити збир!
</t>
        </r>
      </text>
    </comment>
    <comment ref="I5929" authorId="0">
      <text>
        <r>
          <rPr>
            <b/>
            <sz val="9"/>
            <color indexed="81"/>
            <rFont val="Tahoma"/>
            <family val="2"/>
          </rPr>
          <t>LPA:</t>
        </r>
        <r>
          <rPr>
            <sz val="9"/>
            <color indexed="81"/>
            <rFont val="Tahoma"/>
            <family val="2"/>
          </rPr>
          <t xml:space="preserve">
проверити збир!
</t>
        </r>
      </text>
    </comment>
    <comment ref="I5930" authorId="0">
      <text>
        <r>
          <rPr>
            <b/>
            <sz val="9"/>
            <color indexed="81"/>
            <rFont val="Tahoma"/>
            <family val="2"/>
          </rPr>
          <t>LPA:</t>
        </r>
        <r>
          <rPr>
            <sz val="9"/>
            <color indexed="81"/>
            <rFont val="Tahoma"/>
            <family val="2"/>
          </rPr>
          <t xml:space="preserve">
проверити збир!
</t>
        </r>
      </text>
    </comment>
    <comment ref="I5931" authorId="0">
      <text>
        <r>
          <rPr>
            <b/>
            <sz val="9"/>
            <color indexed="81"/>
            <rFont val="Tahoma"/>
            <family val="2"/>
          </rPr>
          <t>LPA:</t>
        </r>
        <r>
          <rPr>
            <sz val="9"/>
            <color indexed="81"/>
            <rFont val="Tahoma"/>
            <family val="2"/>
          </rPr>
          <t xml:space="preserve">
проверити збир!
</t>
        </r>
      </text>
    </comment>
    <comment ref="H5935" authorId="0">
      <text>
        <r>
          <rPr>
            <b/>
            <sz val="9"/>
            <color indexed="81"/>
            <rFont val="Tahoma"/>
            <family val="2"/>
          </rPr>
          <t>LPA:</t>
        </r>
        <r>
          <rPr>
            <sz val="9"/>
            <color indexed="81"/>
            <rFont val="Tahoma"/>
            <family val="2"/>
          </rPr>
          <t xml:space="preserve">
проверити збир!</t>
        </r>
      </text>
    </comment>
    <comment ref="I5935" authorId="0">
      <text>
        <r>
          <rPr>
            <b/>
            <sz val="9"/>
            <color indexed="81"/>
            <rFont val="Tahoma"/>
            <family val="2"/>
          </rPr>
          <t>LPA:</t>
        </r>
        <r>
          <rPr>
            <sz val="9"/>
            <color indexed="81"/>
            <rFont val="Tahoma"/>
            <family val="2"/>
          </rPr>
          <t xml:space="preserve">
проверити збир!
</t>
        </r>
      </text>
    </comment>
    <comment ref="I5936" authorId="0">
      <text>
        <r>
          <rPr>
            <b/>
            <sz val="9"/>
            <color indexed="81"/>
            <rFont val="Tahoma"/>
            <family val="2"/>
          </rPr>
          <t>LPA:</t>
        </r>
        <r>
          <rPr>
            <sz val="9"/>
            <color indexed="81"/>
            <rFont val="Tahoma"/>
            <family val="2"/>
          </rPr>
          <t xml:space="preserve">
проверити збир!
</t>
        </r>
      </text>
    </comment>
    <comment ref="I5937" authorId="0">
      <text>
        <r>
          <rPr>
            <b/>
            <sz val="9"/>
            <color indexed="81"/>
            <rFont val="Tahoma"/>
            <family val="2"/>
          </rPr>
          <t>LPA:</t>
        </r>
        <r>
          <rPr>
            <sz val="9"/>
            <color indexed="81"/>
            <rFont val="Tahoma"/>
            <family val="2"/>
          </rPr>
          <t xml:space="preserve">
проверити збир!
</t>
        </r>
      </text>
    </comment>
    <comment ref="I5938" authorId="0">
      <text>
        <r>
          <rPr>
            <b/>
            <sz val="9"/>
            <color indexed="81"/>
            <rFont val="Tahoma"/>
            <family val="2"/>
          </rPr>
          <t>LPA:</t>
        </r>
        <r>
          <rPr>
            <sz val="9"/>
            <color indexed="81"/>
            <rFont val="Tahoma"/>
            <family val="2"/>
          </rPr>
          <t xml:space="preserve">
проверити збир!
</t>
        </r>
      </text>
    </comment>
    <comment ref="I5939" authorId="0">
      <text>
        <r>
          <rPr>
            <b/>
            <sz val="9"/>
            <color indexed="81"/>
            <rFont val="Tahoma"/>
            <family val="2"/>
          </rPr>
          <t>LPA:</t>
        </r>
        <r>
          <rPr>
            <sz val="9"/>
            <color indexed="81"/>
            <rFont val="Tahoma"/>
            <family val="2"/>
          </rPr>
          <t xml:space="preserve">
проверити збир!
</t>
        </r>
      </text>
    </comment>
    <comment ref="I5940" authorId="0">
      <text>
        <r>
          <rPr>
            <b/>
            <sz val="9"/>
            <color indexed="81"/>
            <rFont val="Tahoma"/>
            <family val="2"/>
          </rPr>
          <t>LPA:</t>
        </r>
        <r>
          <rPr>
            <sz val="9"/>
            <color indexed="81"/>
            <rFont val="Tahoma"/>
            <family val="2"/>
          </rPr>
          <t xml:space="preserve">
проверити збир!
</t>
        </r>
      </text>
    </comment>
    <comment ref="I5941" authorId="0">
      <text>
        <r>
          <rPr>
            <b/>
            <sz val="9"/>
            <color indexed="81"/>
            <rFont val="Tahoma"/>
            <family val="2"/>
          </rPr>
          <t>LPA:</t>
        </r>
        <r>
          <rPr>
            <sz val="9"/>
            <color indexed="81"/>
            <rFont val="Tahoma"/>
            <family val="2"/>
          </rPr>
          <t xml:space="preserve">
проверити збир!
</t>
        </r>
      </text>
    </comment>
    <comment ref="I5942" authorId="0">
      <text>
        <r>
          <rPr>
            <b/>
            <sz val="9"/>
            <color indexed="81"/>
            <rFont val="Tahoma"/>
            <family val="2"/>
          </rPr>
          <t>LPA:</t>
        </r>
        <r>
          <rPr>
            <sz val="9"/>
            <color indexed="81"/>
            <rFont val="Tahoma"/>
            <family val="2"/>
          </rPr>
          <t xml:space="preserve">
проверити збир!
</t>
        </r>
      </text>
    </comment>
    <comment ref="I5943" authorId="0">
      <text>
        <r>
          <rPr>
            <b/>
            <sz val="9"/>
            <color indexed="81"/>
            <rFont val="Tahoma"/>
            <family val="2"/>
          </rPr>
          <t>LPA:</t>
        </r>
        <r>
          <rPr>
            <sz val="9"/>
            <color indexed="81"/>
            <rFont val="Tahoma"/>
            <family val="2"/>
          </rPr>
          <t xml:space="preserve">
проверити збир!
</t>
        </r>
      </text>
    </comment>
    <comment ref="I5944" authorId="0">
      <text>
        <r>
          <rPr>
            <b/>
            <sz val="9"/>
            <color indexed="81"/>
            <rFont val="Tahoma"/>
            <family val="2"/>
          </rPr>
          <t>LPA:</t>
        </r>
        <r>
          <rPr>
            <sz val="9"/>
            <color indexed="81"/>
            <rFont val="Tahoma"/>
            <family val="2"/>
          </rPr>
          <t xml:space="preserve">
проверити збир!
</t>
        </r>
      </text>
    </comment>
    <comment ref="I5945" authorId="0">
      <text>
        <r>
          <rPr>
            <b/>
            <sz val="9"/>
            <color indexed="81"/>
            <rFont val="Tahoma"/>
            <family val="2"/>
          </rPr>
          <t>LPA:</t>
        </r>
        <r>
          <rPr>
            <sz val="9"/>
            <color indexed="81"/>
            <rFont val="Tahoma"/>
            <family val="2"/>
          </rPr>
          <t xml:space="preserve">
проверити збир!
</t>
        </r>
      </text>
    </comment>
    <comment ref="I5946" authorId="0">
      <text>
        <r>
          <rPr>
            <b/>
            <sz val="9"/>
            <color indexed="81"/>
            <rFont val="Tahoma"/>
            <family val="2"/>
          </rPr>
          <t>LPA:</t>
        </r>
        <r>
          <rPr>
            <sz val="9"/>
            <color indexed="81"/>
            <rFont val="Tahoma"/>
            <family val="2"/>
          </rPr>
          <t xml:space="preserve">
проверити збир!
</t>
        </r>
      </text>
    </comment>
    <comment ref="I5947" authorId="0">
      <text>
        <r>
          <rPr>
            <b/>
            <sz val="9"/>
            <color indexed="81"/>
            <rFont val="Tahoma"/>
            <family val="2"/>
          </rPr>
          <t>LPA:</t>
        </r>
        <r>
          <rPr>
            <sz val="9"/>
            <color indexed="81"/>
            <rFont val="Tahoma"/>
            <family val="2"/>
          </rPr>
          <t xml:space="preserve">
проверити збир!
</t>
        </r>
      </text>
    </comment>
    <comment ref="I5948" authorId="0">
      <text>
        <r>
          <rPr>
            <b/>
            <sz val="9"/>
            <color indexed="81"/>
            <rFont val="Tahoma"/>
            <family val="2"/>
          </rPr>
          <t>LPA:</t>
        </r>
        <r>
          <rPr>
            <sz val="9"/>
            <color indexed="81"/>
            <rFont val="Tahoma"/>
            <family val="2"/>
          </rPr>
          <t xml:space="preserve">
проверити збир!
</t>
        </r>
      </text>
    </comment>
    <comment ref="I5949" authorId="0">
      <text>
        <r>
          <rPr>
            <b/>
            <sz val="9"/>
            <color indexed="81"/>
            <rFont val="Tahoma"/>
            <family val="2"/>
          </rPr>
          <t>LPA:</t>
        </r>
        <r>
          <rPr>
            <sz val="9"/>
            <color indexed="81"/>
            <rFont val="Tahoma"/>
            <family val="2"/>
          </rPr>
          <t xml:space="preserve">
проверити збир!
</t>
        </r>
      </text>
    </comment>
    <comment ref="I5950" authorId="0">
      <text>
        <r>
          <rPr>
            <b/>
            <sz val="9"/>
            <color indexed="81"/>
            <rFont val="Tahoma"/>
            <family val="2"/>
          </rPr>
          <t>LPA:</t>
        </r>
        <r>
          <rPr>
            <sz val="9"/>
            <color indexed="81"/>
            <rFont val="Tahoma"/>
            <family val="2"/>
          </rPr>
          <t xml:space="preserve">
проверити збир!
</t>
        </r>
      </text>
    </comment>
    <comment ref="I5971" authorId="0">
      <text>
        <r>
          <rPr>
            <b/>
            <sz val="9"/>
            <color indexed="81"/>
            <rFont val="Tahoma"/>
            <family val="2"/>
          </rPr>
          <t>LPA:</t>
        </r>
        <r>
          <rPr>
            <sz val="9"/>
            <color indexed="81"/>
            <rFont val="Tahoma"/>
            <family val="2"/>
          </rPr>
          <t xml:space="preserve">
проверити збир!
</t>
        </r>
      </text>
    </comment>
    <comment ref="I5972" authorId="0">
      <text>
        <r>
          <rPr>
            <b/>
            <sz val="9"/>
            <color indexed="81"/>
            <rFont val="Tahoma"/>
            <family val="2"/>
          </rPr>
          <t>LPA:</t>
        </r>
        <r>
          <rPr>
            <sz val="9"/>
            <color indexed="81"/>
            <rFont val="Tahoma"/>
            <family val="2"/>
          </rPr>
          <t xml:space="preserve">
проверити збир!
</t>
        </r>
      </text>
    </comment>
    <comment ref="I5973" authorId="0">
      <text>
        <r>
          <rPr>
            <b/>
            <sz val="9"/>
            <color indexed="81"/>
            <rFont val="Tahoma"/>
            <family val="2"/>
          </rPr>
          <t>LPA:</t>
        </r>
        <r>
          <rPr>
            <sz val="9"/>
            <color indexed="81"/>
            <rFont val="Tahoma"/>
            <family val="2"/>
          </rPr>
          <t xml:space="preserve">
проверити збир!
</t>
        </r>
      </text>
    </comment>
    <comment ref="I5974" authorId="0">
      <text>
        <r>
          <rPr>
            <b/>
            <sz val="9"/>
            <color indexed="81"/>
            <rFont val="Tahoma"/>
            <family val="2"/>
          </rPr>
          <t>LPA:</t>
        </r>
        <r>
          <rPr>
            <sz val="9"/>
            <color indexed="81"/>
            <rFont val="Tahoma"/>
            <family val="2"/>
          </rPr>
          <t xml:space="preserve">
проверити збир!
</t>
        </r>
      </text>
    </comment>
    <comment ref="I5975" authorId="0">
      <text>
        <r>
          <rPr>
            <b/>
            <sz val="9"/>
            <color indexed="81"/>
            <rFont val="Tahoma"/>
            <family val="2"/>
          </rPr>
          <t>LPA:</t>
        </r>
        <r>
          <rPr>
            <sz val="9"/>
            <color indexed="81"/>
            <rFont val="Tahoma"/>
            <family val="2"/>
          </rPr>
          <t xml:space="preserve">
проверити збир!
</t>
        </r>
      </text>
    </comment>
    <comment ref="I5976" authorId="0">
      <text>
        <r>
          <rPr>
            <b/>
            <sz val="9"/>
            <color indexed="81"/>
            <rFont val="Tahoma"/>
            <family val="2"/>
          </rPr>
          <t>LPA:</t>
        </r>
        <r>
          <rPr>
            <sz val="9"/>
            <color indexed="81"/>
            <rFont val="Tahoma"/>
            <family val="2"/>
          </rPr>
          <t xml:space="preserve">
проверити збир!
</t>
        </r>
      </text>
    </comment>
    <comment ref="I5977" authorId="0">
      <text>
        <r>
          <rPr>
            <b/>
            <sz val="9"/>
            <color indexed="81"/>
            <rFont val="Tahoma"/>
            <family val="2"/>
          </rPr>
          <t>LPA:</t>
        </r>
        <r>
          <rPr>
            <sz val="9"/>
            <color indexed="81"/>
            <rFont val="Tahoma"/>
            <family val="2"/>
          </rPr>
          <t xml:space="preserve">
проверити збир!
</t>
        </r>
      </text>
    </comment>
    <comment ref="I5978" authorId="0">
      <text>
        <r>
          <rPr>
            <b/>
            <sz val="9"/>
            <color indexed="81"/>
            <rFont val="Tahoma"/>
            <family val="2"/>
          </rPr>
          <t>LPA:</t>
        </r>
        <r>
          <rPr>
            <sz val="9"/>
            <color indexed="81"/>
            <rFont val="Tahoma"/>
            <family val="2"/>
          </rPr>
          <t xml:space="preserve">
проверити збир!
</t>
        </r>
      </text>
    </comment>
    <comment ref="I5979" authorId="0">
      <text>
        <r>
          <rPr>
            <b/>
            <sz val="9"/>
            <color indexed="81"/>
            <rFont val="Tahoma"/>
            <family val="2"/>
          </rPr>
          <t>LPA:</t>
        </r>
        <r>
          <rPr>
            <sz val="9"/>
            <color indexed="81"/>
            <rFont val="Tahoma"/>
            <family val="2"/>
          </rPr>
          <t xml:space="preserve">
проверити збир!
</t>
        </r>
      </text>
    </comment>
    <comment ref="I5980" authorId="0">
      <text>
        <r>
          <rPr>
            <b/>
            <sz val="9"/>
            <color indexed="81"/>
            <rFont val="Tahoma"/>
            <family val="2"/>
          </rPr>
          <t>LPA:</t>
        </r>
        <r>
          <rPr>
            <sz val="9"/>
            <color indexed="81"/>
            <rFont val="Tahoma"/>
            <family val="2"/>
          </rPr>
          <t xml:space="preserve">
проверити збир!
</t>
        </r>
      </text>
    </comment>
    <comment ref="I5981" authorId="0">
      <text>
        <r>
          <rPr>
            <b/>
            <sz val="9"/>
            <color indexed="81"/>
            <rFont val="Tahoma"/>
            <family val="2"/>
          </rPr>
          <t>LPA:</t>
        </r>
        <r>
          <rPr>
            <sz val="9"/>
            <color indexed="81"/>
            <rFont val="Tahoma"/>
            <family val="2"/>
          </rPr>
          <t xml:space="preserve">
проверити збир!
</t>
        </r>
      </text>
    </comment>
    <comment ref="I5982" authorId="0">
      <text>
        <r>
          <rPr>
            <b/>
            <sz val="9"/>
            <color indexed="81"/>
            <rFont val="Tahoma"/>
            <family val="2"/>
          </rPr>
          <t>LPA:</t>
        </r>
        <r>
          <rPr>
            <sz val="9"/>
            <color indexed="81"/>
            <rFont val="Tahoma"/>
            <family val="2"/>
          </rPr>
          <t xml:space="preserve">
проверити збир!
</t>
        </r>
      </text>
    </comment>
    <comment ref="I5983" authorId="0">
      <text>
        <r>
          <rPr>
            <b/>
            <sz val="9"/>
            <color indexed="81"/>
            <rFont val="Tahoma"/>
            <family val="2"/>
          </rPr>
          <t>LPA:</t>
        </r>
        <r>
          <rPr>
            <sz val="9"/>
            <color indexed="81"/>
            <rFont val="Tahoma"/>
            <family val="2"/>
          </rPr>
          <t xml:space="preserve">
проверити збир!
</t>
        </r>
      </text>
    </comment>
    <comment ref="H5986" authorId="0">
      <text>
        <r>
          <rPr>
            <b/>
            <sz val="9"/>
            <color indexed="81"/>
            <rFont val="Tahoma"/>
            <family val="2"/>
          </rPr>
          <t>LPA:</t>
        </r>
        <r>
          <rPr>
            <sz val="9"/>
            <color indexed="81"/>
            <rFont val="Tahoma"/>
            <family val="2"/>
          </rPr>
          <t xml:space="preserve">
проверити збир!</t>
        </r>
      </text>
    </comment>
    <comment ref="I5986" authorId="0">
      <text>
        <r>
          <rPr>
            <b/>
            <sz val="9"/>
            <color indexed="81"/>
            <rFont val="Tahoma"/>
            <family val="2"/>
          </rPr>
          <t>LPA:</t>
        </r>
        <r>
          <rPr>
            <sz val="9"/>
            <color indexed="81"/>
            <rFont val="Tahoma"/>
            <family val="2"/>
          </rPr>
          <t xml:space="preserve">
проверити збир!</t>
        </r>
      </text>
    </comment>
    <comment ref="I5987" authorId="0">
      <text>
        <r>
          <rPr>
            <b/>
            <sz val="9"/>
            <color indexed="81"/>
            <rFont val="Tahoma"/>
            <family val="2"/>
          </rPr>
          <t>LPA:</t>
        </r>
        <r>
          <rPr>
            <sz val="9"/>
            <color indexed="81"/>
            <rFont val="Tahoma"/>
            <family val="2"/>
          </rPr>
          <t xml:space="preserve">
проверити збир!
</t>
        </r>
      </text>
    </comment>
    <comment ref="I5988" authorId="0">
      <text>
        <r>
          <rPr>
            <b/>
            <sz val="9"/>
            <color indexed="81"/>
            <rFont val="Tahoma"/>
            <family val="2"/>
          </rPr>
          <t>LPA:</t>
        </r>
        <r>
          <rPr>
            <sz val="9"/>
            <color indexed="81"/>
            <rFont val="Tahoma"/>
            <family val="2"/>
          </rPr>
          <t xml:space="preserve">
проверити збир!
</t>
        </r>
      </text>
    </comment>
    <comment ref="I5989" authorId="0">
      <text>
        <r>
          <rPr>
            <b/>
            <sz val="9"/>
            <color indexed="81"/>
            <rFont val="Tahoma"/>
            <family val="2"/>
          </rPr>
          <t>LPA:</t>
        </r>
        <r>
          <rPr>
            <sz val="9"/>
            <color indexed="81"/>
            <rFont val="Tahoma"/>
            <family val="2"/>
          </rPr>
          <t xml:space="preserve">
проверити збир!
</t>
        </r>
      </text>
    </comment>
    <comment ref="I5990" authorId="0">
      <text>
        <r>
          <rPr>
            <b/>
            <sz val="9"/>
            <color indexed="81"/>
            <rFont val="Tahoma"/>
            <family val="2"/>
          </rPr>
          <t>LPA:</t>
        </r>
        <r>
          <rPr>
            <sz val="9"/>
            <color indexed="81"/>
            <rFont val="Tahoma"/>
            <family val="2"/>
          </rPr>
          <t xml:space="preserve">
проверити збир!
</t>
        </r>
      </text>
    </comment>
    <comment ref="I5991" authorId="0">
      <text>
        <r>
          <rPr>
            <b/>
            <sz val="9"/>
            <color indexed="81"/>
            <rFont val="Tahoma"/>
            <family val="2"/>
          </rPr>
          <t>LPA:</t>
        </r>
        <r>
          <rPr>
            <sz val="9"/>
            <color indexed="81"/>
            <rFont val="Tahoma"/>
            <family val="2"/>
          </rPr>
          <t xml:space="preserve">
проверити збир!
</t>
        </r>
      </text>
    </comment>
    <comment ref="I5992" authorId="0">
      <text>
        <r>
          <rPr>
            <b/>
            <sz val="9"/>
            <color indexed="81"/>
            <rFont val="Tahoma"/>
            <family val="2"/>
          </rPr>
          <t>LPA:</t>
        </r>
        <r>
          <rPr>
            <sz val="9"/>
            <color indexed="81"/>
            <rFont val="Tahoma"/>
            <family val="2"/>
          </rPr>
          <t xml:space="preserve">
проверити збир!
</t>
        </r>
      </text>
    </comment>
    <comment ref="I5993" authorId="0">
      <text>
        <r>
          <rPr>
            <b/>
            <sz val="9"/>
            <color indexed="81"/>
            <rFont val="Tahoma"/>
            <family val="2"/>
          </rPr>
          <t>LPA:</t>
        </r>
        <r>
          <rPr>
            <sz val="9"/>
            <color indexed="81"/>
            <rFont val="Tahoma"/>
            <family val="2"/>
          </rPr>
          <t xml:space="preserve">
проверити збир!
</t>
        </r>
      </text>
    </comment>
    <comment ref="I5994" authorId="0">
      <text>
        <r>
          <rPr>
            <b/>
            <sz val="9"/>
            <color indexed="81"/>
            <rFont val="Tahoma"/>
            <family val="2"/>
          </rPr>
          <t>LPA:</t>
        </r>
        <r>
          <rPr>
            <sz val="9"/>
            <color indexed="81"/>
            <rFont val="Tahoma"/>
            <family val="2"/>
          </rPr>
          <t xml:space="preserve">
проверити збир!
</t>
        </r>
      </text>
    </comment>
    <comment ref="I5995" authorId="0">
      <text>
        <r>
          <rPr>
            <b/>
            <sz val="9"/>
            <color indexed="81"/>
            <rFont val="Tahoma"/>
            <family val="2"/>
          </rPr>
          <t>LPA:</t>
        </r>
        <r>
          <rPr>
            <sz val="9"/>
            <color indexed="81"/>
            <rFont val="Tahoma"/>
            <family val="2"/>
          </rPr>
          <t xml:space="preserve">
проверити збир!
</t>
        </r>
      </text>
    </comment>
    <comment ref="I5996" authorId="0">
      <text>
        <r>
          <rPr>
            <b/>
            <sz val="9"/>
            <color indexed="81"/>
            <rFont val="Tahoma"/>
            <family val="2"/>
          </rPr>
          <t>LPA:</t>
        </r>
        <r>
          <rPr>
            <sz val="9"/>
            <color indexed="81"/>
            <rFont val="Tahoma"/>
            <family val="2"/>
          </rPr>
          <t xml:space="preserve">
проверити збир!
</t>
        </r>
      </text>
    </comment>
    <comment ref="I5997" authorId="0">
      <text>
        <r>
          <rPr>
            <b/>
            <sz val="9"/>
            <color indexed="81"/>
            <rFont val="Tahoma"/>
            <family val="2"/>
          </rPr>
          <t>LPA:</t>
        </r>
        <r>
          <rPr>
            <sz val="9"/>
            <color indexed="81"/>
            <rFont val="Tahoma"/>
            <family val="2"/>
          </rPr>
          <t xml:space="preserve">
проверити збир!
</t>
        </r>
      </text>
    </comment>
    <comment ref="I5998" authorId="0">
      <text>
        <r>
          <rPr>
            <b/>
            <sz val="9"/>
            <color indexed="81"/>
            <rFont val="Tahoma"/>
            <family val="2"/>
          </rPr>
          <t>LPA:</t>
        </r>
        <r>
          <rPr>
            <sz val="9"/>
            <color indexed="81"/>
            <rFont val="Tahoma"/>
            <family val="2"/>
          </rPr>
          <t xml:space="preserve">
проверити збир!
</t>
        </r>
      </text>
    </comment>
    <comment ref="I5999" authorId="0">
      <text>
        <r>
          <rPr>
            <b/>
            <sz val="9"/>
            <color indexed="81"/>
            <rFont val="Tahoma"/>
            <family val="2"/>
          </rPr>
          <t>LPA:</t>
        </r>
        <r>
          <rPr>
            <sz val="9"/>
            <color indexed="81"/>
            <rFont val="Tahoma"/>
            <family val="2"/>
          </rPr>
          <t xml:space="preserve">
проверити збир!
</t>
        </r>
      </text>
    </comment>
    <comment ref="I6000" authorId="0">
      <text>
        <r>
          <rPr>
            <b/>
            <sz val="9"/>
            <color indexed="81"/>
            <rFont val="Tahoma"/>
            <family val="2"/>
          </rPr>
          <t>LPA:</t>
        </r>
        <r>
          <rPr>
            <sz val="9"/>
            <color indexed="81"/>
            <rFont val="Tahoma"/>
            <family val="2"/>
          </rPr>
          <t xml:space="preserve">
проверити збир!
</t>
        </r>
      </text>
    </comment>
    <comment ref="I6001" authorId="0">
      <text>
        <r>
          <rPr>
            <b/>
            <sz val="9"/>
            <color indexed="81"/>
            <rFont val="Tahoma"/>
            <family val="2"/>
          </rPr>
          <t>LPA:</t>
        </r>
        <r>
          <rPr>
            <sz val="9"/>
            <color indexed="81"/>
            <rFont val="Tahoma"/>
            <family val="2"/>
          </rPr>
          <t xml:space="preserve">
проверити збир!
</t>
        </r>
      </text>
    </comment>
    <comment ref="I6020" authorId="0">
      <text>
        <r>
          <rPr>
            <b/>
            <sz val="9"/>
            <color indexed="81"/>
            <rFont val="Tahoma"/>
            <family val="2"/>
          </rPr>
          <t>LPA:</t>
        </r>
        <r>
          <rPr>
            <sz val="9"/>
            <color indexed="81"/>
            <rFont val="Tahoma"/>
            <family val="2"/>
          </rPr>
          <t xml:space="preserve">
проверити збир!
</t>
        </r>
      </text>
    </comment>
    <comment ref="I6021" authorId="0">
      <text>
        <r>
          <rPr>
            <b/>
            <sz val="9"/>
            <color indexed="81"/>
            <rFont val="Tahoma"/>
            <family val="2"/>
          </rPr>
          <t>LPA:</t>
        </r>
        <r>
          <rPr>
            <sz val="9"/>
            <color indexed="81"/>
            <rFont val="Tahoma"/>
            <family val="2"/>
          </rPr>
          <t xml:space="preserve">
проверити збир!
</t>
        </r>
      </text>
    </comment>
    <comment ref="I6022" authorId="0">
      <text>
        <r>
          <rPr>
            <b/>
            <sz val="9"/>
            <color indexed="81"/>
            <rFont val="Tahoma"/>
            <family val="2"/>
          </rPr>
          <t>LPA:</t>
        </r>
        <r>
          <rPr>
            <sz val="9"/>
            <color indexed="81"/>
            <rFont val="Tahoma"/>
            <family val="2"/>
          </rPr>
          <t xml:space="preserve">
проверити збир!
</t>
        </r>
      </text>
    </comment>
    <comment ref="I6023" authorId="0">
      <text>
        <r>
          <rPr>
            <b/>
            <sz val="9"/>
            <color indexed="81"/>
            <rFont val="Tahoma"/>
            <family val="2"/>
          </rPr>
          <t>LPA:</t>
        </r>
        <r>
          <rPr>
            <sz val="9"/>
            <color indexed="81"/>
            <rFont val="Tahoma"/>
            <family val="2"/>
          </rPr>
          <t xml:space="preserve">
проверити збир!
</t>
        </r>
      </text>
    </comment>
    <comment ref="I6024" authorId="0">
      <text>
        <r>
          <rPr>
            <b/>
            <sz val="9"/>
            <color indexed="81"/>
            <rFont val="Tahoma"/>
            <family val="2"/>
          </rPr>
          <t>LPA:</t>
        </r>
        <r>
          <rPr>
            <sz val="9"/>
            <color indexed="81"/>
            <rFont val="Tahoma"/>
            <family val="2"/>
          </rPr>
          <t xml:space="preserve">
проверити збир!
</t>
        </r>
      </text>
    </comment>
    <comment ref="I6025" authorId="0">
      <text>
        <r>
          <rPr>
            <b/>
            <sz val="9"/>
            <color indexed="81"/>
            <rFont val="Tahoma"/>
            <family val="2"/>
          </rPr>
          <t>LPA:</t>
        </r>
        <r>
          <rPr>
            <sz val="9"/>
            <color indexed="81"/>
            <rFont val="Tahoma"/>
            <family val="2"/>
          </rPr>
          <t xml:space="preserve">
проверити збир!
</t>
        </r>
      </text>
    </comment>
    <comment ref="I6026" authorId="0">
      <text>
        <r>
          <rPr>
            <b/>
            <sz val="9"/>
            <color indexed="81"/>
            <rFont val="Tahoma"/>
            <family val="2"/>
          </rPr>
          <t>LPA:</t>
        </r>
        <r>
          <rPr>
            <sz val="9"/>
            <color indexed="81"/>
            <rFont val="Tahoma"/>
            <family val="2"/>
          </rPr>
          <t xml:space="preserve">
проверити збир!
</t>
        </r>
      </text>
    </comment>
    <comment ref="I6027" authorId="0">
      <text>
        <r>
          <rPr>
            <b/>
            <sz val="9"/>
            <color indexed="81"/>
            <rFont val="Tahoma"/>
            <family val="2"/>
          </rPr>
          <t>LPA:</t>
        </r>
        <r>
          <rPr>
            <sz val="9"/>
            <color indexed="81"/>
            <rFont val="Tahoma"/>
            <family val="2"/>
          </rPr>
          <t xml:space="preserve">
проверити збир!
</t>
        </r>
      </text>
    </comment>
    <comment ref="I6028" authorId="0">
      <text>
        <r>
          <rPr>
            <b/>
            <sz val="9"/>
            <color indexed="81"/>
            <rFont val="Tahoma"/>
            <family val="2"/>
          </rPr>
          <t>LPA:</t>
        </r>
        <r>
          <rPr>
            <sz val="9"/>
            <color indexed="81"/>
            <rFont val="Tahoma"/>
            <family val="2"/>
          </rPr>
          <t xml:space="preserve">
проверити збир!
</t>
        </r>
      </text>
    </comment>
    <comment ref="I6029" authorId="0">
      <text>
        <r>
          <rPr>
            <b/>
            <sz val="9"/>
            <color indexed="81"/>
            <rFont val="Tahoma"/>
            <family val="2"/>
          </rPr>
          <t>LPA:</t>
        </r>
        <r>
          <rPr>
            <sz val="9"/>
            <color indexed="81"/>
            <rFont val="Tahoma"/>
            <family val="2"/>
          </rPr>
          <t xml:space="preserve">
проверити збир!
</t>
        </r>
      </text>
    </comment>
    <comment ref="I6030" authorId="0">
      <text>
        <r>
          <rPr>
            <b/>
            <sz val="9"/>
            <color indexed="81"/>
            <rFont val="Tahoma"/>
            <family val="2"/>
          </rPr>
          <t>LPA:</t>
        </r>
        <r>
          <rPr>
            <sz val="9"/>
            <color indexed="81"/>
            <rFont val="Tahoma"/>
            <family val="2"/>
          </rPr>
          <t xml:space="preserve">
проверити збир!
</t>
        </r>
      </text>
    </comment>
    <comment ref="I6031" authorId="0">
      <text>
        <r>
          <rPr>
            <b/>
            <sz val="9"/>
            <color indexed="81"/>
            <rFont val="Tahoma"/>
            <family val="2"/>
          </rPr>
          <t>LPA:</t>
        </r>
        <r>
          <rPr>
            <sz val="9"/>
            <color indexed="81"/>
            <rFont val="Tahoma"/>
            <family val="2"/>
          </rPr>
          <t xml:space="preserve">
проверити збир!
</t>
        </r>
      </text>
    </comment>
    <comment ref="I6032" authorId="0">
      <text>
        <r>
          <rPr>
            <b/>
            <sz val="9"/>
            <color indexed="81"/>
            <rFont val="Tahoma"/>
            <family val="2"/>
          </rPr>
          <t>LPA:</t>
        </r>
        <r>
          <rPr>
            <sz val="9"/>
            <color indexed="81"/>
            <rFont val="Tahoma"/>
            <family val="2"/>
          </rPr>
          <t xml:space="preserve">
проверити збир!
</t>
        </r>
      </text>
    </comment>
    <comment ref="H6035" authorId="0">
      <text>
        <r>
          <rPr>
            <b/>
            <sz val="9"/>
            <color indexed="81"/>
            <rFont val="Tahoma"/>
            <family val="2"/>
          </rPr>
          <t>LPA:</t>
        </r>
        <r>
          <rPr>
            <sz val="9"/>
            <color indexed="81"/>
            <rFont val="Tahoma"/>
            <family val="2"/>
          </rPr>
          <t xml:space="preserve">
проверити збир!</t>
        </r>
      </text>
    </comment>
    <comment ref="I6035" authorId="0">
      <text>
        <r>
          <rPr>
            <b/>
            <sz val="9"/>
            <color indexed="81"/>
            <rFont val="Tahoma"/>
            <family val="2"/>
          </rPr>
          <t>LPA:</t>
        </r>
        <r>
          <rPr>
            <sz val="9"/>
            <color indexed="81"/>
            <rFont val="Tahoma"/>
            <family val="2"/>
          </rPr>
          <t xml:space="preserve">
проверити збир!</t>
        </r>
      </text>
    </comment>
    <comment ref="I6036" authorId="0">
      <text>
        <r>
          <rPr>
            <b/>
            <sz val="9"/>
            <color indexed="81"/>
            <rFont val="Tahoma"/>
            <family val="2"/>
          </rPr>
          <t>LPA:</t>
        </r>
        <r>
          <rPr>
            <sz val="9"/>
            <color indexed="81"/>
            <rFont val="Tahoma"/>
            <family val="2"/>
          </rPr>
          <t xml:space="preserve">
проверити збир!
</t>
        </r>
      </text>
    </comment>
    <comment ref="I6037" authorId="0">
      <text>
        <r>
          <rPr>
            <b/>
            <sz val="9"/>
            <color indexed="81"/>
            <rFont val="Tahoma"/>
            <family val="2"/>
          </rPr>
          <t>LPA:</t>
        </r>
        <r>
          <rPr>
            <sz val="9"/>
            <color indexed="81"/>
            <rFont val="Tahoma"/>
            <family val="2"/>
          </rPr>
          <t xml:space="preserve">
проверити збир!
</t>
        </r>
      </text>
    </comment>
    <comment ref="I6038" authorId="0">
      <text>
        <r>
          <rPr>
            <b/>
            <sz val="9"/>
            <color indexed="81"/>
            <rFont val="Tahoma"/>
            <family val="2"/>
          </rPr>
          <t>LPA:</t>
        </r>
        <r>
          <rPr>
            <sz val="9"/>
            <color indexed="81"/>
            <rFont val="Tahoma"/>
            <family val="2"/>
          </rPr>
          <t xml:space="preserve">
проверити збир!
</t>
        </r>
      </text>
    </comment>
    <comment ref="I6039" authorId="0">
      <text>
        <r>
          <rPr>
            <b/>
            <sz val="9"/>
            <color indexed="81"/>
            <rFont val="Tahoma"/>
            <family val="2"/>
          </rPr>
          <t>LPA:</t>
        </r>
        <r>
          <rPr>
            <sz val="9"/>
            <color indexed="81"/>
            <rFont val="Tahoma"/>
            <family val="2"/>
          </rPr>
          <t xml:space="preserve">
проверити збир!
</t>
        </r>
      </text>
    </comment>
    <comment ref="I6040" authorId="0">
      <text>
        <r>
          <rPr>
            <b/>
            <sz val="9"/>
            <color indexed="81"/>
            <rFont val="Tahoma"/>
            <family val="2"/>
          </rPr>
          <t>LPA:</t>
        </r>
        <r>
          <rPr>
            <sz val="9"/>
            <color indexed="81"/>
            <rFont val="Tahoma"/>
            <family val="2"/>
          </rPr>
          <t xml:space="preserve">
проверити збир!
</t>
        </r>
      </text>
    </comment>
    <comment ref="I6041" authorId="0">
      <text>
        <r>
          <rPr>
            <b/>
            <sz val="9"/>
            <color indexed="81"/>
            <rFont val="Tahoma"/>
            <family val="2"/>
          </rPr>
          <t>LPA:</t>
        </r>
        <r>
          <rPr>
            <sz val="9"/>
            <color indexed="81"/>
            <rFont val="Tahoma"/>
            <family val="2"/>
          </rPr>
          <t xml:space="preserve">
проверити збир!
</t>
        </r>
      </text>
    </comment>
    <comment ref="I6042" authorId="0">
      <text>
        <r>
          <rPr>
            <b/>
            <sz val="9"/>
            <color indexed="81"/>
            <rFont val="Tahoma"/>
            <family val="2"/>
          </rPr>
          <t>LPA:</t>
        </r>
        <r>
          <rPr>
            <sz val="9"/>
            <color indexed="81"/>
            <rFont val="Tahoma"/>
            <family val="2"/>
          </rPr>
          <t xml:space="preserve">
проверити збир!
</t>
        </r>
      </text>
    </comment>
    <comment ref="I6043" authorId="0">
      <text>
        <r>
          <rPr>
            <b/>
            <sz val="9"/>
            <color indexed="81"/>
            <rFont val="Tahoma"/>
            <family val="2"/>
          </rPr>
          <t>LPA:</t>
        </r>
        <r>
          <rPr>
            <sz val="9"/>
            <color indexed="81"/>
            <rFont val="Tahoma"/>
            <family val="2"/>
          </rPr>
          <t xml:space="preserve">
проверити збир!
</t>
        </r>
      </text>
    </comment>
    <comment ref="I6044" authorId="0">
      <text>
        <r>
          <rPr>
            <b/>
            <sz val="9"/>
            <color indexed="81"/>
            <rFont val="Tahoma"/>
            <family val="2"/>
          </rPr>
          <t>LPA:</t>
        </r>
        <r>
          <rPr>
            <sz val="9"/>
            <color indexed="81"/>
            <rFont val="Tahoma"/>
            <family val="2"/>
          </rPr>
          <t xml:space="preserve">
проверити збир!
</t>
        </r>
      </text>
    </comment>
    <comment ref="I6045" authorId="0">
      <text>
        <r>
          <rPr>
            <b/>
            <sz val="9"/>
            <color indexed="81"/>
            <rFont val="Tahoma"/>
            <family val="2"/>
          </rPr>
          <t>LPA:</t>
        </r>
        <r>
          <rPr>
            <sz val="9"/>
            <color indexed="81"/>
            <rFont val="Tahoma"/>
            <family val="2"/>
          </rPr>
          <t xml:space="preserve">
проверити збир!
</t>
        </r>
      </text>
    </comment>
    <comment ref="I6046" authorId="0">
      <text>
        <r>
          <rPr>
            <b/>
            <sz val="9"/>
            <color indexed="81"/>
            <rFont val="Tahoma"/>
            <family val="2"/>
          </rPr>
          <t>LPA:</t>
        </r>
        <r>
          <rPr>
            <sz val="9"/>
            <color indexed="81"/>
            <rFont val="Tahoma"/>
            <family val="2"/>
          </rPr>
          <t xml:space="preserve">
проверити збир!
</t>
        </r>
      </text>
    </comment>
    <comment ref="I6047" authorId="0">
      <text>
        <r>
          <rPr>
            <b/>
            <sz val="9"/>
            <color indexed="81"/>
            <rFont val="Tahoma"/>
            <family val="2"/>
          </rPr>
          <t>LPA:</t>
        </r>
        <r>
          <rPr>
            <sz val="9"/>
            <color indexed="81"/>
            <rFont val="Tahoma"/>
            <family val="2"/>
          </rPr>
          <t xml:space="preserve">
проверити збир!
</t>
        </r>
      </text>
    </comment>
    <comment ref="I6048" authorId="0">
      <text>
        <r>
          <rPr>
            <b/>
            <sz val="9"/>
            <color indexed="81"/>
            <rFont val="Tahoma"/>
            <family val="2"/>
          </rPr>
          <t>LPA:</t>
        </r>
        <r>
          <rPr>
            <sz val="9"/>
            <color indexed="81"/>
            <rFont val="Tahoma"/>
            <family val="2"/>
          </rPr>
          <t xml:space="preserve">
проверити збир!
</t>
        </r>
      </text>
    </comment>
    <comment ref="I6049" authorId="0">
      <text>
        <r>
          <rPr>
            <b/>
            <sz val="9"/>
            <color indexed="81"/>
            <rFont val="Tahoma"/>
            <family val="2"/>
          </rPr>
          <t>LPA:</t>
        </r>
        <r>
          <rPr>
            <sz val="9"/>
            <color indexed="81"/>
            <rFont val="Tahoma"/>
            <family val="2"/>
          </rPr>
          <t xml:space="preserve">
проверити збир!
</t>
        </r>
      </text>
    </comment>
    <comment ref="I6050" authorId="0">
      <text>
        <r>
          <rPr>
            <b/>
            <sz val="9"/>
            <color indexed="81"/>
            <rFont val="Tahoma"/>
            <family val="2"/>
          </rPr>
          <t>LPA:</t>
        </r>
        <r>
          <rPr>
            <sz val="9"/>
            <color indexed="81"/>
            <rFont val="Tahoma"/>
            <family val="2"/>
          </rPr>
          <t xml:space="preserve">
проверити збир!
</t>
        </r>
      </text>
    </comment>
    <comment ref="H6054" authorId="0">
      <text>
        <r>
          <rPr>
            <b/>
            <sz val="9"/>
            <color indexed="81"/>
            <rFont val="Tahoma"/>
            <family val="2"/>
          </rPr>
          <t>LPA:</t>
        </r>
        <r>
          <rPr>
            <sz val="9"/>
            <color indexed="81"/>
            <rFont val="Tahoma"/>
            <family val="2"/>
          </rPr>
          <t xml:space="preserve">
проверити збир!</t>
        </r>
      </text>
    </comment>
    <comment ref="I6054" authorId="0">
      <text>
        <r>
          <rPr>
            <b/>
            <sz val="9"/>
            <color indexed="81"/>
            <rFont val="Tahoma"/>
            <family val="2"/>
          </rPr>
          <t>LPA:</t>
        </r>
        <r>
          <rPr>
            <sz val="9"/>
            <color indexed="81"/>
            <rFont val="Tahoma"/>
            <family val="2"/>
          </rPr>
          <t xml:space="preserve">
проверити збир!
</t>
        </r>
      </text>
    </comment>
    <comment ref="I6055" authorId="0">
      <text>
        <r>
          <rPr>
            <b/>
            <sz val="9"/>
            <color indexed="81"/>
            <rFont val="Tahoma"/>
            <family val="2"/>
          </rPr>
          <t>LPA:</t>
        </r>
        <r>
          <rPr>
            <sz val="9"/>
            <color indexed="81"/>
            <rFont val="Tahoma"/>
            <family val="2"/>
          </rPr>
          <t xml:space="preserve">
проверити збир!
</t>
        </r>
      </text>
    </comment>
    <comment ref="I6056" authorId="0">
      <text>
        <r>
          <rPr>
            <b/>
            <sz val="9"/>
            <color indexed="81"/>
            <rFont val="Tahoma"/>
            <family val="2"/>
          </rPr>
          <t>LPA:</t>
        </r>
        <r>
          <rPr>
            <sz val="9"/>
            <color indexed="81"/>
            <rFont val="Tahoma"/>
            <family val="2"/>
          </rPr>
          <t xml:space="preserve">
проверити збир!
</t>
        </r>
      </text>
    </comment>
    <comment ref="I6057" authorId="0">
      <text>
        <r>
          <rPr>
            <b/>
            <sz val="9"/>
            <color indexed="81"/>
            <rFont val="Tahoma"/>
            <family val="2"/>
          </rPr>
          <t>LPA:</t>
        </r>
        <r>
          <rPr>
            <sz val="9"/>
            <color indexed="81"/>
            <rFont val="Tahoma"/>
            <family val="2"/>
          </rPr>
          <t xml:space="preserve">
проверити збир!
</t>
        </r>
      </text>
    </comment>
    <comment ref="I6058" authorId="0">
      <text>
        <r>
          <rPr>
            <b/>
            <sz val="9"/>
            <color indexed="81"/>
            <rFont val="Tahoma"/>
            <family val="2"/>
          </rPr>
          <t>LPA:</t>
        </r>
        <r>
          <rPr>
            <sz val="9"/>
            <color indexed="81"/>
            <rFont val="Tahoma"/>
            <family val="2"/>
          </rPr>
          <t xml:space="preserve">
проверити збир!
</t>
        </r>
      </text>
    </comment>
    <comment ref="I6059" authorId="0">
      <text>
        <r>
          <rPr>
            <b/>
            <sz val="9"/>
            <color indexed="81"/>
            <rFont val="Tahoma"/>
            <family val="2"/>
          </rPr>
          <t>LPA:</t>
        </r>
        <r>
          <rPr>
            <sz val="9"/>
            <color indexed="81"/>
            <rFont val="Tahoma"/>
            <family val="2"/>
          </rPr>
          <t xml:space="preserve">
проверити збир!
</t>
        </r>
      </text>
    </comment>
    <comment ref="I6060" authorId="0">
      <text>
        <r>
          <rPr>
            <b/>
            <sz val="9"/>
            <color indexed="81"/>
            <rFont val="Tahoma"/>
            <family val="2"/>
          </rPr>
          <t>LPA:</t>
        </r>
        <r>
          <rPr>
            <sz val="9"/>
            <color indexed="81"/>
            <rFont val="Tahoma"/>
            <family val="2"/>
          </rPr>
          <t xml:space="preserve">
проверити збир!
</t>
        </r>
      </text>
    </comment>
    <comment ref="I6061" authorId="0">
      <text>
        <r>
          <rPr>
            <b/>
            <sz val="9"/>
            <color indexed="81"/>
            <rFont val="Tahoma"/>
            <family val="2"/>
          </rPr>
          <t>LPA:</t>
        </r>
        <r>
          <rPr>
            <sz val="9"/>
            <color indexed="81"/>
            <rFont val="Tahoma"/>
            <family val="2"/>
          </rPr>
          <t xml:space="preserve">
проверити збир!
</t>
        </r>
      </text>
    </comment>
    <comment ref="I6062" authorId="0">
      <text>
        <r>
          <rPr>
            <b/>
            <sz val="9"/>
            <color indexed="81"/>
            <rFont val="Tahoma"/>
            <family val="2"/>
          </rPr>
          <t>LPA:</t>
        </r>
        <r>
          <rPr>
            <sz val="9"/>
            <color indexed="81"/>
            <rFont val="Tahoma"/>
            <family val="2"/>
          </rPr>
          <t xml:space="preserve">
проверити збир!
</t>
        </r>
      </text>
    </comment>
    <comment ref="I6063" authorId="0">
      <text>
        <r>
          <rPr>
            <b/>
            <sz val="9"/>
            <color indexed="81"/>
            <rFont val="Tahoma"/>
            <family val="2"/>
          </rPr>
          <t>LPA:</t>
        </r>
        <r>
          <rPr>
            <sz val="9"/>
            <color indexed="81"/>
            <rFont val="Tahoma"/>
            <family val="2"/>
          </rPr>
          <t xml:space="preserve">
проверити збир!
</t>
        </r>
      </text>
    </comment>
    <comment ref="I6064" authorId="0">
      <text>
        <r>
          <rPr>
            <b/>
            <sz val="9"/>
            <color indexed="81"/>
            <rFont val="Tahoma"/>
            <family val="2"/>
          </rPr>
          <t>LPA:</t>
        </r>
        <r>
          <rPr>
            <sz val="9"/>
            <color indexed="81"/>
            <rFont val="Tahoma"/>
            <family val="2"/>
          </rPr>
          <t xml:space="preserve">
проверити збир!
</t>
        </r>
      </text>
    </comment>
    <comment ref="I6065" authorId="0">
      <text>
        <r>
          <rPr>
            <b/>
            <sz val="9"/>
            <color indexed="81"/>
            <rFont val="Tahoma"/>
            <family val="2"/>
          </rPr>
          <t>LPA:</t>
        </r>
        <r>
          <rPr>
            <sz val="9"/>
            <color indexed="81"/>
            <rFont val="Tahoma"/>
            <family val="2"/>
          </rPr>
          <t xml:space="preserve">
проверити збир!
</t>
        </r>
      </text>
    </comment>
    <comment ref="I6066" authorId="0">
      <text>
        <r>
          <rPr>
            <b/>
            <sz val="9"/>
            <color indexed="81"/>
            <rFont val="Tahoma"/>
            <family val="2"/>
          </rPr>
          <t>LPA:</t>
        </r>
        <r>
          <rPr>
            <sz val="9"/>
            <color indexed="81"/>
            <rFont val="Tahoma"/>
            <family val="2"/>
          </rPr>
          <t xml:space="preserve">
проверити збир!
</t>
        </r>
      </text>
    </comment>
    <comment ref="I6067" authorId="0">
      <text>
        <r>
          <rPr>
            <b/>
            <sz val="9"/>
            <color indexed="81"/>
            <rFont val="Tahoma"/>
            <family val="2"/>
          </rPr>
          <t>LPA:</t>
        </r>
        <r>
          <rPr>
            <sz val="9"/>
            <color indexed="81"/>
            <rFont val="Tahoma"/>
            <family val="2"/>
          </rPr>
          <t xml:space="preserve">
проверити збир!
</t>
        </r>
      </text>
    </comment>
    <comment ref="I6068" authorId="0">
      <text>
        <r>
          <rPr>
            <b/>
            <sz val="9"/>
            <color indexed="81"/>
            <rFont val="Tahoma"/>
            <family val="2"/>
          </rPr>
          <t>LPA:</t>
        </r>
        <r>
          <rPr>
            <sz val="9"/>
            <color indexed="81"/>
            <rFont val="Tahoma"/>
            <family val="2"/>
          </rPr>
          <t xml:space="preserve">
проверити збир!
</t>
        </r>
      </text>
    </comment>
    <comment ref="I6069" authorId="0">
      <text>
        <r>
          <rPr>
            <b/>
            <sz val="9"/>
            <color indexed="81"/>
            <rFont val="Tahoma"/>
            <family val="2"/>
          </rPr>
          <t>LPA:</t>
        </r>
        <r>
          <rPr>
            <sz val="9"/>
            <color indexed="81"/>
            <rFont val="Tahoma"/>
            <family val="2"/>
          </rPr>
          <t xml:space="preserve">
проверити збир!
</t>
        </r>
      </text>
    </comment>
    <comment ref="I6140" authorId="0">
      <text>
        <r>
          <rPr>
            <b/>
            <sz val="9"/>
            <color indexed="81"/>
            <rFont val="Tahoma"/>
            <family val="2"/>
          </rPr>
          <t>LPA:</t>
        </r>
        <r>
          <rPr>
            <sz val="9"/>
            <color indexed="81"/>
            <rFont val="Tahoma"/>
            <family val="2"/>
          </rPr>
          <t xml:space="preserve">
проверити збир!
</t>
        </r>
      </text>
    </comment>
    <comment ref="I6141" authorId="0">
      <text>
        <r>
          <rPr>
            <b/>
            <sz val="9"/>
            <color indexed="81"/>
            <rFont val="Tahoma"/>
            <family val="2"/>
          </rPr>
          <t>LPA:</t>
        </r>
        <r>
          <rPr>
            <sz val="9"/>
            <color indexed="81"/>
            <rFont val="Tahoma"/>
            <family val="2"/>
          </rPr>
          <t xml:space="preserve">
проверити збир!
</t>
        </r>
      </text>
    </comment>
    <comment ref="I6142" authorId="0">
      <text>
        <r>
          <rPr>
            <b/>
            <sz val="9"/>
            <color indexed="81"/>
            <rFont val="Tahoma"/>
            <family val="2"/>
          </rPr>
          <t>LPA:</t>
        </r>
        <r>
          <rPr>
            <sz val="9"/>
            <color indexed="81"/>
            <rFont val="Tahoma"/>
            <family val="2"/>
          </rPr>
          <t xml:space="preserve">
проверити збир!
</t>
        </r>
      </text>
    </comment>
    <comment ref="I6143" authorId="0">
      <text>
        <r>
          <rPr>
            <b/>
            <sz val="9"/>
            <color indexed="81"/>
            <rFont val="Tahoma"/>
            <family val="2"/>
          </rPr>
          <t>LPA:</t>
        </r>
        <r>
          <rPr>
            <sz val="9"/>
            <color indexed="81"/>
            <rFont val="Tahoma"/>
            <family val="2"/>
          </rPr>
          <t xml:space="preserve">
проверити збир!
</t>
        </r>
      </text>
    </comment>
    <comment ref="I6144" authorId="0">
      <text>
        <r>
          <rPr>
            <b/>
            <sz val="9"/>
            <color indexed="81"/>
            <rFont val="Tahoma"/>
            <family val="2"/>
          </rPr>
          <t>LPA:</t>
        </r>
        <r>
          <rPr>
            <sz val="9"/>
            <color indexed="81"/>
            <rFont val="Tahoma"/>
            <family val="2"/>
          </rPr>
          <t xml:space="preserve">
проверити збир!
</t>
        </r>
      </text>
    </comment>
    <comment ref="I6145" authorId="0">
      <text>
        <r>
          <rPr>
            <b/>
            <sz val="9"/>
            <color indexed="81"/>
            <rFont val="Tahoma"/>
            <family val="2"/>
          </rPr>
          <t>LPA:</t>
        </r>
        <r>
          <rPr>
            <sz val="9"/>
            <color indexed="81"/>
            <rFont val="Tahoma"/>
            <family val="2"/>
          </rPr>
          <t xml:space="preserve">
проверити збир!
</t>
        </r>
      </text>
    </comment>
    <comment ref="I6146" authorId="0">
      <text>
        <r>
          <rPr>
            <b/>
            <sz val="9"/>
            <color indexed="81"/>
            <rFont val="Tahoma"/>
            <family val="2"/>
          </rPr>
          <t>LPA:</t>
        </r>
        <r>
          <rPr>
            <sz val="9"/>
            <color indexed="81"/>
            <rFont val="Tahoma"/>
            <family val="2"/>
          </rPr>
          <t xml:space="preserve">
проверити збир!
</t>
        </r>
      </text>
    </comment>
    <comment ref="I6147" authorId="0">
      <text>
        <r>
          <rPr>
            <b/>
            <sz val="9"/>
            <color indexed="81"/>
            <rFont val="Tahoma"/>
            <family val="2"/>
          </rPr>
          <t>LPA:</t>
        </r>
        <r>
          <rPr>
            <sz val="9"/>
            <color indexed="81"/>
            <rFont val="Tahoma"/>
            <family val="2"/>
          </rPr>
          <t xml:space="preserve">
проверити збир!
</t>
        </r>
      </text>
    </comment>
    <comment ref="I6148" authorId="0">
      <text>
        <r>
          <rPr>
            <b/>
            <sz val="9"/>
            <color indexed="81"/>
            <rFont val="Tahoma"/>
            <family val="2"/>
          </rPr>
          <t>LPA:</t>
        </r>
        <r>
          <rPr>
            <sz val="9"/>
            <color indexed="81"/>
            <rFont val="Tahoma"/>
            <family val="2"/>
          </rPr>
          <t xml:space="preserve">
проверити збир!
</t>
        </r>
      </text>
    </comment>
    <comment ref="I6149" authorId="0">
      <text>
        <r>
          <rPr>
            <b/>
            <sz val="9"/>
            <color indexed="81"/>
            <rFont val="Tahoma"/>
            <family val="2"/>
          </rPr>
          <t>LPA:</t>
        </r>
        <r>
          <rPr>
            <sz val="9"/>
            <color indexed="81"/>
            <rFont val="Tahoma"/>
            <family val="2"/>
          </rPr>
          <t xml:space="preserve">
проверити збир!
</t>
        </r>
      </text>
    </comment>
    <comment ref="I6150" authorId="0">
      <text>
        <r>
          <rPr>
            <b/>
            <sz val="9"/>
            <color indexed="81"/>
            <rFont val="Tahoma"/>
            <family val="2"/>
          </rPr>
          <t>LPA:</t>
        </r>
        <r>
          <rPr>
            <sz val="9"/>
            <color indexed="81"/>
            <rFont val="Tahoma"/>
            <family val="2"/>
          </rPr>
          <t xml:space="preserve">
проверити збир!
</t>
        </r>
      </text>
    </comment>
    <comment ref="I6151" authorId="0">
      <text>
        <r>
          <rPr>
            <b/>
            <sz val="9"/>
            <color indexed="81"/>
            <rFont val="Tahoma"/>
            <family val="2"/>
          </rPr>
          <t>LPA:</t>
        </r>
        <r>
          <rPr>
            <sz val="9"/>
            <color indexed="81"/>
            <rFont val="Tahoma"/>
            <family val="2"/>
          </rPr>
          <t xml:space="preserve">
проверити збир!
</t>
        </r>
      </text>
    </comment>
    <comment ref="I6152" authorId="0">
      <text>
        <r>
          <rPr>
            <b/>
            <sz val="9"/>
            <color indexed="81"/>
            <rFont val="Tahoma"/>
            <family val="2"/>
          </rPr>
          <t>LPA:</t>
        </r>
        <r>
          <rPr>
            <sz val="9"/>
            <color indexed="81"/>
            <rFont val="Tahoma"/>
            <family val="2"/>
          </rPr>
          <t xml:space="preserve">
проверити збир!
</t>
        </r>
      </text>
    </comment>
    <comment ref="H6155" authorId="0">
      <text>
        <r>
          <rPr>
            <b/>
            <sz val="9"/>
            <color indexed="81"/>
            <rFont val="Tahoma"/>
            <family val="2"/>
          </rPr>
          <t>LPA:</t>
        </r>
        <r>
          <rPr>
            <sz val="9"/>
            <color indexed="81"/>
            <rFont val="Tahoma"/>
            <family val="2"/>
          </rPr>
          <t xml:space="preserve">
проверити збир!</t>
        </r>
      </text>
    </comment>
    <comment ref="I6155" authorId="0">
      <text>
        <r>
          <rPr>
            <b/>
            <sz val="9"/>
            <color indexed="81"/>
            <rFont val="Tahoma"/>
            <family val="2"/>
          </rPr>
          <t>LPA:</t>
        </r>
        <r>
          <rPr>
            <sz val="9"/>
            <color indexed="81"/>
            <rFont val="Tahoma"/>
            <family val="2"/>
          </rPr>
          <t xml:space="preserve">
проверити збир!</t>
        </r>
      </text>
    </comment>
    <comment ref="I6156" authorId="0">
      <text>
        <r>
          <rPr>
            <b/>
            <sz val="9"/>
            <color indexed="81"/>
            <rFont val="Tahoma"/>
            <family val="2"/>
          </rPr>
          <t>LPA:</t>
        </r>
        <r>
          <rPr>
            <sz val="9"/>
            <color indexed="81"/>
            <rFont val="Tahoma"/>
            <family val="2"/>
          </rPr>
          <t xml:space="preserve">
проверити збир!
</t>
        </r>
      </text>
    </comment>
    <comment ref="I6157" authorId="0">
      <text>
        <r>
          <rPr>
            <b/>
            <sz val="9"/>
            <color indexed="81"/>
            <rFont val="Tahoma"/>
            <family val="2"/>
          </rPr>
          <t>LPA:</t>
        </r>
        <r>
          <rPr>
            <sz val="9"/>
            <color indexed="81"/>
            <rFont val="Tahoma"/>
            <family val="2"/>
          </rPr>
          <t xml:space="preserve">
проверити збир!
</t>
        </r>
      </text>
    </comment>
    <comment ref="I6158" authorId="0">
      <text>
        <r>
          <rPr>
            <b/>
            <sz val="9"/>
            <color indexed="81"/>
            <rFont val="Tahoma"/>
            <family val="2"/>
          </rPr>
          <t>LPA:</t>
        </r>
        <r>
          <rPr>
            <sz val="9"/>
            <color indexed="81"/>
            <rFont val="Tahoma"/>
            <family val="2"/>
          </rPr>
          <t xml:space="preserve">
проверити збир!
</t>
        </r>
      </text>
    </comment>
    <comment ref="I6159" authorId="0">
      <text>
        <r>
          <rPr>
            <b/>
            <sz val="9"/>
            <color indexed="81"/>
            <rFont val="Tahoma"/>
            <family val="2"/>
          </rPr>
          <t>LPA:</t>
        </r>
        <r>
          <rPr>
            <sz val="9"/>
            <color indexed="81"/>
            <rFont val="Tahoma"/>
            <family val="2"/>
          </rPr>
          <t xml:space="preserve">
проверити збир!
</t>
        </r>
      </text>
    </comment>
    <comment ref="I6160" authorId="0">
      <text>
        <r>
          <rPr>
            <b/>
            <sz val="9"/>
            <color indexed="81"/>
            <rFont val="Tahoma"/>
            <family val="2"/>
          </rPr>
          <t>LPA:</t>
        </r>
        <r>
          <rPr>
            <sz val="9"/>
            <color indexed="81"/>
            <rFont val="Tahoma"/>
            <family val="2"/>
          </rPr>
          <t xml:space="preserve">
проверити збир!
</t>
        </r>
      </text>
    </comment>
    <comment ref="I6161" authorId="0">
      <text>
        <r>
          <rPr>
            <b/>
            <sz val="9"/>
            <color indexed="81"/>
            <rFont val="Tahoma"/>
            <family val="2"/>
          </rPr>
          <t>LPA:</t>
        </r>
        <r>
          <rPr>
            <sz val="9"/>
            <color indexed="81"/>
            <rFont val="Tahoma"/>
            <family val="2"/>
          </rPr>
          <t xml:space="preserve">
проверити збир!
</t>
        </r>
      </text>
    </comment>
    <comment ref="I6162" authorId="0">
      <text>
        <r>
          <rPr>
            <b/>
            <sz val="9"/>
            <color indexed="81"/>
            <rFont val="Tahoma"/>
            <family val="2"/>
          </rPr>
          <t>LPA:</t>
        </r>
        <r>
          <rPr>
            <sz val="9"/>
            <color indexed="81"/>
            <rFont val="Tahoma"/>
            <family val="2"/>
          </rPr>
          <t xml:space="preserve">
проверити збир!
</t>
        </r>
      </text>
    </comment>
    <comment ref="I6163" authorId="0">
      <text>
        <r>
          <rPr>
            <b/>
            <sz val="9"/>
            <color indexed="81"/>
            <rFont val="Tahoma"/>
            <family val="2"/>
          </rPr>
          <t>LPA:</t>
        </r>
        <r>
          <rPr>
            <sz val="9"/>
            <color indexed="81"/>
            <rFont val="Tahoma"/>
            <family val="2"/>
          </rPr>
          <t xml:space="preserve">
проверити збир!
</t>
        </r>
      </text>
    </comment>
    <comment ref="I6164" authorId="0">
      <text>
        <r>
          <rPr>
            <b/>
            <sz val="9"/>
            <color indexed="81"/>
            <rFont val="Tahoma"/>
            <family val="2"/>
          </rPr>
          <t>LPA:</t>
        </r>
        <r>
          <rPr>
            <sz val="9"/>
            <color indexed="81"/>
            <rFont val="Tahoma"/>
            <family val="2"/>
          </rPr>
          <t xml:space="preserve">
проверити збир!
</t>
        </r>
      </text>
    </comment>
    <comment ref="I6165" authorId="0">
      <text>
        <r>
          <rPr>
            <b/>
            <sz val="9"/>
            <color indexed="81"/>
            <rFont val="Tahoma"/>
            <family val="2"/>
          </rPr>
          <t>LPA:</t>
        </r>
        <r>
          <rPr>
            <sz val="9"/>
            <color indexed="81"/>
            <rFont val="Tahoma"/>
            <family val="2"/>
          </rPr>
          <t xml:space="preserve">
проверити збир!
</t>
        </r>
      </text>
    </comment>
    <comment ref="I6166" authorId="0">
      <text>
        <r>
          <rPr>
            <b/>
            <sz val="9"/>
            <color indexed="81"/>
            <rFont val="Tahoma"/>
            <family val="2"/>
          </rPr>
          <t>LPA:</t>
        </r>
        <r>
          <rPr>
            <sz val="9"/>
            <color indexed="81"/>
            <rFont val="Tahoma"/>
            <family val="2"/>
          </rPr>
          <t xml:space="preserve">
проверити збир!
</t>
        </r>
      </text>
    </comment>
    <comment ref="I6167" authorId="0">
      <text>
        <r>
          <rPr>
            <b/>
            <sz val="9"/>
            <color indexed="81"/>
            <rFont val="Tahoma"/>
            <family val="2"/>
          </rPr>
          <t>LPA:</t>
        </r>
        <r>
          <rPr>
            <sz val="9"/>
            <color indexed="81"/>
            <rFont val="Tahoma"/>
            <family val="2"/>
          </rPr>
          <t xml:space="preserve">
проверити збир!
</t>
        </r>
      </text>
    </comment>
    <comment ref="I6168" authorId="0">
      <text>
        <r>
          <rPr>
            <b/>
            <sz val="9"/>
            <color indexed="81"/>
            <rFont val="Tahoma"/>
            <family val="2"/>
          </rPr>
          <t>LPA:</t>
        </r>
        <r>
          <rPr>
            <sz val="9"/>
            <color indexed="81"/>
            <rFont val="Tahoma"/>
            <family val="2"/>
          </rPr>
          <t xml:space="preserve">
проверити збир!
</t>
        </r>
      </text>
    </comment>
    <comment ref="I6169" authorId="0">
      <text>
        <r>
          <rPr>
            <b/>
            <sz val="9"/>
            <color indexed="81"/>
            <rFont val="Tahoma"/>
            <family val="2"/>
          </rPr>
          <t>LPA:</t>
        </r>
        <r>
          <rPr>
            <sz val="9"/>
            <color indexed="81"/>
            <rFont val="Tahoma"/>
            <family val="2"/>
          </rPr>
          <t xml:space="preserve">
проверити збир!
</t>
        </r>
      </text>
    </comment>
    <comment ref="I6170" authorId="0">
      <text>
        <r>
          <rPr>
            <b/>
            <sz val="9"/>
            <color indexed="81"/>
            <rFont val="Tahoma"/>
            <family val="2"/>
          </rPr>
          <t>LPA:</t>
        </r>
        <r>
          <rPr>
            <sz val="9"/>
            <color indexed="81"/>
            <rFont val="Tahoma"/>
            <family val="2"/>
          </rPr>
          <t xml:space="preserve">
проверити збир!
</t>
        </r>
      </text>
    </comment>
    <comment ref="H6174" authorId="0">
      <text>
        <r>
          <rPr>
            <b/>
            <sz val="9"/>
            <color indexed="81"/>
            <rFont val="Tahoma"/>
            <family val="2"/>
          </rPr>
          <t>LPA:</t>
        </r>
        <r>
          <rPr>
            <sz val="9"/>
            <color indexed="81"/>
            <rFont val="Tahoma"/>
            <family val="2"/>
          </rPr>
          <t xml:space="preserve">
проверити збир!</t>
        </r>
      </text>
    </comment>
    <comment ref="I6174" authorId="0">
      <text>
        <r>
          <rPr>
            <b/>
            <sz val="9"/>
            <color indexed="81"/>
            <rFont val="Tahoma"/>
            <family val="2"/>
          </rPr>
          <t>LPA:</t>
        </r>
        <r>
          <rPr>
            <sz val="9"/>
            <color indexed="81"/>
            <rFont val="Tahoma"/>
            <family val="2"/>
          </rPr>
          <t xml:space="preserve">
проверити збир!
</t>
        </r>
      </text>
    </comment>
    <comment ref="I6175" authorId="0">
      <text>
        <r>
          <rPr>
            <b/>
            <sz val="9"/>
            <color indexed="81"/>
            <rFont val="Tahoma"/>
            <family val="2"/>
          </rPr>
          <t>LPA:</t>
        </r>
        <r>
          <rPr>
            <sz val="9"/>
            <color indexed="81"/>
            <rFont val="Tahoma"/>
            <family val="2"/>
          </rPr>
          <t xml:space="preserve">
проверити збир!
</t>
        </r>
      </text>
    </comment>
    <comment ref="I6176" authorId="0">
      <text>
        <r>
          <rPr>
            <b/>
            <sz val="9"/>
            <color indexed="81"/>
            <rFont val="Tahoma"/>
            <family val="2"/>
          </rPr>
          <t>LPA:</t>
        </r>
        <r>
          <rPr>
            <sz val="9"/>
            <color indexed="81"/>
            <rFont val="Tahoma"/>
            <family val="2"/>
          </rPr>
          <t xml:space="preserve">
проверити збир!
</t>
        </r>
      </text>
    </comment>
    <comment ref="I6177" authorId="0">
      <text>
        <r>
          <rPr>
            <b/>
            <sz val="9"/>
            <color indexed="81"/>
            <rFont val="Tahoma"/>
            <family val="2"/>
          </rPr>
          <t>LPA:</t>
        </r>
        <r>
          <rPr>
            <sz val="9"/>
            <color indexed="81"/>
            <rFont val="Tahoma"/>
            <family val="2"/>
          </rPr>
          <t xml:space="preserve">
проверити збир!
</t>
        </r>
      </text>
    </comment>
    <comment ref="I6178" authorId="0">
      <text>
        <r>
          <rPr>
            <b/>
            <sz val="9"/>
            <color indexed="81"/>
            <rFont val="Tahoma"/>
            <family val="2"/>
          </rPr>
          <t>LPA:</t>
        </r>
        <r>
          <rPr>
            <sz val="9"/>
            <color indexed="81"/>
            <rFont val="Tahoma"/>
            <family val="2"/>
          </rPr>
          <t xml:space="preserve">
проверити збир!
</t>
        </r>
      </text>
    </comment>
    <comment ref="I6179" authorId="0">
      <text>
        <r>
          <rPr>
            <b/>
            <sz val="9"/>
            <color indexed="81"/>
            <rFont val="Tahoma"/>
            <family val="2"/>
          </rPr>
          <t>LPA:</t>
        </r>
        <r>
          <rPr>
            <sz val="9"/>
            <color indexed="81"/>
            <rFont val="Tahoma"/>
            <family val="2"/>
          </rPr>
          <t xml:space="preserve">
проверити збир!
</t>
        </r>
      </text>
    </comment>
    <comment ref="I6180" authorId="0">
      <text>
        <r>
          <rPr>
            <b/>
            <sz val="9"/>
            <color indexed="81"/>
            <rFont val="Tahoma"/>
            <family val="2"/>
          </rPr>
          <t>LPA:</t>
        </r>
        <r>
          <rPr>
            <sz val="9"/>
            <color indexed="81"/>
            <rFont val="Tahoma"/>
            <family val="2"/>
          </rPr>
          <t xml:space="preserve">
проверити збир!
</t>
        </r>
      </text>
    </comment>
    <comment ref="I6181" authorId="0">
      <text>
        <r>
          <rPr>
            <b/>
            <sz val="9"/>
            <color indexed="81"/>
            <rFont val="Tahoma"/>
            <family val="2"/>
          </rPr>
          <t>LPA:</t>
        </r>
        <r>
          <rPr>
            <sz val="9"/>
            <color indexed="81"/>
            <rFont val="Tahoma"/>
            <family val="2"/>
          </rPr>
          <t xml:space="preserve">
проверити збир!
</t>
        </r>
      </text>
    </comment>
    <comment ref="I6182" authorId="0">
      <text>
        <r>
          <rPr>
            <b/>
            <sz val="9"/>
            <color indexed="81"/>
            <rFont val="Tahoma"/>
            <family val="2"/>
          </rPr>
          <t>LPA:</t>
        </r>
        <r>
          <rPr>
            <sz val="9"/>
            <color indexed="81"/>
            <rFont val="Tahoma"/>
            <family val="2"/>
          </rPr>
          <t xml:space="preserve">
проверити збир!
</t>
        </r>
      </text>
    </comment>
    <comment ref="I6183" authorId="0">
      <text>
        <r>
          <rPr>
            <b/>
            <sz val="9"/>
            <color indexed="81"/>
            <rFont val="Tahoma"/>
            <family val="2"/>
          </rPr>
          <t>LPA:</t>
        </r>
        <r>
          <rPr>
            <sz val="9"/>
            <color indexed="81"/>
            <rFont val="Tahoma"/>
            <family val="2"/>
          </rPr>
          <t xml:space="preserve">
проверити збир!
</t>
        </r>
      </text>
    </comment>
    <comment ref="I6184" authorId="0">
      <text>
        <r>
          <rPr>
            <b/>
            <sz val="9"/>
            <color indexed="81"/>
            <rFont val="Tahoma"/>
            <family val="2"/>
          </rPr>
          <t>LPA:</t>
        </r>
        <r>
          <rPr>
            <sz val="9"/>
            <color indexed="81"/>
            <rFont val="Tahoma"/>
            <family val="2"/>
          </rPr>
          <t xml:space="preserve">
проверити збир!
</t>
        </r>
      </text>
    </comment>
    <comment ref="I6185" authorId="0">
      <text>
        <r>
          <rPr>
            <b/>
            <sz val="9"/>
            <color indexed="81"/>
            <rFont val="Tahoma"/>
            <family val="2"/>
          </rPr>
          <t>LPA:</t>
        </r>
        <r>
          <rPr>
            <sz val="9"/>
            <color indexed="81"/>
            <rFont val="Tahoma"/>
            <family val="2"/>
          </rPr>
          <t xml:space="preserve">
проверити збир!
</t>
        </r>
      </text>
    </comment>
    <comment ref="I6186" authorId="0">
      <text>
        <r>
          <rPr>
            <b/>
            <sz val="9"/>
            <color indexed="81"/>
            <rFont val="Tahoma"/>
            <family val="2"/>
          </rPr>
          <t>LPA:</t>
        </r>
        <r>
          <rPr>
            <sz val="9"/>
            <color indexed="81"/>
            <rFont val="Tahoma"/>
            <family val="2"/>
          </rPr>
          <t xml:space="preserve">
проверити збир!
</t>
        </r>
      </text>
    </comment>
    <comment ref="I6187" authorId="0">
      <text>
        <r>
          <rPr>
            <b/>
            <sz val="9"/>
            <color indexed="81"/>
            <rFont val="Tahoma"/>
            <family val="2"/>
          </rPr>
          <t>LPA:</t>
        </r>
        <r>
          <rPr>
            <sz val="9"/>
            <color indexed="81"/>
            <rFont val="Tahoma"/>
            <family val="2"/>
          </rPr>
          <t xml:space="preserve">
проверити збир!
</t>
        </r>
      </text>
    </comment>
    <comment ref="I6188" authorId="0">
      <text>
        <r>
          <rPr>
            <b/>
            <sz val="9"/>
            <color indexed="81"/>
            <rFont val="Tahoma"/>
            <family val="2"/>
          </rPr>
          <t>LPA:</t>
        </r>
        <r>
          <rPr>
            <sz val="9"/>
            <color indexed="81"/>
            <rFont val="Tahoma"/>
            <family val="2"/>
          </rPr>
          <t xml:space="preserve">
проверити збир!
</t>
        </r>
      </text>
    </comment>
    <comment ref="I6189" authorId="0">
      <text>
        <r>
          <rPr>
            <b/>
            <sz val="9"/>
            <color indexed="81"/>
            <rFont val="Tahoma"/>
            <family val="2"/>
          </rPr>
          <t>LPA:</t>
        </r>
        <r>
          <rPr>
            <sz val="9"/>
            <color indexed="81"/>
            <rFont val="Tahoma"/>
            <family val="2"/>
          </rPr>
          <t xml:space="preserve">
проверити збир!
</t>
        </r>
      </text>
    </comment>
    <comment ref="H6193" authorId="0">
      <text>
        <r>
          <rPr>
            <b/>
            <sz val="9"/>
            <color indexed="81"/>
            <rFont val="Tahoma"/>
            <family val="2"/>
          </rPr>
          <t>LPA:</t>
        </r>
        <r>
          <rPr>
            <sz val="9"/>
            <color indexed="81"/>
            <rFont val="Tahoma"/>
            <family val="2"/>
          </rPr>
          <t xml:space="preserve">
проверити збир!</t>
        </r>
      </text>
    </comment>
    <comment ref="I6193" authorId="0">
      <text>
        <r>
          <rPr>
            <b/>
            <sz val="9"/>
            <color indexed="81"/>
            <rFont val="Tahoma"/>
            <family val="2"/>
          </rPr>
          <t>LPA:</t>
        </r>
        <r>
          <rPr>
            <sz val="9"/>
            <color indexed="81"/>
            <rFont val="Tahoma"/>
            <family val="2"/>
          </rPr>
          <t xml:space="preserve">
проверити збир!
</t>
        </r>
      </text>
    </comment>
    <comment ref="I6194" authorId="0">
      <text>
        <r>
          <rPr>
            <b/>
            <sz val="9"/>
            <color indexed="81"/>
            <rFont val="Tahoma"/>
            <family val="2"/>
          </rPr>
          <t>LPA:</t>
        </r>
        <r>
          <rPr>
            <sz val="9"/>
            <color indexed="81"/>
            <rFont val="Tahoma"/>
            <family val="2"/>
          </rPr>
          <t xml:space="preserve">
проверити збир!
</t>
        </r>
      </text>
    </comment>
    <comment ref="I6195" authorId="0">
      <text>
        <r>
          <rPr>
            <b/>
            <sz val="9"/>
            <color indexed="81"/>
            <rFont val="Tahoma"/>
            <family val="2"/>
          </rPr>
          <t>LPA:</t>
        </r>
        <r>
          <rPr>
            <sz val="9"/>
            <color indexed="81"/>
            <rFont val="Tahoma"/>
            <family val="2"/>
          </rPr>
          <t xml:space="preserve">
проверити збир!
</t>
        </r>
      </text>
    </comment>
    <comment ref="I6196" authorId="0">
      <text>
        <r>
          <rPr>
            <b/>
            <sz val="9"/>
            <color indexed="81"/>
            <rFont val="Tahoma"/>
            <family val="2"/>
          </rPr>
          <t>LPA:</t>
        </r>
        <r>
          <rPr>
            <sz val="9"/>
            <color indexed="81"/>
            <rFont val="Tahoma"/>
            <family val="2"/>
          </rPr>
          <t xml:space="preserve">
проверити збир!
</t>
        </r>
      </text>
    </comment>
    <comment ref="I6197" authorId="0">
      <text>
        <r>
          <rPr>
            <b/>
            <sz val="9"/>
            <color indexed="81"/>
            <rFont val="Tahoma"/>
            <family val="2"/>
          </rPr>
          <t>LPA:</t>
        </r>
        <r>
          <rPr>
            <sz val="9"/>
            <color indexed="81"/>
            <rFont val="Tahoma"/>
            <family val="2"/>
          </rPr>
          <t xml:space="preserve">
проверити збир!
</t>
        </r>
      </text>
    </comment>
    <comment ref="I6198" authorId="0">
      <text>
        <r>
          <rPr>
            <b/>
            <sz val="9"/>
            <color indexed="81"/>
            <rFont val="Tahoma"/>
            <family val="2"/>
          </rPr>
          <t>LPA:</t>
        </r>
        <r>
          <rPr>
            <sz val="9"/>
            <color indexed="81"/>
            <rFont val="Tahoma"/>
            <family val="2"/>
          </rPr>
          <t xml:space="preserve">
проверити збир!
</t>
        </r>
      </text>
    </comment>
    <comment ref="I6199" authorId="0">
      <text>
        <r>
          <rPr>
            <b/>
            <sz val="9"/>
            <color indexed="81"/>
            <rFont val="Tahoma"/>
            <family val="2"/>
          </rPr>
          <t>LPA:</t>
        </r>
        <r>
          <rPr>
            <sz val="9"/>
            <color indexed="81"/>
            <rFont val="Tahoma"/>
            <family val="2"/>
          </rPr>
          <t xml:space="preserve">
проверити збир!
</t>
        </r>
      </text>
    </comment>
    <comment ref="I6200" authorId="0">
      <text>
        <r>
          <rPr>
            <b/>
            <sz val="9"/>
            <color indexed="81"/>
            <rFont val="Tahoma"/>
            <family val="2"/>
          </rPr>
          <t>LPA:</t>
        </r>
        <r>
          <rPr>
            <sz val="9"/>
            <color indexed="81"/>
            <rFont val="Tahoma"/>
            <family val="2"/>
          </rPr>
          <t xml:space="preserve">
проверити збир!
</t>
        </r>
      </text>
    </comment>
    <comment ref="I6201" authorId="0">
      <text>
        <r>
          <rPr>
            <b/>
            <sz val="9"/>
            <color indexed="81"/>
            <rFont val="Tahoma"/>
            <family val="2"/>
          </rPr>
          <t>LPA:</t>
        </r>
        <r>
          <rPr>
            <sz val="9"/>
            <color indexed="81"/>
            <rFont val="Tahoma"/>
            <family val="2"/>
          </rPr>
          <t xml:space="preserve">
проверити збир!
</t>
        </r>
      </text>
    </comment>
    <comment ref="I6202" authorId="0">
      <text>
        <r>
          <rPr>
            <b/>
            <sz val="9"/>
            <color indexed="81"/>
            <rFont val="Tahoma"/>
            <family val="2"/>
          </rPr>
          <t>LPA:</t>
        </r>
        <r>
          <rPr>
            <sz val="9"/>
            <color indexed="81"/>
            <rFont val="Tahoma"/>
            <family val="2"/>
          </rPr>
          <t xml:space="preserve">
проверити збир!
</t>
        </r>
      </text>
    </comment>
    <comment ref="I6203" authorId="0">
      <text>
        <r>
          <rPr>
            <b/>
            <sz val="9"/>
            <color indexed="81"/>
            <rFont val="Tahoma"/>
            <family val="2"/>
          </rPr>
          <t>LPA:</t>
        </r>
        <r>
          <rPr>
            <sz val="9"/>
            <color indexed="81"/>
            <rFont val="Tahoma"/>
            <family val="2"/>
          </rPr>
          <t xml:space="preserve">
проверити збир!
</t>
        </r>
      </text>
    </comment>
    <comment ref="I6204" authorId="0">
      <text>
        <r>
          <rPr>
            <b/>
            <sz val="9"/>
            <color indexed="81"/>
            <rFont val="Tahoma"/>
            <family val="2"/>
          </rPr>
          <t>LPA:</t>
        </r>
        <r>
          <rPr>
            <sz val="9"/>
            <color indexed="81"/>
            <rFont val="Tahoma"/>
            <family val="2"/>
          </rPr>
          <t xml:space="preserve">
проверити збир!
</t>
        </r>
      </text>
    </comment>
    <comment ref="I6205" authorId="0">
      <text>
        <r>
          <rPr>
            <b/>
            <sz val="9"/>
            <color indexed="81"/>
            <rFont val="Tahoma"/>
            <family val="2"/>
          </rPr>
          <t>LPA:</t>
        </r>
        <r>
          <rPr>
            <sz val="9"/>
            <color indexed="81"/>
            <rFont val="Tahoma"/>
            <family val="2"/>
          </rPr>
          <t xml:space="preserve">
проверити збир!
</t>
        </r>
      </text>
    </comment>
    <comment ref="I6206" authorId="0">
      <text>
        <r>
          <rPr>
            <b/>
            <sz val="9"/>
            <color indexed="81"/>
            <rFont val="Tahoma"/>
            <family val="2"/>
          </rPr>
          <t>LPA:</t>
        </r>
        <r>
          <rPr>
            <sz val="9"/>
            <color indexed="81"/>
            <rFont val="Tahoma"/>
            <family val="2"/>
          </rPr>
          <t xml:space="preserve">
проверити збир!
</t>
        </r>
      </text>
    </comment>
    <comment ref="I6207" authorId="0">
      <text>
        <r>
          <rPr>
            <b/>
            <sz val="9"/>
            <color indexed="81"/>
            <rFont val="Tahoma"/>
            <family val="2"/>
          </rPr>
          <t>LPA:</t>
        </r>
        <r>
          <rPr>
            <sz val="9"/>
            <color indexed="81"/>
            <rFont val="Tahoma"/>
            <family val="2"/>
          </rPr>
          <t xml:space="preserve">
проверити збир!
</t>
        </r>
      </text>
    </comment>
    <comment ref="I6208" authorId="0">
      <text>
        <r>
          <rPr>
            <b/>
            <sz val="9"/>
            <color indexed="81"/>
            <rFont val="Tahoma"/>
            <family val="2"/>
          </rPr>
          <t>LPA:</t>
        </r>
        <r>
          <rPr>
            <sz val="9"/>
            <color indexed="81"/>
            <rFont val="Tahoma"/>
            <family val="2"/>
          </rPr>
          <t xml:space="preserve">
проверити збир!
</t>
        </r>
      </text>
    </comment>
    <comment ref="I6280" authorId="0">
      <text>
        <r>
          <rPr>
            <b/>
            <sz val="9"/>
            <color indexed="81"/>
            <rFont val="Tahoma"/>
            <family val="2"/>
          </rPr>
          <t>LPA:</t>
        </r>
        <r>
          <rPr>
            <sz val="9"/>
            <color indexed="81"/>
            <rFont val="Tahoma"/>
            <family val="2"/>
          </rPr>
          <t xml:space="preserve">
проверити збир!
</t>
        </r>
      </text>
    </comment>
    <comment ref="I6281" authorId="0">
      <text>
        <r>
          <rPr>
            <b/>
            <sz val="9"/>
            <color indexed="81"/>
            <rFont val="Tahoma"/>
            <family val="2"/>
          </rPr>
          <t>LPA:</t>
        </r>
        <r>
          <rPr>
            <sz val="9"/>
            <color indexed="81"/>
            <rFont val="Tahoma"/>
            <family val="2"/>
          </rPr>
          <t xml:space="preserve">
проверити збир!
</t>
        </r>
      </text>
    </comment>
    <comment ref="I6282" authorId="0">
      <text>
        <r>
          <rPr>
            <b/>
            <sz val="9"/>
            <color indexed="81"/>
            <rFont val="Tahoma"/>
            <family val="2"/>
          </rPr>
          <t>LPA:</t>
        </r>
        <r>
          <rPr>
            <sz val="9"/>
            <color indexed="81"/>
            <rFont val="Tahoma"/>
            <family val="2"/>
          </rPr>
          <t xml:space="preserve">
проверити збир!
</t>
        </r>
      </text>
    </comment>
    <comment ref="I6283" authorId="0">
      <text>
        <r>
          <rPr>
            <b/>
            <sz val="9"/>
            <color indexed="81"/>
            <rFont val="Tahoma"/>
            <family val="2"/>
          </rPr>
          <t>LPA:</t>
        </r>
        <r>
          <rPr>
            <sz val="9"/>
            <color indexed="81"/>
            <rFont val="Tahoma"/>
            <family val="2"/>
          </rPr>
          <t xml:space="preserve">
проверити збир!
</t>
        </r>
      </text>
    </comment>
    <comment ref="I6284" authorId="0">
      <text>
        <r>
          <rPr>
            <b/>
            <sz val="9"/>
            <color indexed="81"/>
            <rFont val="Tahoma"/>
            <family val="2"/>
          </rPr>
          <t>LPA:</t>
        </r>
        <r>
          <rPr>
            <sz val="9"/>
            <color indexed="81"/>
            <rFont val="Tahoma"/>
            <family val="2"/>
          </rPr>
          <t xml:space="preserve">
проверити збир!
</t>
        </r>
      </text>
    </comment>
    <comment ref="I6285" authorId="0">
      <text>
        <r>
          <rPr>
            <b/>
            <sz val="9"/>
            <color indexed="81"/>
            <rFont val="Tahoma"/>
            <family val="2"/>
          </rPr>
          <t>LPA:</t>
        </r>
        <r>
          <rPr>
            <sz val="9"/>
            <color indexed="81"/>
            <rFont val="Tahoma"/>
            <family val="2"/>
          </rPr>
          <t xml:space="preserve">
проверити збир!
</t>
        </r>
      </text>
    </comment>
    <comment ref="I6286" authorId="0">
      <text>
        <r>
          <rPr>
            <b/>
            <sz val="9"/>
            <color indexed="81"/>
            <rFont val="Tahoma"/>
            <family val="2"/>
          </rPr>
          <t>LPA:</t>
        </r>
        <r>
          <rPr>
            <sz val="9"/>
            <color indexed="81"/>
            <rFont val="Tahoma"/>
            <family val="2"/>
          </rPr>
          <t xml:space="preserve">
проверити збир!
</t>
        </r>
      </text>
    </comment>
    <comment ref="I6287" authorId="0">
      <text>
        <r>
          <rPr>
            <b/>
            <sz val="9"/>
            <color indexed="81"/>
            <rFont val="Tahoma"/>
            <family val="2"/>
          </rPr>
          <t>LPA:</t>
        </r>
        <r>
          <rPr>
            <sz val="9"/>
            <color indexed="81"/>
            <rFont val="Tahoma"/>
            <family val="2"/>
          </rPr>
          <t xml:space="preserve">
проверити збир!
</t>
        </r>
      </text>
    </comment>
    <comment ref="I6288" authorId="0">
      <text>
        <r>
          <rPr>
            <b/>
            <sz val="9"/>
            <color indexed="81"/>
            <rFont val="Tahoma"/>
            <family val="2"/>
          </rPr>
          <t>LPA:</t>
        </r>
        <r>
          <rPr>
            <sz val="9"/>
            <color indexed="81"/>
            <rFont val="Tahoma"/>
            <family val="2"/>
          </rPr>
          <t xml:space="preserve">
проверити збир!
</t>
        </r>
      </text>
    </comment>
    <comment ref="I6289" authorId="0">
      <text>
        <r>
          <rPr>
            <b/>
            <sz val="9"/>
            <color indexed="81"/>
            <rFont val="Tahoma"/>
            <family val="2"/>
          </rPr>
          <t>LPA:</t>
        </r>
        <r>
          <rPr>
            <sz val="9"/>
            <color indexed="81"/>
            <rFont val="Tahoma"/>
            <family val="2"/>
          </rPr>
          <t xml:space="preserve">
проверити збир!
</t>
        </r>
      </text>
    </comment>
    <comment ref="I6290" authorId="0">
      <text>
        <r>
          <rPr>
            <b/>
            <sz val="9"/>
            <color indexed="81"/>
            <rFont val="Tahoma"/>
            <family val="2"/>
          </rPr>
          <t>LPA:</t>
        </r>
        <r>
          <rPr>
            <sz val="9"/>
            <color indexed="81"/>
            <rFont val="Tahoma"/>
            <family val="2"/>
          </rPr>
          <t xml:space="preserve">
проверити збир!
</t>
        </r>
      </text>
    </comment>
    <comment ref="I6291" authorId="0">
      <text>
        <r>
          <rPr>
            <b/>
            <sz val="9"/>
            <color indexed="81"/>
            <rFont val="Tahoma"/>
            <family val="2"/>
          </rPr>
          <t>LPA:</t>
        </r>
        <r>
          <rPr>
            <sz val="9"/>
            <color indexed="81"/>
            <rFont val="Tahoma"/>
            <family val="2"/>
          </rPr>
          <t xml:space="preserve">
проверити збир!
</t>
        </r>
      </text>
    </comment>
    <comment ref="I6292" authorId="0">
      <text>
        <r>
          <rPr>
            <b/>
            <sz val="9"/>
            <color indexed="81"/>
            <rFont val="Tahoma"/>
            <family val="2"/>
          </rPr>
          <t>LPA:</t>
        </r>
        <r>
          <rPr>
            <sz val="9"/>
            <color indexed="81"/>
            <rFont val="Tahoma"/>
            <family val="2"/>
          </rPr>
          <t xml:space="preserve">
проверити збир!
</t>
        </r>
      </text>
    </comment>
    <comment ref="H6295" authorId="0">
      <text>
        <r>
          <rPr>
            <b/>
            <sz val="9"/>
            <color indexed="81"/>
            <rFont val="Tahoma"/>
            <family val="2"/>
          </rPr>
          <t>LPA:</t>
        </r>
        <r>
          <rPr>
            <sz val="9"/>
            <color indexed="81"/>
            <rFont val="Tahoma"/>
            <family val="2"/>
          </rPr>
          <t xml:space="preserve">
проверити збир!</t>
        </r>
      </text>
    </comment>
    <comment ref="I6295" authorId="0">
      <text>
        <r>
          <rPr>
            <b/>
            <sz val="9"/>
            <color indexed="81"/>
            <rFont val="Tahoma"/>
            <family val="2"/>
          </rPr>
          <t>LPA:</t>
        </r>
        <r>
          <rPr>
            <sz val="9"/>
            <color indexed="81"/>
            <rFont val="Tahoma"/>
            <family val="2"/>
          </rPr>
          <t xml:space="preserve">
проверити збир!</t>
        </r>
      </text>
    </comment>
    <comment ref="I6296" authorId="0">
      <text>
        <r>
          <rPr>
            <b/>
            <sz val="9"/>
            <color indexed="81"/>
            <rFont val="Tahoma"/>
            <family val="2"/>
          </rPr>
          <t>LPA:</t>
        </r>
        <r>
          <rPr>
            <sz val="9"/>
            <color indexed="81"/>
            <rFont val="Tahoma"/>
            <family val="2"/>
          </rPr>
          <t xml:space="preserve">
проверити збир!
</t>
        </r>
      </text>
    </comment>
    <comment ref="I6297" authorId="0">
      <text>
        <r>
          <rPr>
            <b/>
            <sz val="9"/>
            <color indexed="81"/>
            <rFont val="Tahoma"/>
            <family val="2"/>
          </rPr>
          <t>LPA:</t>
        </r>
        <r>
          <rPr>
            <sz val="9"/>
            <color indexed="81"/>
            <rFont val="Tahoma"/>
            <family val="2"/>
          </rPr>
          <t xml:space="preserve">
проверити збир!
</t>
        </r>
      </text>
    </comment>
    <comment ref="I6298" authorId="0">
      <text>
        <r>
          <rPr>
            <b/>
            <sz val="9"/>
            <color indexed="81"/>
            <rFont val="Tahoma"/>
            <family val="2"/>
          </rPr>
          <t>LPA:</t>
        </r>
        <r>
          <rPr>
            <sz val="9"/>
            <color indexed="81"/>
            <rFont val="Tahoma"/>
            <family val="2"/>
          </rPr>
          <t xml:space="preserve">
проверити збир!
</t>
        </r>
      </text>
    </comment>
    <comment ref="I6299" authorId="0">
      <text>
        <r>
          <rPr>
            <b/>
            <sz val="9"/>
            <color indexed="81"/>
            <rFont val="Tahoma"/>
            <family val="2"/>
          </rPr>
          <t>LPA:</t>
        </r>
        <r>
          <rPr>
            <sz val="9"/>
            <color indexed="81"/>
            <rFont val="Tahoma"/>
            <family val="2"/>
          </rPr>
          <t xml:space="preserve">
проверити збир!
</t>
        </r>
      </text>
    </comment>
    <comment ref="I6300" authorId="0">
      <text>
        <r>
          <rPr>
            <b/>
            <sz val="9"/>
            <color indexed="81"/>
            <rFont val="Tahoma"/>
            <family val="2"/>
          </rPr>
          <t>LPA:</t>
        </r>
        <r>
          <rPr>
            <sz val="9"/>
            <color indexed="81"/>
            <rFont val="Tahoma"/>
            <family val="2"/>
          </rPr>
          <t xml:space="preserve">
проверити збир!
</t>
        </r>
      </text>
    </comment>
    <comment ref="I6301" authorId="0">
      <text>
        <r>
          <rPr>
            <b/>
            <sz val="9"/>
            <color indexed="81"/>
            <rFont val="Tahoma"/>
            <family val="2"/>
          </rPr>
          <t>LPA:</t>
        </r>
        <r>
          <rPr>
            <sz val="9"/>
            <color indexed="81"/>
            <rFont val="Tahoma"/>
            <family val="2"/>
          </rPr>
          <t xml:space="preserve">
проверити збир!
</t>
        </r>
      </text>
    </comment>
    <comment ref="I6302" authorId="0">
      <text>
        <r>
          <rPr>
            <b/>
            <sz val="9"/>
            <color indexed="81"/>
            <rFont val="Tahoma"/>
            <family val="2"/>
          </rPr>
          <t>LPA:</t>
        </r>
        <r>
          <rPr>
            <sz val="9"/>
            <color indexed="81"/>
            <rFont val="Tahoma"/>
            <family val="2"/>
          </rPr>
          <t xml:space="preserve">
проверити збир!
</t>
        </r>
      </text>
    </comment>
    <comment ref="I6303" authorId="0">
      <text>
        <r>
          <rPr>
            <b/>
            <sz val="9"/>
            <color indexed="81"/>
            <rFont val="Tahoma"/>
            <family val="2"/>
          </rPr>
          <t>LPA:</t>
        </r>
        <r>
          <rPr>
            <sz val="9"/>
            <color indexed="81"/>
            <rFont val="Tahoma"/>
            <family val="2"/>
          </rPr>
          <t xml:space="preserve">
проверити збир!
</t>
        </r>
      </text>
    </comment>
    <comment ref="I6304" authorId="0">
      <text>
        <r>
          <rPr>
            <b/>
            <sz val="9"/>
            <color indexed="81"/>
            <rFont val="Tahoma"/>
            <family val="2"/>
          </rPr>
          <t>LPA:</t>
        </r>
        <r>
          <rPr>
            <sz val="9"/>
            <color indexed="81"/>
            <rFont val="Tahoma"/>
            <family val="2"/>
          </rPr>
          <t xml:space="preserve">
проверити збир!
</t>
        </r>
      </text>
    </comment>
    <comment ref="I6305" authorId="0">
      <text>
        <r>
          <rPr>
            <b/>
            <sz val="9"/>
            <color indexed="81"/>
            <rFont val="Tahoma"/>
            <family val="2"/>
          </rPr>
          <t>LPA:</t>
        </r>
        <r>
          <rPr>
            <sz val="9"/>
            <color indexed="81"/>
            <rFont val="Tahoma"/>
            <family val="2"/>
          </rPr>
          <t xml:space="preserve">
проверити збир!
</t>
        </r>
      </text>
    </comment>
    <comment ref="I6306" authorId="0">
      <text>
        <r>
          <rPr>
            <b/>
            <sz val="9"/>
            <color indexed="81"/>
            <rFont val="Tahoma"/>
            <family val="2"/>
          </rPr>
          <t>LPA:</t>
        </r>
        <r>
          <rPr>
            <sz val="9"/>
            <color indexed="81"/>
            <rFont val="Tahoma"/>
            <family val="2"/>
          </rPr>
          <t xml:space="preserve">
проверити збир!
</t>
        </r>
      </text>
    </comment>
    <comment ref="I6307" authorId="0">
      <text>
        <r>
          <rPr>
            <b/>
            <sz val="9"/>
            <color indexed="81"/>
            <rFont val="Tahoma"/>
            <family val="2"/>
          </rPr>
          <t>LPA:</t>
        </r>
        <r>
          <rPr>
            <sz val="9"/>
            <color indexed="81"/>
            <rFont val="Tahoma"/>
            <family val="2"/>
          </rPr>
          <t xml:space="preserve">
проверити збир!
</t>
        </r>
      </text>
    </comment>
    <comment ref="I6308" authorId="0">
      <text>
        <r>
          <rPr>
            <b/>
            <sz val="9"/>
            <color indexed="81"/>
            <rFont val="Tahoma"/>
            <family val="2"/>
          </rPr>
          <t>LPA:</t>
        </r>
        <r>
          <rPr>
            <sz val="9"/>
            <color indexed="81"/>
            <rFont val="Tahoma"/>
            <family val="2"/>
          </rPr>
          <t xml:space="preserve">
проверити збир!
</t>
        </r>
      </text>
    </comment>
    <comment ref="I6309" authorId="0">
      <text>
        <r>
          <rPr>
            <b/>
            <sz val="9"/>
            <color indexed="81"/>
            <rFont val="Tahoma"/>
            <family val="2"/>
          </rPr>
          <t>LPA:</t>
        </r>
        <r>
          <rPr>
            <sz val="9"/>
            <color indexed="81"/>
            <rFont val="Tahoma"/>
            <family val="2"/>
          </rPr>
          <t xml:space="preserve">
проверити збир!
</t>
        </r>
      </text>
    </comment>
    <comment ref="I6310" authorId="0">
      <text>
        <r>
          <rPr>
            <b/>
            <sz val="9"/>
            <color indexed="81"/>
            <rFont val="Tahoma"/>
            <family val="2"/>
          </rPr>
          <t>LPA:</t>
        </r>
        <r>
          <rPr>
            <sz val="9"/>
            <color indexed="81"/>
            <rFont val="Tahoma"/>
            <family val="2"/>
          </rPr>
          <t xml:space="preserve">
проверити збир!
</t>
        </r>
      </text>
    </comment>
    <comment ref="I6379" authorId="0">
      <text>
        <r>
          <rPr>
            <b/>
            <sz val="9"/>
            <color indexed="81"/>
            <rFont val="Tahoma"/>
            <family val="2"/>
          </rPr>
          <t>LPA:</t>
        </r>
        <r>
          <rPr>
            <sz val="9"/>
            <color indexed="81"/>
            <rFont val="Tahoma"/>
            <family val="2"/>
          </rPr>
          <t xml:space="preserve">
проверити збир!
</t>
        </r>
      </text>
    </comment>
    <comment ref="I6380" authorId="0">
      <text>
        <r>
          <rPr>
            <b/>
            <sz val="9"/>
            <color indexed="81"/>
            <rFont val="Tahoma"/>
            <family val="2"/>
          </rPr>
          <t>LPA:</t>
        </r>
        <r>
          <rPr>
            <sz val="9"/>
            <color indexed="81"/>
            <rFont val="Tahoma"/>
            <family val="2"/>
          </rPr>
          <t xml:space="preserve">
проверити збир!
</t>
        </r>
      </text>
    </comment>
    <comment ref="I6381" authorId="0">
      <text>
        <r>
          <rPr>
            <b/>
            <sz val="9"/>
            <color indexed="81"/>
            <rFont val="Tahoma"/>
            <family val="2"/>
          </rPr>
          <t>LPA:</t>
        </r>
        <r>
          <rPr>
            <sz val="9"/>
            <color indexed="81"/>
            <rFont val="Tahoma"/>
            <family val="2"/>
          </rPr>
          <t xml:space="preserve">
проверити збир!
</t>
        </r>
      </text>
    </comment>
    <comment ref="I6382" authorId="0">
      <text>
        <r>
          <rPr>
            <b/>
            <sz val="9"/>
            <color indexed="81"/>
            <rFont val="Tahoma"/>
            <family val="2"/>
          </rPr>
          <t>LPA:</t>
        </r>
        <r>
          <rPr>
            <sz val="9"/>
            <color indexed="81"/>
            <rFont val="Tahoma"/>
            <family val="2"/>
          </rPr>
          <t xml:space="preserve">
проверити збир!
</t>
        </r>
      </text>
    </comment>
    <comment ref="I6383" authorId="0">
      <text>
        <r>
          <rPr>
            <b/>
            <sz val="9"/>
            <color indexed="81"/>
            <rFont val="Tahoma"/>
            <family val="2"/>
          </rPr>
          <t>LPA:</t>
        </r>
        <r>
          <rPr>
            <sz val="9"/>
            <color indexed="81"/>
            <rFont val="Tahoma"/>
            <family val="2"/>
          </rPr>
          <t xml:space="preserve">
проверити збир!
</t>
        </r>
      </text>
    </comment>
    <comment ref="I6384" authorId="0">
      <text>
        <r>
          <rPr>
            <b/>
            <sz val="9"/>
            <color indexed="81"/>
            <rFont val="Tahoma"/>
            <family val="2"/>
          </rPr>
          <t>LPA:</t>
        </r>
        <r>
          <rPr>
            <sz val="9"/>
            <color indexed="81"/>
            <rFont val="Tahoma"/>
            <family val="2"/>
          </rPr>
          <t xml:space="preserve">
проверити збир!
</t>
        </r>
      </text>
    </comment>
    <comment ref="I6385" authorId="0">
      <text>
        <r>
          <rPr>
            <b/>
            <sz val="9"/>
            <color indexed="81"/>
            <rFont val="Tahoma"/>
            <family val="2"/>
          </rPr>
          <t>LPA:</t>
        </r>
        <r>
          <rPr>
            <sz val="9"/>
            <color indexed="81"/>
            <rFont val="Tahoma"/>
            <family val="2"/>
          </rPr>
          <t xml:space="preserve">
проверити збир!
</t>
        </r>
      </text>
    </comment>
    <comment ref="I6386" authorId="0">
      <text>
        <r>
          <rPr>
            <b/>
            <sz val="9"/>
            <color indexed="81"/>
            <rFont val="Tahoma"/>
            <family val="2"/>
          </rPr>
          <t>LPA:</t>
        </r>
        <r>
          <rPr>
            <sz val="9"/>
            <color indexed="81"/>
            <rFont val="Tahoma"/>
            <family val="2"/>
          </rPr>
          <t xml:space="preserve">
проверити збир!
</t>
        </r>
      </text>
    </comment>
    <comment ref="I6387" authorId="0">
      <text>
        <r>
          <rPr>
            <b/>
            <sz val="9"/>
            <color indexed="81"/>
            <rFont val="Tahoma"/>
            <family val="2"/>
          </rPr>
          <t>LPA:</t>
        </r>
        <r>
          <rPr>
            <sz val="9"/>
            <color indexed="81"/>
            <rFont val="Tahoma"/>
            <family val="2"/>
          </rPr>
          <t xml:space="preserve">
проверити збир!
</t>
        </r>
      </text>
    </comment>
    <comment ref="I6388" authorId="0">
      <text>
        <r>
          <rPr>
            <b/>
            <sz val="9"/>
            <color indexed="81"/>
            <rFont val="Tahoma"/>
            <family val="2"/>
          </rPr>
          <t>LPA:</t>
        </r>
        <r>
          <rPr>
            <sz val="9"/>
            <color indexed="81"/>
            <rFont val="Tahoma"/>
            <family val="2"/>
          </rPr>
          <t xml:space="preserve">
проверити збир!
</t>
        </r>
      </text>
    </comment>
    <comment ref="I6389" authorId="0">
      <text>
        <r>
          <rPr>
            <b/>
            <sz val="9"/>
            <color indexed="81"/>
            <rFont val="Tahoma"/>
            <family val="2"/>
          </rPr>
          <t>LPA:</t>
        </r>
        <r>
          <rPr>
            <sz val="9"/>
            <color indexed="81"/>
            <rFont val="Tahoma"/>
            <family val="2"/>
          </rPr>
          <t xml:space="preserve">
проверити збир!
</t>
        </r>
      </text>
    </comment>
    <comment ref="I6390" authorId="0">
      <text>
        <r>
          <rPr>
            <b/>
            <sz val="9"/>
            <color indexed="81"/>
            <rFont val="Tahoma"/>
            <family val="2"/>
          </rPr>
          <t>LPA:</t>
        </r>
        <r>
          <rPr>
            <sz val="9"/>
            <color indexed="81"/>
            <rFont val="Tahoma"/>
            <family val="2"/>
          </rPr>
          <t xml:space="preserve">
проверити збир!
</t>
        </r>
      </text>
    </comment>
    <comment ref="I6391" authorId="0">
      <text>
        <r>
          <rPr>
            <b/>
            <sz val="9"/>
            <color indexed="81"/>
            <rFont val="Tahoma"/>
            <family val="2"/>
          </rPr>
          <t>LPA:</t>
        </r>
        <r>
          <rPr>
            <sz val="9"/>
            <color indexed="81"/>
            <rFont val="Tahoma"/>
            <family val="2"/>
          </rPr>
          <t xml:space="preserve">
проверити збир!
</t>
        </r>
      </text>
    </comment>
    <comment ref="H6394" authorId="0">
      <text>
        <r>
          <rPr>
            <b/>
            <sz val="9"/>
            <color indexed="81"/>
            <rFont val="Tahoma"/>
            <family val="2"/>
          </rPr>
          <t>LPA:</t>
        </r>
        <r>
          <rPr>
            <sz val="9"/>
            <color indexed="81"/>
            <rFont val="Tahoma"/>
            <family val="2"/>
          </rPr>
          <t xml:space="preserve">
проверити збир!</t>
        </r>
      </text>
    </comment>
    <comment ref="I6394" authorId="0">
      <text>
        <r>
          <rPr>
            <b/>
            <sz val="9"/>
            <color indexed="81"/>
            <rFont val="Tahoma"/>
            <family val="2"/>
          </rPr>
          <t>LPA:</t>
        </r>
        <r>
          <rPr>
            <sz val="9"/>
            <color indexed="81"/>
            <rFont val="Tahoma"/>
            <family val="2"/>
          </rPr>
          <t xml:space="preserve">
проверити збир!</t>
        </r>
      </text>
    </comment>
    <comment ref="I6395" authorId="0">
      <text>
        <r>
          <rPr>
            <b/>
            <sz val="9"/>
            <color indexed="81"/>
            <rFont val="Tahoma"/>
            <family val="2"/>
          </rPr>
          <t>LPA:</t>
        </r>
        <r>
          <rPr>
            <sz val="9"/>
            <color indexed="81"/>
            <rFont val="Tahoma"/>
            <family val="2"/>
          </rPr>
          <t xml:space="preserve">
проверити збир!
</t>
        </r>
      </text>
    </comment>
    <comment ref="I6396" authorId="0">
      <text>
        <r>
          <rPr>
            <b/>
            <sz val="9"/>
            <color indexed="81"/>
            <rFont val="Tahoma"/>
            <family val="2"/>
          </rPr>
          <t>LPA:</t>
        </r>
        <r>
          <rPr>
            <sz val="9"/>
            <color indexed="81"/>
            <rFont val="Tahoma"/>
            <family val="2"/>
          </rPr>
          <t xml:space="preserve">
проверити збир!
</t>
        </r>
      </text>
    </comment>
    <comment ref="I6397" authorId="0">
      <text>
        <r>
          <rPr>
            <b/>
            <sz val="9"/>
            <color indexed="81"/>
            <rFont val="Tahoma"/>
            <family val="2"/>
          </rPr>
          <t>LPA:</t>
        </r>
        <r>
          <rPr>
            <sz val="9"/>
            <color indexed="81"/>
            <rFont val="Tahoma"/>
            <family val="2"/>
          </rPr>
          <t xml:space="preserve">
проверити збир!
</t>
        </r>
      </text>
    </comment>
    <comment ref="I6398" authorId="0">
      <text>
        <r>
          <rPr>
            <b/>
            <sz val="9"/>
            <color indexed="81"/>
            <rFont val="Tahoma"/>
            <family val="2"/>
          </rPr>
          <t>LPA:</t>
        </r>
        <r>
          <rPr>
            <sz val="9"/>
            <color indexed="81"/>
            <rFont val="Tahoma"/>
            <family val="2"/>
          </rPr>
          <t xml:space="preserve">
проверити збир!
</t>
        </r>
      </text>
    </comment>
    <comment ref="I6399" authorId="0">
      <text>
        <r>
          <rPr>
            <b/>
            <sz val="9"/>
            <color indexed="81"/>
            <rFont val="Tahoma"/>
            <family val="2"/>
          </rPr>
          <t>LPA:</t>
        </r>
        <r>
          <rPr>
            <sz val="9"/>
            <color indexed="81"/>
            <rFont val="Tahoma"/>
            <family val="2"/>
          </rPr>
          <t xml:space="preserve">
проверити збир!
</t>
        </r>
      </text>
    </comment>
    <comment ref="I6400" authorId="0">
      <text>
        <r>
          <rPr>
            <b/>
            <sz val="9"/>
            <color indexed="81"/>
            <rFont val="Tahoma"/>
            <family val="2"/>
          </rPr>
          <t>LPA:</t>
        </r>
        <r>
          <rPr>
            <sz val="9"/>
            <color indexed="81"/>
            <rFont val="Tahoma"/>
            <family val="2"/>
          </rPr>
          <t xml:space="preserve">
проверити збир!
</t>
        </r>
      </text>
    </comment>
    <comment ref="I6401" authorId="0">
      <text>
        <r>
          <rPr>
            <b/>
            <sz val="9"/>
            <color indexed="81"/>
            <rFont val="Tahoma"/>
            <family val="2"/>
          </rPr>
          <t>LPA:</t>
        </r>
        <r>
          <rPr>
            <sz val="9"/>
            <color indexed="81"/>
            <rFont val="Tahoma"/>
            <family val="2"/>
          </rPr>
          <t xml:space="preserve">
проверити збир!
</t>
        </r>
      </text>
    </comment>
    <comment ref="I6402" authorId="0">
      <text>
        <r>
          <rPr>
            <b/>
            <sz val="9"/>
            <color indexed="81"/>
            <rFont val="Tahoma"/>
            <family val="2"/>
          </rPr>
          <t>LPA:</t>
        </r>
        <r>
          <rPr>
            <sz val="9"/>
            <color indexed="81"/>
            <rFont val="Tahoma"/>
            <family val="2"/>
          </rPr>
          <t xml:space="preserve">
проверити збир!
</t>
        </r>
      </text>
    </comment>
    <comment ref="I6403" authorId="0">
      <text>
        <r>
          <rPr>
            <b/>
            <sz val="9"/>
            <color indexed="81"/>
            <rFont val="Tahoma"/>
            <family val="2"/>
          </rPr>
          <t>LPA:</t>
        </r>
        <r>
          <rPr>
            <sz val="9"/>
            <color indexed="81"/>
            <rFont val="Tahoma"/>
            <family val="2"/>
          </rPr>
          <t xml:space="preserve">
проверити збир!
</t>
        </r>
      </text>
    </comment>
    <comment ref="I6404" authorId="0">
      <text>
        <r>
          <rPr>
            <b/>
            <sz val="9"/>
            <color indexed="81"/>
            <rFont val="Tahoma"/>
            <family val="2"/>
          </rPr>
          <t>LPA:</t>
        </r>
        <r>
          <rPr>
            <sz val="9"/>
            <color indexed="81"/>
            <rFont val="Tahoma"/>
            <family val="2"/>
          </rPr>
          <t xml:space="preserve">
проверити збир!
</t>
        </r>
      </text>
    </comment>
    <comment ref="I6405" authorId="0">
      <text>
        <r>
          <rPr>
            <b/>
            <sz val="9"/>
            <color indexed="81"/>
            <rFont val="Tahoma"/>
            <family val="2"/>
          </rPr>
          <t>LPA:</t>
        </r>
        <r>
          <rPr>
            <sz val="9"/>
            <color indexed="81"/>
            <rFont val="Tahoma"/>
            <family val="2"/>
          </rPr>
          <t xml:space="preserve">
проверити збир!
</t>
        </r>
      </text>
    </comment>
    <comment ref="I6406" authorId="0">
      <text>
        <r>
          <rPr>
            <b/>
            <sz val="9"/>
            <color indexed="81"/>
            <rFont val="Tahoma"/>
            <family val="2"/>
          </rPr>
          <t>LPA:</t>
        </r>
        <r>
          <rPr>
            <sz val="9"/>
            <color indexed="81"/>
            <rFont val="Tahoma"/>
            <family val="2"/>
          </rPr>
          <t xml:space="preserve">
проверити збир!
</t>
        </r>
      </text>
    </comment>
    <comment ref="I6407" authorId="0">
      <text>
        <r>
          <rPr>
            <b/>
            <sz val="9"/>
            <color indexed="81"/>
            <rFont val="Tahoma"/>
            <family val="2"/>
          </rPr>
          <t>LPA:</t>
        </r>
        <r>
          <rPr>
            <sz val="9"/>
            <color indexed="81"/>
            <rFont val="Tahoma"/>
            <family val="2"/>
          </rPr>
          <t xml:space="preserve">
проверити збир!
</t>
        </r>
      </text>
    </comment>
    <comment ref="I6408" authorId="0">
      <text>
        <r>
          <rPr>
            <b/>
            <sz val="9"/>
            <color indexed="81"/>
            <rFont val="Tahoma"/>
            <family val="2"/>
          </rPr>
          <t>LPA:</t>
        </r>
        <r>
          <rPr>
            <sz val="9"/>
            <color indexed="81"/>
            <rFont val="Tahoma"/>
            <family val="2"/>
          </rPr>
          <t xml:space="preserve">
проверити збир!
</t>
        </r>
      </text>
    </comment>
    <comment ref="I6409" authorId="0">
      <text>
        <r>
          <rPr>
            <b/>
            <sz val="9"/>
            <color indexed="81"/>
            <rFont val="Tahoma"/>
            <family val="2"/>
          </rPr>
          <t>LPA:</t>
        </r>
        <r>
          <rPr>
            <sz val="9"/>
            <color indexed="81"/>
            <rFont val="Tahoma"/>
            <family val="2"/>
          </rPr>
          <t xml:space="preserve">
проверити збир!
</t>
        </r>
      </text>
    </comment>
    <comment ref="I6478" authorId="0">
      <text>
        <r>
          <rPr>
            <b/>
            <sz val="9"/>
            <color indexed="81"/>
            <rFont val="Tahoma"/>
            <family val="2"/>
          </rPr>
          <t>LPA:</t>
        </r>
        <r>
          <rPr>
            <sz val="9"/>
            <color indexed="81"/>
            <rFont val="Tahoma"/>
            <family val="2"/>
          </rPr>
          <t xml:space="preserve">
проверити збир!
</t>
        </r>
      </text>
    </comment>
    <comment ref="I6479" authorId="0">
      <text>
        <r>
          <rPr>
            <b/>
            <sz val="9"/>
            <color indexed="81"/>
            <rFont val="Tahoma"/>
            <family val="2"/>
          </rPr>
          <t>LPA:</t>
        </r>
        <r>
          <rPr>
            <sz val="9"/>
            <color indexed="81"/>
            <rFont val="Tahoma"/>
            <family val="2"/>
          </rPr>
          <t xml:space="preserve">
проверити збир!
</t>
        </r>
      </text>
    </comment>
    <comment ref="I6480" authorId="0">
      <text>
        <r>
          <rPr>
            <b/>
            <sz val="9"/>
            <color indexed="81"/>
            <rFont val="Tahoma"/>
            <family val="2"/>
          </rPr>
          <t>LPA:</t>
        </r>
        <r>
          <rPr>
            <sz val="9"/>
            <color indexed="81"/>
            <rFont val="Tahoma"/>
            <family val="2"/>
          </rPr>
          <t xml:space="preserve">
проверити збир!
</t>
        </r>
      </text>
    </comment>
    <comment ref="I6481" authorId="0">
      <text>
        <r>
          <rPr>
            <b/>
            <sz val="9"/>
            <color indexed="81"/>
            <rFont val="Tahoma"/>
            <family val="2"/>
          </rPr>
          <t>LPA:</t>
        </r>
        <r>
          <rPr>
            <sz val="9"/>
            <color indexed="81"/>
            <rFont val="Tahoma"/>
            <family val="2"/>
          </rPr>
          <t xml:space="preserve">
проверити збир!
</t>
        </r>
      </text>
    </comment>
    <comment ref="I6482" authorId="0">
      <text>
        <r>
          <rPr>
            <b/>
            <sz val="9"/>
            <color indexed="81"/>
            <rFont val="Tahoma"/>
            <family val="2"/>
          </rPr>
          <t>LPA:</t>
        </r>
        <r>
          <rPr>
            <sz val="9"/>
            <color indexed="81"/>
            <rFont val="Tahoma"/>
            <family val="2"/>
          </rPr>
          <t xml:space="preserve">
проверити збир!
</t>
        </r>
      </text>
    </comment>
    <comment ref="I6483" authorId="0">
      <text>
        <r>
          <rPr>
            <b/>
            <sz val="9"/>
            <color indexed="81"/>
            <rFont val="Tahoma"/>
            <family val="2"/>
          </rPr>
          <t>LPA:</t>
        </r>
        <r>
          <rPr>
            <sz val="9"/>
            <color indexed="81"/>
            <rFont val="Tahoma"/>
            <family val="2"/>
          </rPr>
          <t xml:space="preserve">
проверити збир!
</t>
        </r>
      </text>
    </comment>
    <comment ref="I6484" authorId="0">
      <text>
        <r>
          <rPr>
            <b/>
            <sz val="9"/>
            <color indexed="81"/>
            <rFont val="Tahoma"/>
            <family val="2"/>
          </rPr>
          <t>LPA:</t>
        </r>
        <r>
          <rPr>
            <sz val="9"/>
            <color indexed="81"/>
            <rFont val="Tahoma"/>
            <family val="2"/>
          </rPr>
          <t xml:space="preserve">
проверити збир!
</t>
        </r>
      </text>
    </comment>
    <comment ref="I6485" authorId="0">
      <text>
        <r>
          <rPr>
            <b/>
            <sz val="9"/>
            <color indexed="81"/>
            <rFont val="Tahoma"/>
            <family val="2"/>
          </rPr>
          <t>LPA:</t>
        </r>
        <r>
          <rPr>
            <sz val="9"/>
            <color indexed="81"/>
            <rFont val="Tahoma"/>
            <family val="2"/>
          </rPr>
          <t xml:space="preserve">
проверити збир!
</t>
        </r>
      </text>
    </comment>
    <comment ref="I6486" authorId="0">
      <text>
        <r>
          <rPr>
            <b/>
            <sz val="9"/>
            <color indexed="81"/>
            <rFont val="Tahoma"/>
            <family val="2"/>
          </rPr>
          <t>LPA:</t>
        </r>
        <r>
          <rPr>
            <sz val="9"/>
            <color indexed="81"/>
            <rFont val="Tahoma"/>
            <family val="2"/>
          </rPr>
          <t xml:space="preserve">
проверити збир!
</t>
        </r>
      </text>
    </comment>
    <comment ref="I6487" authorId="0">
      <text>
        <r>
          <rPr>
            <b/>
            <sz val="9"/>
            <color indexed="81"/>
            <rFont val="Tahoma"/>
            <family val="2"/>
          </rPr>
          <t>LPA:</t>
        </r>
        <r>
          <rPr>
            <sz val="9"/>
            <color indexed="81"/>
            <rFont val="Tahoma"/>
            <family val="2"/>
          </rPr>
          <t xml:space="preserve">
проверити збир!
</t>
        </r>
      </text>
    </comment>
    <comment ref="I6488" authorId="0">
      <text>
        <r>
          <rPr>
            <b/>
            <sz val="9"/>
            <color indexed="81"/>
            <rFont val="Tahoma"/>
            <family val="2"/>
          </rPr>
          <t>LPA:</t>
        </r>
        <r>
          <rPr>
            <sz val="9"/>
            <color indexed="81"/>
            <rFont val="Tahoma"/>
            <family val="2"/>
          </rPr>
          <t xml:space="preserve">
проверити збир!
</t>
        </r>
      </text>
    </comment>
    <comment ref="I6489" authorId="0">
      <text>
        <r>
          <rPr>
            <b/>
            <sz val="9"/>
            <color indexed="81"/>
            <rFont val="Tahoma"/>
            <family val="2"/>
          </rPr>
          <t>LPA:</t>
        </r>
        <r>
          <rPr>
            <sz val="9"/>
            <color indexed="81"/>
            <rFont val="Tahoma"/>
            <family val="2"/>
          </rPr>
          <t xml:space="preserve">
проверити збир!
</t>
        </r>
      </text>
    </comment>
    <comment ref="I6490" authorId="0">
      <text>
        <r>
          <rPr>
            <b/>
            <sz val="9"/>
            <color indexed="81"/>
            <rFont val="Tahoma"/>
            <family val="2"/>
          </rPr>
          <t>LPA:</t>
        </r>
        <r>
          <rPr>
            <sz val="9"/>
            <color indexed="81"/>
            <rFont val="Tahoma"/>
            <family val="2"/>
          </rPr>
          <t xml:space="preserve">
проверити збир!
</t>
        </r>
      </text>
    </comment>
    <comment ref="H6493" authorId="0">
      <text>
        <r>
          <rPr>
            <b/>
            <sz val="9"/>
            <color indexed="81"/>
            <rFont val="Tahoma"/>
            <family val="2"/>
          </rPr>
          <t>LPA:</t>
        </r>
        <r>
          <rPr>
            <sz val="9"/>
            <color indexed="81"/>
            <rFont val="Tahoma"/>
            <family val="2"/>
          </rPr>
          <t xml:space="preserve">
проверити збир!</t>
        </r>
      </text>
    </comment>
    <comment ref="I6493" authorId="0">
      <text>
        <r>
          <rPr>
            <b/>
            <sz val="9"/>
            <color indexed="81"/>
            <rFont val="Tahoma"/>
            <family val="2"/>
          </rPr>
          <t>LPA:</t>
        </r>
        <r>
          <rPr>
            <sz val="9"/>
            <color indexed="81"/>
            <rFont val="Tahoma"/>
            <family val="2"/>
          </rPr>
          <t xml:space="preserve">
проверити збир!</t>
        </r>
      </text>
    </comment>
    <comment ref="I6494" authorId="0">
      <text>
        <r>
          <rPr>
            <b/>
            <sz val="9"/>
            <color indexed="81"/>
            <rFont val="Tahoma"/>
            <family val="2"/>
          </rPr>
          <t>LPA:</t>
        </r>
        <r>
          <rPr>
            <sz val="9"/>
            <color indexed="81"/>
            <rFont val="Tahoma"/>
            <family val="2"/>
          </rPr>
          <t xml:space="preserve">
проверити збир!
</t>
        </r>
      </text>
    </comment>
    <comment ref="I6495" authorId="0">
      <text>
        <r>
          <rPr>
            <b/>
            <sz val="9"/>
            <color indexed="81"/>
            <rFont val="Tahoma"/>
            <family val="2"/>
          </rPr>
          <t>LPA:</t>
        </r>
        <r>
          <rPr>
            <sz val="9"/>
            <color indexed="81"/>
            <rFont val="Tahoma"/>
            <family val="2"/>
          </rPr>
          <t xml:space="preserve">
проверити збир!
</t>
        </r>
      </text>
    </comment>
    <comment ref="I6496" authorId="0">
      <text>
        <r>
          <rPr>
            <b/>
            <sz val="9"/>
            <color indexed="81"/>
            <rFont val="Tahoma"/>
            <family val="2"/>
          </rPr>
          <t>LPA:</t>
        </r>
        <r>
          <rPr>
            <sz val="9"/>
            <color indexed="81"/>
            <rFont val="Tahoma"/>
            <family val="2"/>
          </rPr>
          <t xml:space="preserve">
проверити збир!
</t>
        </r>
      </text>
    </comment>
    <comment ref="I6497" authorId="0">
      <text>
        <r>
          <rPr>
            <b/>
            <sz val="9"/>
            <color indexed="81"/>
            <rFont val="Tahoma"/>
            <family val="2"/>
          </rPr>
          <t>LPA:</t>
        </r>
        <r>
          <rPr>
            <sz val="9"/>
            <color indexed="81"/>
            <rFont val="Tahoma"/>
            <family val="2"/>
          </rPr>
          <t xml:space="preserve">
проверити збир!
</t>
        </r>
      </text>
    </comment>
    <comment ref="I6498" authorId="0">
      <text>
        <r>
          <rPr>
            <b/>
            <sz val="9"/>
            <color indexed="81"/>
            <rFont val="Tahoma"/>
            <family val="2"/>
          </rPr>
          <t>LPA:</t>
        </r>
        <r>
          <rPr>
            <sz val="9"/>
            <color indexed="81"/>
            <rFont val="Tahoma"/>
            <family val="2"/>
          </rPr>
          <t xml:space="preserve">
проверити збир!
</t>
        </r>
      </text>
    </comment>
    <comment ref="I6499" authorId="0">
      <text>
        <r>
          <rPr>
            <b/>
            <sz val="9"/>
            <color indexed="81"/>
            <rFont val="Tahoma"/>
            <family val="2"/>
          </rPr>
          <t>LPA:</t>
        </r>
        <r>
          <rPr>
            <sz val="9"/>
            <color indexed="81"/>
            <rFont val="Tahoma"/>
            <family val="2"/>
          </rPr>
          <t xml:space="preserve">
проверити збир!
</t>
        </r>
      </text>
    </comment>
    <comment ref="I6500" authorId="0">
      <text>
        <r>
          <rPr>
            <b/>
            <sz val="9"/>
            <color indexed="81"/>
            <rFont val="Tahoma"/>
            <family val="2"/>
          </rPr>
          <t>LPA:</t>
        </r>
        <r>
          <rPr>
            <sz val="9"/>
            <color indexed="81"/>
            <rFont val="Tahoma"/>
            <family val="2"/>
          </rPr>
          <t xml:space="preserve">
проверити збир!
</t>
        </r>
      </text>
    </comment>
    <comment ref="I6501" authorId="0">
      <text>
        <r>
          <rPr>
            <b/>
            <sz val="9"/>
            <color indexed="81"/>
            <rFont val="Tahoma"/>
            <family val="2"/>
          </rPr>
          <t>LPA:</t>
        </r>
        <r>
          <rPr>
            <sz val="9"/>
            <color indexed="81"/>
            <rFont val="Tahoma"/>
            <family val="2"/>
          </rPr>
          <t xml:space="preserve">
проверити збир!
</t>
        </r>
      </text>
    </comment>
    <comment ref="I6502" authorId="0">
      <text>
        <r>
          <rPr>
            <b/>
            <sz val="9"/>
            <color indexed="81"/>
            <rFont val="Tahoma"/>
            <family val="2"/>
          </rPr>
          <t>LPA:</t>
        </r>
        <r>
          <rPr>
            <sz val="9"/>
            <color indexed="81"/>
            <rFont val="Tahoma"/>
            <family val="2"/>
          </rPr>
          <t xml:space="preserve">
проверити збир!
</t>
        </r>
      </text>
    </comment>
    <comment ref="I6503" authorId="0">
      <text>
        <r>
          <rPr>
            <b/>
            <sz val="9"/>
            <color indexed="81"/>
            <rFont val="Tahoma"/>
            <family val="2"/>
          </rPr>
          <t>LPA:</t>
        </r>
        <r>
          <rPr>
            <sz val="9"/>
            <color indexed="81"/>
            <rFont val="Tahoma"/>
            <family val="2"/>
          </rPr>
          <t xml:space="preserve">
проверити збир!
</t>
        </r>
      </text>
    </comment>
    <comment ref="I6504" authorId="0">
      <text>
        <r>
          <rPr>
            <b/>
            <sz val="9"/>
            <color indexed="81"/>
            <rFont val="Tahoma"/>
            <family val="2"/>
          </rPr>
          <t>LPA:</t>
        </r>
        <r>
          <rPr>
            <sz val="9"/>
            <color indexed="81"/>
            <rFont val="Tahoma"/>
            <family val="2"/>
          </rPr>
          <t xml:space="preserve">
проверити збир!
</t>
        </r>
      </text>
    </comment>
    <comment ref="I6505" authorId="0">
      <text>
        <r>
          <rPr>
            <b/>
            <sz val="9"/>
            <color indexed="81"/>
            <rFont val="Tahoma"/>
            <family val="2"/>
          </rPr>
          <t>LPA:</t>
        </r>
        <r>
          <rPr>
            <sz val="9"/>
            <color indexed="81"/>
            <rFont val="Tahoma"/>
            <family val="2"/>
          </rPr>
          <t xml:space="preserve">
проверити збир!
</t>
        </r>
      </text>
    </comment>
    <comment ref="I6506" authorId="0">
      <text>
        <r>
          <rPr>
            <b/>
            <sz val="9"/>
            <color indexed="81"/>
            <rFont val="Tahoma"/>
            <family val="2"/>
          </rPr>
          <t>LPA:</t>
        </r>
        <r>
          <rPr>
            <sz val="9"/>
            <color indexed="81"/>
            <rFont val="Tahoma"/>
            <family val="2"/>
          </rPr>
          <t xml:space="preserve">
проверити збир!
</t>
        </r>
      </text>
    </comment>
    <comment ref="I6507" authorId="0">
      <text>
        <r>
          <rPr>
            <b/>
            <sz val="9"/>
            <color indexed="81"/>
            <rFont val="Tahoma"/>
            <family val="2"/>
          </rPr>
          <t>LPA:</t>
        </r>
        <r>
          <rPr>
            <sz val="9"/>
            <color indexed="81"/>
            <rFont val="Tahoma"/>
            <family val="2"/>
          </rPr>
          <t xml:space="preserve">
проверити збир!
</t>
        </r>
      </text>
    </comment>
    <comment ref="I6508" authorId="0">
      <text>
        <r>
          <rPr>
            <b/>
            <sz val="9"/>
            <color indexed="81"/>
            <rFont val="Tahoma"/>
            <family val="2"/>
          </rPr>
          <t>LPA:</t>
        </r>
        <r>
          <rPr>
            <sz val="9"/>
            <color indexed="81"/>
            <rFont val="Tahoma"/>
            <family val="2"/>
          </rPr>
          <t xml:space="preserve">
проверити збир!
</t>
        </r>
      </text>
    </comment>
    <comment ref="I6577" authorId="0">
      <text>
        <r>
          <rPr>
            <b/>
            <sz val="9"/>
            <color indexed="81"/>
            <rFont val="Tahoma"/>
            <family val="2"/>
          </rPr>
          <t>LPA:</t>
        </r>
        <r>
          <rPr>
            <sz val="9"/>
            <color indexed="81"/>
            <rFont val="Tahoma"/>
            <family val="2"/>
          </rPr>
          <t xml:space="preserve">
проверити збир!
</t>
        </r>
      </text>
    </comment>
    <comment ref="I6578" authorId="0">
      <text>
        <r>
          <rPr>
            <b/>
            <sz val="9"/>
            <color indexed="81"/>
            <rFont val="Tahoma"/>
            <family val="2"/>
          </rPr>
          <t>LPA:</t>
        </r>
        <r>
          <rPr>
            <sz val="9"/>
            <color indexed="81"/>
            <rFont val="Tahoma"/>
            <family val="2"/>
          </rPr>
          <t xml:space="preserve">
проверити збир!
</t>
        </r>
      </text>
    </comment>
    <comment ref="I6579" authorId="0">
      <text>
        <r>
          <rPr>
            <b/>
            <sz val="9"/>
            <color indexed="81"/>
            <rFont val="Tahoma"/>
            <family val="2"/>
          </rPr>
          <t>LPA:</t>
        </r>
        <r>
          <rPr>
            <sz val="9"/>
            <color indexed="81"/>
            <rFont val="Tahoma"/>
            <family val="2"/>
          </rPr>
          <t xml:space="preserve">
проверити збир!
</t>
        </r>
      </text>
    </comment>
    <comment ref="I6580" authorId="0">
      <text>
        <r>
          <rPr>
            <b/>
            <sz val="9"/>
            <color indexed="81"/>
            <rFont val="Tahoma"/>
            <family val="2"/>
          </rPr>
          <t>LPA:</t>
        </r>
        <r>
          <rPr>
            <sz val="9"/>
            <color indexed="81"/>
            <rFont val="Tahoma"/>
            <family val="2"/>
          </rPr>
          <t xml:space="preserve">
проверити збир!
</t>
        </r>
      </text>
    </comment>
    <comment ref="I6581" authorId="0">
      <text>
        <r>
          <rPr>
            <b/>
            <sz val="9"/>
            <color indexed="81"/>
            <rFont val="Tahoma"/>
            <family val="2"/>
          </rPr>
          <t>LPA:</t>
        </r>
        <r>
          <rPr>
            <sz val="9"/>
            <color indexed="81"/>
            <rFont val="Tahoma"/>
            <family val="2"/>
          </rPr>
          <t xml:space="preserve">
проверити збир!
</t>
        </r>
      </text>
    </comment>
    <comment ref="I6582" authorId="0">
      <text>
        <r>
          <rPr>
            <b/>
            <sz val="9"/>
            <color indexed="81"/>
            <rFont val="Tahoma"/>
            <family val="2"/>
          </rPr>
          <t>LPA:</t>
        </r>
        <r>
          <rPr>
            <sz val="9"/>
            <color indexed="81"/>
            <rFont val="Tahoma"/>
            <family val="2"/>
          </rPr>
          <t xml:space="preserve">
проверити збир!
</t>
        </r>
      </text>
    </comment>
    <comment ref="I6583" authorId="0">
      <text>
        <r>
          <rPr>
            <b/>
            <sz val="9"/>
            <color indexed="81"/>
            <rFont val="Tahoma"/>
            <family val="2"/>
          </rPr>
          <t>LPA:</t>
        </r>
        <r>
          <rPr>
            <sz val="9"/>
            <color indexed="81"/>
            <rFont val="Tahoma"/>
            <family val="2"/>
          </rPr>
          <t xml:space="preserve">
проверити збир!
</t>
        </r>
      </text>
    </comment>
    <comment ref="I6584" authorId="0">
      <text>
        <r>
          <rPr>
            <b/>
            <sz val="9"/>
            <color indexed="81"/>
            <rFont val="Tahoma"/>
            <family val="2"/>
          </rPr>
          <t>LPA:</t>
        </r>
        <r>
          <rPr>
            <sz val="9"/>
            <color indexed="81"/>
            <rFont val="Tahoma"/>
            <family val="2"/>
          </rPr>
          <t xml:space="preserve">
проверити збир!
</t>
        </r>
      </text>
    </comment>
    <comment ref="I6585" authorId="0">
      <text>
        <r>
          <rPr>
            <b/>
            <sz val="9"/>
            <color indexed="81"/>
            <rFont val="Tahoma"/>
            <family val="2"/>
          </rPr>
          <t>LPA:</t>
        </r>
        <r>
          <rPr>
            <sz val="9"/>
            <color indexed="81"/>
            <rFont val="Tahoma"/>
            <family val="2"/>
          </rPr>
          <t xml:space="preserve">
проверити збир!
</t>
        </r>
      </text>
    </comment>
    <comment ref="I6586" authorId="0">
      <text>
        <r>
          <rPr>
            <b/>
            <sz val="9"/>
            <color indexed="81"/>
            <rFont val="Tahoma"/>
            <family val="2"/>
          </rPr>
          <t>LPA:</t>
        </r>
        <r>
          <rPr>
            <sz val="9"/>
            <color indexed="81"/>
            <rFont val="Tahoma"/>
            <family val="2"/>
          </rPr>
          <t xml:space="preserve">
проверити збир!
</t>
        </r>
      </text>
    </comment>
    <comment ref="I6587" authorId="0">
      <text>
        <r>
          <rPr>
            <b/>
            <sz val="9"/>
            <color indexed="81"/>
            <rFont val="Tahoma"/>
            <family val="2"/>
          </rPr>
          <t>LPA:</t>
        </r>
        <r>
          <rPr>
            <sz val="9"/>
            <color indexed="81"/>
            <rFont val="Tahoma"/>
            <family val="2"/>
          </rPr>
          <t xml:space="preserve">
проверити збир!
</t>
        </r>
      </text>
    </comment>
    <comment ref="I6588" authorId="0">
      <text>
        <r>
          <rPr>
            <b/>
            <sz val="9"/>
            <color indexed="81"/>
            <rFont val="Tahoma"/>
            <family val="2"/>
          </rPr>
          <t>LPA:</t>
        </r>
        <r>
          <rPr>
            <sz val="9"/>
            <color indexed="81"/>
            <rFont val="Tahoma"/>
            <family val="2"/>
          </rPr>
          <t xml:space="preserve">
проверити збир!
</t>
        </r>
      </text>
    </comment>
    <comment ref="I6589" authorId="0">
      <text>
        <r>
          <rPr>
            <b/>
            <sz val="9"/>
            <color indexed="81"/>
            <rFont val="Tahoma"/>
            <family val="2"/>
          </rPr>
          <t>LPA:</t>
        </r>
        <r>
          <rPr>
            <sz val="9"/>
            <color indexed="81"/>
            <rFont val="Tahoma"/>
            <family val="2"/>
          </rPr>
          <t xml:space="preserve">
проверити збир!
</t>
        </r>
      </text>
    </comment>
    <comment ref="H6592" authorId="0">
      <text>
        <r>
          <rPr>
            <b/>
            <sz val="9"/>
            <color indexed="81"/>
            <rFont val="Tahoma"/>
            <family val="2"/>
          </rPr>
          <t>LPA:</t>
        </r>
        <r>
          <rPr>
            <sz val="9"/>
            <color indexed="81"/>
            <rFont val="Tahoma"/>
            <family val="2"/>
          </rPr>
          <t xml:space="preserve">
проверити збир!</t>
        </r>
      </text>
    </comment>
    <comment ref="I6592" authorId="0">
      <text>
        <r>
          <rPr>
            <b/>
            <sz val="9"/>
            <color indexed="81"/>
            <rFont val="Tahoma"/>
            <family val="2"/>
          </rPr>
          <t>LPA:</t>
        </r>
        <r>
          <rPr>
            <sz val="9"/>
            <color indexed="81"/>
            <rFont val="Tahoma"/>
            <family val="2"/>
          </rPr>
          <t xml:space="preserve">
проверити збир!</t>
        </r>
      </text>
    </comment>
    <comment ref="I6593" authorId="0">
      <text>
        <r>
          <rPr>
            <b/>
            <sz val="9"/>
            <color indexed="81"/>
            <rFont val="Tahoma"/>
            <family val="2"/>
          </rPr>
          <t>LPA:</t>
        </r>
        <r>
          <rPr>
            <sz val="9"/>
            <color indexed="81"/>
            <rFont val="Tahoma"/>
            <family val="2"/>
          </rPr>
          <t xml:space="preserve">
проверити збир!
</t>
        </r>
      </text>
    </comment>
    <comment ref="I6594" authorId="0">
      <text>
        <r>
          <rPr>
            <b/>
            <sz val="9"/>
            <color indexed="81"/>
            <rFont val="Tahoma"/>
            <family val="2"/>
          </rPr>
          <t>LPA:</t>
        </r>
        <r>
          <rPr>
            <sz val="9"/>
            <color indexed="81"/>
            <rFont val="Tahoma"/>
            <family val="2"/>
          </rPr>
          <t xml:space="preserve">
проверити збир!
</t>
        </r>
      </text>
    </comment>
    <comment ref="I6595" authorId="0">
      <text>
        <r>
          <rPr>
            <b/>
            <sz val="9"/>
            <color indexed="81"/>
            <rFont val="Tahoma"/>
            <family val="2"/>
          </rPr>
          <t>LPA:</t>
        </r>
        <r>
          <rPr>
            <sz val="9"/>
            <color indexed="81"/>
            <rFont val="Tahoma"/>
            <family val="2"/>
          </rPr>
          <t xml:space="preserve">
проверити збир!
</t>
        </r>
      </text>
    </comment>
    <comment ref="I6596" authorId="0">
      <text>
        <r>
          <rPr>
            <b/>
            <sz val="9"/>
            <color indexed="81"/>
            <rFont val="Tahoma"/>
            <family val="2"/>
          </rPr>
          <t>LPA:</t>
        </r>
        <r>
          <rPr>
            <sz val="9"/>
            <color indexed="81"/>
            <rFont val="Tahoma"/>
            <family val="2"/>
          </rPr>
          <t xml:space="preserve">
проверити збир!
</t>
        </r>
      </text>
    </comment>
    <comment ref="I6597" authorId="0">
      <text>
        <r>
          <rPr>
            <b/>
            <sz val="9"/>
            <color indexed="81"/>
            <rFont val="Tahoma"/>
            <family val="2"/>
          </rPr>
          <t>LPA:</t>
        </r>
        <r>
          <rPr>
            <sz val="9"/>
            <color indexed="81"/>
            <rFont val="Tahoma"/>
            <family val="2"/>
          </rPr>
          <t xml:space="preserve">
проверити збир!
</t>
        </r>
      </text>
    </comment>
    <comment ref="I6598" authorId="0">
      <text>
        <r>
          <rPr>
            <b/>
            <sz val="9"/>
            <color indexed="81"/>
            <rFont val="Tahoma"/>
            <family val="2"/>
          </rPr>
          <t>LPA:</t>
        </r>
        <r>
          <rPr>
            <sz val="9"/>
            <color indexed="81"/>
            <rFont val="Tahoma"/>
            <family val="2"/>
          </rPr>
          <t xml:space="preserve">
проверити збир!
</t>
        </r>
      </text>
    </comment>
    <comment ref="I6599" authorId="0">
      <text>
        <r>
          <rPr>
            <b/>
            <sz val="9"/>
            <color indexed="81"/>
            <rFont val="Tahoma"/>
            <family val="2"/>
          </rPr>
          <t>LPA:</t>
        </r>
        <r>
          <rPr>
            <sz val="9"/>
            <color indexed="81"/>
            <rFont val="Tahoma"/>
            <family val="2"/>
          </rPr>
          <t xml:space="preserve">
проверити збир!
</t>
        </r>
      </text>
    </comment>
    <comment ref="I6600" authorId="0">
      <text>
        <r>
          <rPr>
            <b/>
            <sz val="9"/>
            <color indexed="81"/>
            <rFont val="Tahoma"/>
            <family val="2"/>
          </rPr>
          <t>LPA:</t>
        </r>
        <r>
          <rPr>
            <sz val="9"/>
            <color indexed="81"/>
            <rFont val="Tahoma"/>
            <family val="2"/>
          </rPr>
          <t xml:space="preserve">
проверити збир!
</t>
        </r>
      </text>
    </comment>
    <comment ref="I6601" authorId="0">
      <text>
        <r>
          <rPr>
            <b/>
            <sz val="9"/>
            <color indexed="81"/>
            <rFont val="Tahoma"/>
            <family val="2"/>
          </rPr>
          <t>LPA:</t>
        </r>
        <r>
          <rPr>
            <sz val="9"/>
            <color indexed="81"/>
            <rFont val="Tahoma"/>
            <family val="2"/>
          </rPr>
          <t xml:space="preserve">
проверити збир!
</t>
        </r>
      </text>
    </comment>
    <comment ref="I6602" authorId="0">
      <text>
        <r>
          <rPr>
            <b/>
            <sz val="9"/>
            <color indexed="81"/>
            <rFont val="Tahoma"/>
            <family val="2"/>
          </rPr>
          <t>LPA:</t>
        </r>
        <r>
          <rPr>
            <sz val="9"/>
            <color indexed="81"/>
            <rFont val="Tahoma"/>
            <family val="2"/>
          </rPr>
          <t xml:space="preserve">
проверити збир!
</t>
        </r>
      </text>
    </comment>
    <comment ref="I6603" authorId="0">
      <text>
        <r>
          <rPr>
            <b/>
            <sz val="9"/>
            <color indexed="81"/>
            <rFont val="Tahoma"/>
            <family val="2"/>
          </rPr>
          <t>LPA:</t>
        </r>
        <r>
          <rPr>
            <sz val="9"/>
            <color indexed="81"/>
            <rFont val="Tahoma"/>
            <family val="2"/>
          </rPr>
          <t xml:space="preserve">
проверити збир!
</t>
        </r>
      </text>
    </comment>
    <comment ref="I6604" authorId="0">
      <text>
        <r>
          <rPr>
            <b/>
            <sz val="9"/>
            <color indexed="81"/>
            <rFont val="Tahoma"/>
            <family val="2"/>
          </rPr>
          <t>LPA:</t>
        </r>
        <r>
          <rPr>
            <sz val="9"/>
            <color indexed="81"/>
            <rFont val="Tahoma"/>
            <family val="2"/>
          </rPr>
          <t xml:space="preserve">
проверити збир!
</t>
        </r>
      </text>
    </comment>
    <comment ref="I6605" authorId="0">
      <text>
        <r>
          <rPr>
            <b/>
            <sz val="9"/>
            <color indexed="81"/>
            <rFont val="Tahoma"/>
            <family val="2"/>
          </rPr>
          <t>LPA:</t>
        </r>
        <r>
          <rPr>
            <sz val="9"/>
            <color indexed="81"/>
            <rFont val="Tahoma"/>
            <family val="2"/>
          </rPr>
          <t xml:space="preserve">
проверити збир!
</t>
        </r>
      </text>
    </comment>
    <comment ref="I6606" authorId="0">
      <text>
        <r>
          <rPr>
            <b/>
            <sz val="9"/>
            <color indexed="81"/>
            <rFont val="Tahoma"/>
            <family val="2"/>
          </rPr>
          <t>LPA:</t>
        </r>
        <r>
          <rPr>
            <sz val="9"/>
            <color indexed="81"/>
            <rFont val="Tahoma"/>
            <family val="2"/>
          </rPr>
          <t xml:space="preserve">
проверити збир!
</t>
        </r>
      </text>
    </comment>
    <comment ref="I6607" authorId="0">
      <text>
        <r>
          <rPr>
            <b/>
            <sz val="9"/>
            <color indexed="81"/>
            <rFont val="Tahoma"/>
            <family val="2"/>
          </rPr>
          <t>LPA:</t>
        </r>
        <r>
          <rPr>
            <sz val="9"/>
            <color indexed="81"/>
            <rFont val="Tahoma"/>
            <family val="2"/>
          </rPr>
          <t xml:space="preserve">
проверити збир!
</t>
        </r>
      </text>
    </comment>
    <comment ref="H6611" authorId="0">
      <text>
        <r>
          <rPr>
            <b/>
            <sz val="9"/>
            <color indexed="81"/>
            <rFont val="Tahoma"/>
            <family val="2"/>
          </rPr>
          <t>LPA:</t>
        </r>
        <r>
          <rPr>
            <sz val="9"/>
            <color indexed="81"/>
            <rFont val="Tahoma"/>
            <family val="2"/>
          </rPr>
          <t xml:space="preserve">
проверити збир!</t>
        </r>
      </text>
    </comment>
    <comment ref="I6611" authorId="0">
      <text>
        <r>
          <rPr>
            <b/>
            <sz val="9"/>
            <color indexed="81"/>
            <rFont val="Tahoma"/>
            <family val="2"/>
          </rPr>
          <t>LPA:</t>
        </r>
        <r>
          <rPr>
            <sz val="9"/>
            <color indexed="81"/>
            <rFont val="Tahoma"/>
            <family val="2"/>
          </rPr>
          <t xml:space="preserve">
проверити збир!
</t>
        </r>
      </text>
    </comment>
    <comment ref="I6612" authorId="0">
      <text>
        <r>
          <rPr>
            <b/>
            <sz val="9"/>
            <color indexed="81"/>
            <rFont val="Tahoma"/>
            <family val="2"/>
          </rPr>
          <t>LPA:</t>
        </r>
        <r>
          <rPr>
            <sz val="9"/>
            <color indexed="81"/>
            <rFont val="Tahoma"/>
            <family val="2"/>
          </rPr>
          <t xml:space="preserve">
проверити збир!
</t>
        </r>
      </text>
    </comment>
    <comment ref="I6613" authorId="0">
      <text>
        <r>
          <rPr>
            <b/>
            <sz val="9"/>
            <color indexed="81"/>
            <rFont val="Tahoma"/>
            <family val="2"/>
          </rPr>
          <t>LPA:</t>
        </r>
        <r>
          <rPr>
            <sz val="9"/>
            <color indexed="81"/>
            <rFont val="Tahoma"/>
            <family val="2"/>
          </rPr>
          <t xml:space="preserve">
проверити збир!
</t>
        </r>
      </text>
    </comment>
    <comment ref="I6614" authorId="0">
      <text>
        <r>
          <rPr>
            <b/>
            <sz val="9"/>
            <color indexed="81"/>
            <rFont val="Tahoma"/>
            <family val="2"/>
          </rPr>
          <t>LPA:</t>
        </r>
        <r>
          <rPr>
            <sz val="9"/>
            <color indexed="81"/>
            <rFont val="Tahoma"/>
            <family val="2"/>
          </rPr>
          <t xml:space="preserve">
проверити збир!
</t>
        </r>
      </text>
    </comment>
    <comment ref="I6615" authorId="0">
      <text>
        <r>
          <rPr>
            <b/>
            <sz val="9"/>
            <color indexed="81"/>
            <rFont val="Tahoma"/>
            <family val="2"/>
          </rPr>
          <t>LPA:</t>
        </r>
        <r>
          <rPr>
            <sz val="9"/>
            <color indexed="81"/>
            <rFont val="Tahoma"/>
            <family val="2"/>
          </rPr>
          <t xml:space="preserve">
проверити збир!
</t>
        </r>
      </text>
    </comment>
    <comment ref="I6616" authorId="0">
      <text>
        <r>
          <rPr>
            <b/>
            <sz val="9"/>
            <color indexed="81"/>
            <rFont val="Tahoma"/>
            <family val="2"/>
          </rPr>
          <t>LPA:</t>
        </r>
        <r>
          <rPr>
            <sz val="9"/>
            <color indexed="81"/>
            <rFont val="Tahoma"/>
            <family val="2"/>
          </rPr>
          <t xml:space="preserve">
проверити збир!
</t>
        </r>
      </text>
    </comment>
    <comment ref="I6617" authorId="0">
      <text>
        <r>
          <rPr>
            <b/>
            <sz val="9"/>
            <color indexed="81"/>
            <rFont val="Tahoma"/>
            <family val="2"/>
          </rPr>
          <t>LPA:</t>
        </r>
        <r>
          <rPr>
            <sz val="9"/>
            <color indexed="81"/>
            <rFont val="Tahoma"/>
            <family val="2"/>
          </rPr>
          <t xml:space="preserve">
проверити збир!
</t>
        </r>
      </text>
    </comment>
    <comment ref="I6618" authorId="0">
      <text>
        <r>
          <rPr>
            <b/>
            <sz val="9"/>
            <color indexed="81"/>
            <rFont val="Tahoma"/>
            <family val="2"/>
          </rPr>
          <t>LPA:</t>
        </r>
        <r>
          <rPr>
            <sz val="9"/>
            <color indexed="81"/>
            <rFont val="Tahoma"/>
            <family val="2"/>
          </rPr>
          <t xml:space="preserve">
проверити збир!
</t>
        </r>
      </text>
    </comment>
    <comment ref="I6619" authorId="0">
      <text>
        <r>
          <rPr>
            <b/>
            <sz val="9"/>
            <color indexed="81"/>
            <rFont val="Tahoma"/>
            <family val="2"/>
          </rPr>
          <t>LPA:</t>
        </r>
        <r>
          <rPr>
            <sz val="9"/>
            <color indexed="81"/>
            <rFont val="Tahoma"/>
            <family val="2"/>
          </rPr>
          <t xml:space="preserve">
проверити збир!
</t>
        </r>
      </text>
    </comment>
    <comment ref="I6620" authorId="0">
      <text>
        <r>
          <rPr>
            <b/>
            <sz val="9"/>
            <color indexed="81"/>
            <rFont val="Tahoma"/>
            <family val="2"/>
          </rPr>
          <t>LPA:</t>
        </r>
        <r>
          <rPr>
            <sz val="9"/>
            <color indexed="81"/>
            <rFont val="Tahoma"/>
            <family val="2"/>
          </rPr>
          <t xml:space="preserve">
проверити збир!
</t>
        </r>
      </text>
    </comment>
    <comment ref="I6621" authorId="0">
      <text>
        <r>
          <rPr>
            <b/>
            <sz val="9"/>
            <color indexed="81"/>
            <rFont val="Tahoma"/>
            <family val="2"/>
          </rPr>
          <t>LPA:</t>
        </r>
        <r>
          <rPr>
            <sz val="9"/>
            <color indexed="81"/>
            <rFont val="Tahoma"/>
            <family val="2"/>
          </rPr>
          <t xml:space="preserve">
проверити збир!
</t>
        </r>
      </text>
    </comment>
    <comment ref="I6622" authorId="0">
      <text>
        <r>
          <rPr>
            <b/>
            <sz val="9"/>
            <color indexed="81"/>
            <rFont val="Tahoma"/>
            <family val="2"/>
          </rPr>
          <t>LPA:</t>
        </r>
        <r>
          <rPr>
            <sz val="9"/>
            <color indexed="81"/>
            <rFont val="Tahoma"/>
            <family val="2"/>
          </rPr>
          <t xml:space="preserve">
проверити збир!
</t>
        </r>
      </text>
    </comment>
    <comment ref="I6623" authorId="0">
      <text>
        <r>
          <rPr>
            <b/>
            <sz val="9"/>
            <color indexed="81"/>
            <rFont val="Tahoma"/>
            <family val="2"/>
          </rPr>
          <t>LPA:</t>
        </r>
        <r>
          <rPr>
            <sz val="9"/>
            <color indexed="81"/>
            <rFont val="Tahoma"/>
            <family val="2"/>
          </rPr>
          <t xml:space="preserve">
проверити збир!
</t>
        </r>
      </text>
    </comment>
    <comment ref="I6624" authorId="0">
      <text>
        <r>
          <rPr>
            <b/>
            <sz val="9"/>
            <color indexed="81"/>
            <rFont val="Tahoma"/>
            <family val="2"/>
          </rPr>
          <t>LPA:</t>
        </r>
        <r>
          <rPr>
            <sz val="9"/>
            <color indexed="81"/>
            <rFont val="Tahoma"/>
            <family val="2"/>
          </rPr>
          <t xml:space="preserve">
проверити збир!
</t>
        </r>
      </text>
    </comment>
    <comment ref="I6625" authorId="0">
      <text>
        <r>
          <rPr>
            <b/>
            <sz val="9"/>
            <color indexed="81"/>
            <rFont val="Tahoma"/>
            <family val="2"/>
          </rPr>
          <t>LPA:</t>
        </r>
        <r>
          <rPr>
            <sz val="9"/>
            <color indexed="81"/>
            <rFont val="Tahoma"/>
            <family val="2"/>
          </rPr>
          <t xml:space="preserve">
проверити збир!
</t>
        </r>
      </text>
    </comment>
    <comment ref="I6626" authorId="0">
      <text>
        <r>
          <rPr>
            <b/>
            <sz val="9"/>
            <color indexed="81"/>
            <rFont val="Tahoma"/>
            <family val="2"/>
          </rPr>
          <t>LPA:</t>
        </r>
        <r>
          <rPr>
            <sz val="9"/>
            <color indexed="81"/>
            <rFont val="Tahoma"/>
            <family val="2"/>
          </rPr>
          <t xml:space="preserve">
проверити збир!
</t>
        </r>
      </text>
    </comment>
    <comment ref="H6630" authorId="0">
      <text>
        <r>
          <rPr>
            <b/>
            <sz val="9"/>
            <color indexed="81"/>
            <rFont val="Tahoma"/>
            <family val="2"/>
          </rPr>
          <t>LPA:</t>
        </r>
        <r>
          <rPr>
            <sz val="9"/>
            <color indexed="81"/>
            <rFont val="Tahoma"/>
            <family val="2"/>
          </rPr>
          <t xml:space="preserve">
проверити збир!</t>
        </r>
      </text>
    </comment>
    <comment ref="I6630" authorId="0">
      <text>
        <r>
          <rPr>
            <b/>
            <sz val="9"/>
            <color indexed="81"/>
            <rFont val="Tahoma"/>
            <family val="2"/>
          </rPr>
          <t>LPA:</t>
        </r>
        <r>
          <rPr>
            <sz val="9"/>
            <color indexed="81"/>
            <rFont val="Tahoma"/>
            <family val="2"/>
          </rPr>
          <t xml:space="preserve">
проверити збир!
</t>
        </r>
      </text>
    </comment>
    <comment ref="I6631" authorId="0">
      <text>
        <r>
          <rPr>
            <b/>
            <sz val="9"/>
            <color indexed="81"/>
            <rFont val="Tahoma"/>
            <family val="2"/>
          </rPr>
          <t>LPA:</t>
        </r>
        <r>
          <rPr>
            <sz val="9"/>
            <color indexed="81"/>
            <rFont val="Tahoma"/>
            <family val="2"/>
          </rPr>
          <t xml:space="preserve">
проверити збир!
</t>
        </r>
      </text>
    </comment>
    <comment ref="I6632" authorId="0">
      <text>
        <r>
          <rPr>
            <b/>
            <sz val="9"/>
            <color indexed="81"/>
            <rFont val="Tahoma"/>
            <family val="2"/>
          </rPr>
          <t>LPA:</t>
        </r>
        <r>
          <rPr>
            <sz val="9"/>
            <color indexed="81"/>
            <rFont val="Tahoma"/>
            <family val="2"/>
          </rPr>
          <t xml:space="preserve">
проверити збир!
</t>
        </r>
      </text>
    </comment>
    <comment ref="I6633" authorId="0">
      <text>
        <r>
          <rPr>
            <b/>
            <sz val="9"/>
            <color indexed="81"/>
            <rFont val="Tahoma"/>
            <family val="2"/>
          </rPr>
          <t>LPA:</t>
        </r>
        <r>
          <rPr>
            <sz val="9"/>
            <color indexed="81"/>
            <rFont val="Tahoma"/>
            <family val="2"/>
          </rPr>
          <t xml:space="preserve">
проверити збир!
</t>
        </r>
      </text>
    </comment>
    <comment ref="I6634" authorId="0">
      <text>
        <r>
          <rPr>
            <b/>
            <sz val="9"/>
            <color indexed="81"/>
            <rFont val="Tahoma"/>
            <family val="2"/>
          </rPr>
          <t>LPA:</t>
        </r>
        <r>
          <rPr>
            <sz val="9"/>
            <color indexed="81"/>
            <rFont val="Tahoma"/>
            <family val="2"/>
          </rPr>
          <t xml:space="preserve">
проверити збир!
</t>
        </r>
      </text>
    </comment>
    <comment ref="I6635" authorId="0">
      <text>
        <r>
          <rPr>
            <b/>
            <sz val="9"/>
            <color indexed="81"/>
            <rFont val="Tahoma"/>
            <family val="2"/>
          </rPr>
          <t>LPA:</t>
        </r>
        <r>
          <rPr>
            <sz val="9"/>
            <color indexed="81"/>
            <rFont val="Tahoma"/>
            <family val="2"/>
          </rPr>
          <t xml:space="preserve">
проверити збир!
</t>
        </r>
      </text>
    </comment>
    <comment ref="I6636" authorId="0">
      <text>
        <r>
          <rPr>
            <b/>
            <sz val="9"/>
            <color indexed="81"/>
            <rFont val="Tahoma"/>
            <family val="2"/>
          </rPr>
          <t>LPA:</t>
        </r>
        <r>
          <rPr>
            <sz val="9"/>
            <color indexed="81"/>
            <rFont val="Tahoma"/>
            <family val="2"/>
          </rPr>
          <t xml:space="preserve">
проверити збир!
</t>
        </r>
      </text>
    </comment>
    <comment ref="I6637" authorId="0">
      <text>
        <r>
          <rPr>
            <b/>
            <sz val="9"/>
            <color indexed="81"/>
            <rFont val="Tahoma"/>
            <family val="2"/>
          </rPr>
          <t>LPA:</t>
        </r>
        <r>
          <rPr>
            <sz val="9"/>
            <color indexed="81"/>
            <rFont val="Tahoma"/>
            <family val="2"/>
          </rPr>
          <t xml:space="preserve">
проверити збир!
</t>
        </r>
      </text>
    </comment>
    <comment ref="I6638" authorId="0">
      <text>
        <r>
          <rPr>
            <b/>
            <sz val="9"/>
            <color indexed="81"/>
            <rFont val="Tahoma"/>
            <family val="2"/>
          </rPr>
          <t>LPA:</t>
        </r>
        <r>
          <rPr>
            <sz val="9"/>
            <color indexed="81"/>
            <rFont val="Tahoma"/>
            <family val="2"/>
          </rPr>
          <t xml:space="preserve">
проверити збир!
</t>
        </r>
      </text>
    </comment>
    <comment ref="I6639" authorId="0">
      <text>
        <r>
          <rPr>
            <b/>
            <sz val="9"/>
            <color indexed="81"/>
            <rFont val="Tahoma"/>
            <family val="2"/>
          </rPr>
          <t>LPA:</t>
        </r>
        <r>
          <rPr>
            <sz val="9"/>
            <color indexed="81"/>
            <rFont val="Tahoma"/>
            <family val="2"/>
          </rPr>
          <t xml:space="preserve">
проверити збир!
</t>
        </r>
      </text>
    </comment>
    <comment ref="I6640" authorId="0">
      <text>
        <r>
          <rPr>
            <b/>
            <sz val="9"/>
            <color indexed="81"/>
            <rFont val="Tahoma"/>
            <family val="2"/>
          </rPr>
          <t>LPA:</t>
        </r>
        <r>
          <rPr>
            <sz val="9"/>
            <color indexed="81"/>
            <rFont val="Tahoma"/>
            <family val="2"/>
          </rPr>
          <t xml:space="preserve">
проверити збир!
</t>
        </r>
      </text>
    </comment>
    <comment ref="I6641" authorId="0">
      <text>
        <r>
          <rPr>
            <b/>
            <sz val="9"/>
            <color indexed="81"/>
            <rFont val="Tahoma"/>
            <family val="2"/>
          </rPr>
          <t>LPA:</t>
        </r>
        <r>
          <rPr>
            <sz val="9"/>
            <color indexed="81"/>
            <rFont val="Tahoma"/>
            <family val="2"/>
          </rPr>
          <t xml:space="preserve">
проверити збир!
</t>
        </r>
      </text>
    </comment>
    <comment ref="I6642" authorId="0">
      <text>
        <r>
          <rPr>
            <b/>
            <sz val="9"/>
            <color indexed="81"/>
            <rFont val="Tahoma"/>
            <family val="2"/>
          </rPr>
          <t>LPA:</t>
        </r>
        <r>
          <rPr>
            <sz val="9"/>
            <color indexed="81"/>
            <rFont val="Tahoma"/>
            <family val="2"/>
          </rPr>
          <t xml:space="preserve">
проверити збир!
</t>
        </r>
      </text>
    </comment>
    <comment ref="I6643" authorId="0">
      <text>
        <r>
          <rPr>
            <b/>
            <sz val="9"/>
            <color indexed="81"/>
            <rFont val="Tahoma"/>
            <family val="2"/>
          </rPr>
          <t>LPA:</t>
        </r>
        <r>
          <rPr>
            <sz val="9"/>
            <color indexed="81"/>
            <rFont val="Tahoma"/>
            <family val="2"/>
          </rPr>
          <t xml:space="preserve">
проверити збир!
</t>
        </r>
      </text>
    </comment>
    <comment ref="I6644" authorId="0">
      <text>
        <r>
          <rPr>
            <b/>
            <sz val="9"/>
            <color indexed="81"/>
            <rFont val="Tahoma"/>
            <family val="2"/>
          </rPr>
          <t>LPA:</t>
        </r>
        <r>
          <rPr>
            <sz val="9"/>
            <color indexed="81"/>
            <rFont val="Tahoma"/>
            <family val="2"/>
          </rPr>
          <t xml:space="preserve">
проверити збир!
</t>
        </r>
      </text>
    </comment>
    <comment ref="I6645" authorId="0">
      <text>
        <r>
          <rPr>
            <b/>
            <sz val="9"/>
            <color indexed="81"/>
            <rFont val="Tahoma"/>
            <family val="2"/>
          </rPr>
          <t>LPA:</t>
        </r>
        <r>
          <rPr>
            <sz val="9"/>
            <color indexed="81"/>
            <rFont val="Tahoma"/>
            <family val="2"/>
          </rPr>
          <t xml:space="preserve">
проверити збир!
</t>
        </r>
      </text>
    </comment>
    <comment ref="I6717" authorId="0">
      <text>
        <r>
          <rPr>
            <b/>
            <sz val="9"/>
            <color indexed="81"/>
            <rFont val="Tahoma"/>
            <family val="2"/>
          </rPr>
          <t>LPA:</t>
        </r>
        <r>
          <rPr>
            <sz val="9"/>
            <color indexed="81"/>
            <rFont val="Tahoma"/>
            <family val="2"/>
          </rPr>
          <t xml:space="preserve">
проверити збир!
</t>
        </r>
      </text>
    </comment>
    <comment ref="I6718" authorId="0">
      <text>
        <r>
          <rPr>
            <b/>
            <sz val="9"/>
            <color indexed="81"/>
            <rFont val="Tahoma"/>
            <family val="2"/>
          </rPr>
          <t>LPA:</t>
        </r>
        <r>
          <rPr>
            <sz val="9"/>
            <color indexed="81"/>
            <rFont val="Tahoma"/>
            <family val="2"/>
          </rPr>
          <t xml:space="preserve">
проверити збир!
</t>
        </r>
      </text>
    </comment>
    <comment ref="I6719" authorId="0">
      <text>
        <r>
          <rPr>
            <b/>
            <sz val="9"/>
            <color indexed="81"/>
            <rFont val="Tahoma"/>
            <family val="2"/>
          </rPr>
          <t>LPA:</t>
        </r>
        <r>
          <rPr>
            <sz val="9"/>
            <color indexed="81"/>
            <rFont val="Tahoma"/>
            <family val="2"/>
          </rPr>
          <t xml:space="preserve">
проверити збир!
</t>
        </r>
      </text>
    </comment>
    <comment ref="I6720" authorId="0">
      <text>
        <r>
          <rPr>
            <b/>
            <sz val="9"/>
            <color indexed="81"/>
            <rFont val="Tahoma"/>
            <family val="2"/>
          </rPr>
          <t>LPA:</t>
        </r>
        <r>
          <rPr>
            <sz val="9"/>
            <color indexed="81"/>
            <rFont val="Tahoma"/>
            <family val="2"/>
          </rPr>
          <t xml:space="preserve">
проверити збир!
</t>
        </r>
      </text>
    </comment>
    <comment ref="I6721" authorId="0">
      <text>
        <r>
          <rPr>
            <b/>
            <sz val="9"/>
            <color indexed="81"/>
            <rFont val="Tahoma"/>
            <family val="2"/>
          </rPr>
          <t>LPA:</t>
        </r>
        <r>
          <rPr>
            <sz val="9"/>
            <color indexed="81"/>
            <rFont val="Tahoma"/>
            <family val="2"/>
          </rPr>
          <t xml:space="preserve">
проверити збир!
</t>
        </r>
      </text>
    </comment>
    <comment ref="I6722" authorId="0">
      <text>
        <r>
          <rPr>
            <b/>
            <sz val="9"/>
            <color indexed="81"/>
            <rFont val="Tahoma"/>
            <family val="2"/>
          </rPr>
          <t>LPA:</t>
        </r>
        <r>
          <rPr>
            <sz val="9"/>
            <color indexed="81"/>
            <rFont val="Tahoma"/>
            <family val="2"/>
          </rPr>
          <t xml:space="preserve">
проверити збир!
</t>
        </r>
      </text>
    </comment>
    <comment ref="I6723" authorId="0">
      <text>
        <r>
          <rPr>
            <b/>
            <sz val="9"/>
            <color indexed="81"/>
            <rFont val="Tahoma"/>
            <family val="2"/>
          </rPr>
          <t>LPA:</t>
        </r>
        <r>
          <rPr>
            <sz val="9"/>
            <color indexed="81"/>
            <rFont val="Tahoma"/>
            <family val="2"/>
          </rPr>
          <t xml:space="preserve">
проверити збир!
</t>
        </r>
      </text>
    </comment>
    <comment ref="I6724" authorId="0">
      <text>
        <r>
          <rPr>
            <b/>
            <sz val="9"/>
            <color indexed="81"/>
            <rFont val="Tahoma"/>
            <family val="2"/>
          </rPr>
          <t>LPA:</t>
        </r>
        <r>
          <rPr>
            <sz val="9"/>
            <color indexed="81"/>
            <rFont val="Tahoma"/>
            <family val="2"/>
          </rPr>
          <t xml:space="preserve">
проверити збир!
</t>
        </r>
      </text>
    </comment>
    <comment ref="I6725" authorId="0">
      <text>
        <r>
          <rPr>
            <b/>
            <sz val="9"/>
            <color indexed="81"/>
            <rFont val="Tahoma"/>
            <family val="2"/>
          </rPr>
          <t>LPA:</t>
        </r>
        <r>
          <rPr>
            <sz val="9"/>
            <color indexed="81"/>
            <rFont val="Tahoma"/>
            <family val="2"/>
          </rPr>
          <t xml:space="preserve">
проверити збир!
</t>
        </r>
      </text>
    </comment>
    <comment ref="I6726" authorId="0">
      <text>
        <r>
          <rPr>
            <b/>
            <sz val="9"/>
            <color indexed="81"/>
            <rFont val="Tahoma"/>
            <family val="2"/>
          </rPr>
          <t>LPA:</t>
        </r>
        <r>
          <rPr>
            <sz val="9"/>
            <color indexed="81"/>
            <rFont val="Tahoma"/>
            <family val="2"/>
          </rPr>
          <t xml:space="preserve">
проверити збир!
</t>
        </r>
      </text>
    </comment>
    <comment ref="I6727" authorId="0">
      <text>
        <r>
          <rPr>
            <b/>
            <sz val="9"/>
            <color indexed="81"/>
            <rFont val="Tahoma"/>
            <family val="2"/>
          </rPr>
          <t>LPA:</t>
        </r>
        <r>
          <rPr>
            <sz val="9"/>
            <color indexed="81"/>
            <rFont val="Tahoma"/>
            <family val="2"/>
          </rPr>
          <t xml:space="preserve">
проверити збир!
</t>
        </r>
      </text>
    </comment>
    <comment ref="I6728" authorId="0">
      <text>
        <r>
          <rPr>
            <b/>
            <sz val="9"/>
            <color indexed="81"/>
            <rFont val="Tahoma"/>
            <family val="2"/>
          </rPr>
          <t>LPA:</t>
        </r>
        <r>
          <rPr>
            <sz val="9"/>
            <color indexed="81"/>
            <rFont val="Tahoma"/>
            <family val="2"/>
          </rPr>
          <t xml:space="preserve">
проверити збир!
</t>
        </r>
      </text>
    </comment>
    <comment ref="I6729" authorId="0">
      <text>
        <r>
          <rPr>
            <b/>
            <sz val="9"/>
            <color indexed="81"/>
            <rFont val="Tahoma"/>
            <family val="2"/>
          </rPr>
          <t>LPA:</t>
        </r>
        <r>
          <rPr>
            <sz val="9"/>
            <color indexed="81"/>
            <rFont val="Tahoma"/>
            <family val="2"/>
          </rPr>
          <t xml:space="preserve">
проверити збир!
</t>
        </r>
      </text>
    </comment>
    <comment ref="H6732" authorId="0">
      <text>
        <r>
          <rPr>
            <b/>
            <sz val="9"/>
            <color indexed="81"/>
            <rFont val="Tahoma"/>
            <family val="2"/>
          </rPr>
          <t>LPA:</t>
        </r>
        <r>
          <rPr>
            <sz val="9"/>
            <color indexed="81"/>
            <rFont val="Tahoma"/>
            <family val="2"/>
          </rPr>
          <t xml:space="preserve">
проверити збир!</t>
        </r>
      </text>
    </comment>
    <comment ref="I6732" authorId="0">
      <text>
        <r>
          <rPr>
            <b/>
            <sz val="9"/>
            <color indexed="81"/>
            <rFont val="Tahoma"/>
            <family val="2"/>
          </rPr>
          <t>LPA:</t>
        </r>
        <r>
          <rPr>
            <sz val="9"/>
            <color indexed="81"/>
            <rFont val="Tahoma"/>
            <family val="2"/>
          </rPr>
          <t xml:space="preserve">
проверити збир!</t>
        </r>
      </text>
    </comment>
    <comment ref="I6733" authorId="0">
      <text>
        <r>
          <rPr>
            <b/>
            <sz val="9"/>
            <color indexed="81"/>
            <rFont val="Tahoma"/>
            <family val="2"/>
          </rPr>
          <t>LPA:</t>
        </r>
        <r>
          <rPr>
            <sz val="9"/>
            <color indexed="81"/>
            <rFont val="Tahoma"/>
            <family val="2"/>
          </rPr>
          <t xml:space="preserve">
проверити збир!
</t>
        </r>
      </text>
    </comment>
    <comment ref="I6734" authorId="0">
      <text>
        <r>
          <rPr>
            <b/>
            <sz val="9"/>
            <color indexed="81"/>
            <rFont val="Tahoma"/>
            <family val="2"/>
          </rPr>
          <t>LPA:</t>
        </r>
        <r>
          <rPr>
            <sz val="9"/>
            <color indexed="81"/>
            <rFont val="Tahoma"/>
            <family val="2"/>
          </rPr>
          <t xml:space="preserve">
проверити збир!
</t>
        </r>
      </text>
    </comment>
    <comment ref="I6735" authorId="0">
      <text>
        <r>
          <rPr>
            <b/>
            <sz val="9"/>
            <color indexed="81"/>
            <rFont val="Tahoma"/>
            <family val="2"/>
          </rPr>
          <t>LPA:</t>
        </r>
        <r>
          <rPr>
            <sz val="9"/>
            <color indexed="81"/>
            <rFont val="Tahoma"/>
            <family val="2"/>
          </rPr>
          <t xml:space="preserve">
проверити збир!
</t>
        </r>
      </text>
    </comment>
    <comment ref="I6736" authorId="0">
      <text>
        <r>
          <rPr>
            <b/>
            <sz val="9"/>
            <color indexed="81"/>
            <rFont val="Tahoma"/>
            <family val="2"/>
          </rPr>
          <t>LPA:</t>
        </r>
        <r>
          <rPr>
            <sz val="9"/>
            <color indexed="81"/>
            <rFont val="Tahoma"/>
            <family val="2"/>
          </rPr>
          <t xml:space="preserve">
проверити збир!
</t>
        </r>
      </text>
    </comment>
    <comment ref="I6737" authorId="0">
      <text>
        <r>
          <rPr>
            <b/>
            <sz val="9"/>
            <color indexed="81"/>
            <rFont val="Tahoma"/>
            <family val="2"/>
          </rPr>
          <t>LPA:</t>
        </r>
        <r>
          <rPr>
            <sz val="9"/>
            <color indexed="81"/>
            <rFont val="Tahoma"/>
            <family val="2"/>
          </rPr>
          <t xml:space="preserve">
проверити збир!
</t>
        </r>
      </text>
    </comment>
    <comment ref="I6738" authorId="0">
      <text>
        <r>
          <rPr>
            <b/>
            <sz val="9"/>
            <color indexed="81"/>
            <rFont val="Tahoma"/>
            <family val="2"/>
          </rPr>
          <t>LPA:</t>
        </r>
        <r>
          <rPr>
            <sz val="9"/>
            <color indexed="81"/>
            <rFont val="Tahoma"/>
            <family val="2"/>
          </rPr>
          <t xml:space="preserve">
проверити збир!
</t>
        </r>
      </text>
    </comment>
    <comment ref="I6739" authorId="0">
      <text>
        <r>
          <rPr>
            <b/>
            <sz val="9"/>
            <color indexed="81"/>
            <rFont val="Tahoma"/>
            <family val="2"/>
          </rPr>
          <t>LPA:</t>
        </r>
        <r>
          <rPr>
            <sz val="9"/>
            <color indexed="81"/>
            <rFont val="Tahoma"/>
            <family val="2"/>
          </rPr>
          <t xml:space="preserve">
проверити збир!
</t>
        </r>
      </text>
    </comment>
    <comment ref="I6740" authorId="0">
      <text>
        <r>
          <rPr>
            <b/>
            <sz val="9"/>
            <color indexed="81"/>
            <rFont val="Tahoma"/>
            <family val="2"/>
          </rPr>
          <t>LPA:</t>
        </r>
        <r>
          <rPr>
            <sz val="9"/>
            <color indexed="81"/>
            <rFont val="Tahoma"/>
            <family val="2"/>
          </rPr>
          <t xml:space="preserve">
проверити збир!
</t>
        </r>
      </text>
    </comment>
    <comment ref="I6741" authorId="0">
      <text>
        <r>
          <rPr>
            <b/>
            <sz val="9"/>
            <color indexed="81"/>
            <rFont val="Tahoma"/>
            <family val="2"/>
          </rPr>
          <t>LPA:</t>
        </r>
        <r>
          <rPr>
            <sz val="9"/>
            <color indexed="81"/>
            <rFont val="Tahoma"/>
            <family val="2"/>
          </rPr>
          <t xml:space="preserve">
проверити збир!
</t>
        </r>
      </text>
    </comment>
    <comment ref="I6742" authorId="0">
      <text>
        <r>
          <rPr>
            <b/>
            <sz val="9"/>
            <color indexed="81"/>
            <rFont val="Tahoma"/>
            <family val="2"/>
          </rPr>
          <t>LPA:</t>
        </r>
        <r>
          <rPr>
            <sz val="9"/>
            <color indexed="81"/>
            <rFont val="Tahoma"/>
            <family val="2"/>
          </rPr>
          <t xml:space="preserve">
проверити збир!
</t>
        </r>
      </text>
    </comment>
    <comment ref="I6743" authorId="0">
      <text>
        <r>
          <rPr>
            <b/>
            <sz val="9"/>
            <color indexed="81"/>
            <rFont val="Tahoma"/>
            <family val="2"/>
          </rPr>
          <t>LPA:</t>
        </r>
        <r>
          <rPr>
            <sz val="9"/>
            <color indexed="81"/>
            <rFont val="Tahoma"/>
            <family val="2"/>
          </rPr>
          <t xml:space="preserve">
проверити збир!
</t>
        </r>
      </text>
    </comment>
    <comment ref="I6744" authorId="0">
      <text>
        <r>
          <rPr>
            <b/>
            <sz val="9"/>
            <color indexed="81"/>
            <rFont val="Tahoma"/>
            <family val="2"/>
          </rPr>
          <t>LPA:</t>
        </r>
        <r>
          <rPr>
            <sz val="9"/>
            <color indexed="81"/>
            <rFont val="Tahoma"/>
            <family val="2"/>
          </rPr>
          <t xml:space="preserve">
проверити збир!
</t>
        </r>
      </text>
    </comment>
    <comment ref="I6745" authorId="0">
      <text>
        <r>
          <rPr>
            <b/>
            <sz val="9"/>
            <color indexed="81"/>
            <rFont val="Tahoma"/>
            <family val="2"/>
          </rPr>
          <t>LPA:</t>
        </r>
        <r>
          <rPr>
            <sz val="9"/>
            <color indexed="81"/>
            <rFont val="Tahoma"/>
            <family val="2"/>
          </rPr>
          <t xml:space="preserve">
проверити збир!
</t>
        </r>
      </text>
    </comment>
    <comment ref="I6746" authorId="0">
      <text>
        <r>
          <rPr>
            <b/>
            <sz val="9"/>
            <color indexed="81"/>
            <rFont val="Tahoma"/>
            <family val="2"/>
          </rPr>
          <t>LPA:</t>
        </r>
        <r>
          <rPr>
            <sz val="9"/>
            <color indexed="81"/>
            <rFont val="Tahoma"/>
            <family val="2"/>
          </rPr>
          <t xml:space="preserve">
проверити збир!
</t>
        </r>
      </text>
    </comment>
    <comment ref="I6747" authorId="0">
      <text>
        <r>
          <rPr>
            <b/>
            <sz val="9"/>
            <color indexed="81"/>
            <rFont val="Tahoma"/>
            <family val="2"/>
          </rPr>
          <t>LPA:</t>
        </r>
        <r>
          <rPr>
            <sz val="9"/>
            <color indexed="81"/>
            <rFont val="Tahoma"/>
            <family val="2"/>
          </rPr>
          <t xml:space="preserve">
проверити збир!
</t>
        </r>
      </text>
    </comment>
    <comment ref="H6762" authorId="0">
      <text>
        <r>
          <rPr>
            <b/>
            <sz val="9"/>
            <color indexed="81"/>
            <rFont val="Tahoma"/>
            <family val="2"/>
          </rPr>
          <t>LPA:</t>
        </r>
        <r>
          <rPr>
            <sz val="9"/>
            <color indexed="81"/>
            <rFont val="Tahoma"/>
            <family val="2"/>
          </rPr>
          <t xml:space="preserve">
200.000 štampanje flajera, 200.000 učešće na sajmovima</t>
        </r>
      </text>
    </comment>
    <comment ref="I6816" authorId="0">
      <text>
        <r>
          <rPr>
            <b/>
            <sz val="9"/>
            <color indexed="81"/>
            <rFont val="Tahoma"/>
            <family val="2"/>
          </rPr>
          <t>LPA:</t>
        </r>
        <r>
          <rPr>
            <sz val="9"/>
            <color indexed="81"/>
            <rFont val="Tahoma"/>
            <family val="2"/>
          </rPr>
          <t xml:space="preserve">
проверити збир!
</t>
        </r>
      </text>
    </comment>
    <comment ref="I6817" authorId="0">
      <text>
        <r>
          <rPr>
            <b/>
            <sz val="9"/>
            <color indexed="81"/>
            <rFont val="Tahoma"/>
            <family val="2"/>
          </rPr>
          <t>LPA:</t>
        </r>
        <r>
          <rPr>
            <sz val="9"/>
            <color indexed="81"/>
            <rFont val="Tahoma"/>
            <family val="2"/>
          </rPr>
          <t xml:space="preserve">
проверити збир!
</t>
        </r>
      </text>
    </comment>
    <comment ref="I6818" authorId="0">
      <text>
        <r>
          <rPr>
            <b/>
            <sz val="9"/>
            <color indexed="81"/>
            <rFont val="Tahoma"/>
            <family val="2"/>
          </rPr>
          <t>LPA:</t>
        </r>
        <r>
          <rPr>
            <sz val="9"/>
            <color indexed="81"/>
            <rFont val="Tahoma"/>
            <family val="2"/>
          </rPr>
          <t xml:space="preserve">
проверити збир!
</t>
        </r>
      </text>
    </comment>
    <comment ref="I6819" authorId="0">
      <text>
        <r>
          <rPr>
            <b/>
            <sz val="9"/>
            <color indexed="81"/>
            <rFont val="Tahoma"/>
            <family val="2"/>
          </rPr>
          <t>LPA:</t>
        </r>
        <r>
          <rPr>
            <sz val="9"/>
            <color indexed="81"/>
            <rFont val="Tahoma"/>
            <family val="2"/>
          </rPr>
          <t xml:space="preserve">
проверити збир!
</t>
        </r>
      </text>
    </comment>
    <comment ref="I6820" authorId="0">
      <text>
        <r>
          <rPr>
            <b/>
            <sz val="9"/>
            <color indexed="81"/>
            <rFont val="Tahoma"/>
            <family val="2"/>
          </rPr>
          <t>LPA:</t>
        </r>
        <r>
          <rPr>
            <sz val="9"/>
            <color indexed="81"/>
            <rFont val="Tahoma"/>
            <family val="2"/>
          </rPr>
          <t xml:space="preserve">
проверити збир!
</t>
        </r>
      </text>
    </comment>
    <comment ref="I6821" authorId="0">
      <text>
        <r>
          <rPr>
            <b/>
            <sz val="9"/>
            <color indexed="81"/>
            <rFont val="Tahoma"/>
            <family val="2"/>
          </rPr>
          <t>LPA:</t>
        </r>
        <r>
          <rPr>
            <sz val="9"/>
            <color indexed="81"/>
            <rFont val="Tahoma"/>
            <family val="2"/>
          </rPr>
          <t xml:space="preserve">
проверити збир!
</t>
        </r>
      </text>
    </comment>
    <comment ref="I6822" authorId="0">
      <text>
        <r>
          <rPr>
            <b/>
            <sz val="9"/>
            <color indexed="81"/>
            <rFont val="Tahoma"/>
            <family val="2"/>
          </rPr>
          <t>LPA:</t>
        </r>
        <r>
          <rPr>
            <sz val="9"/>
            <color indexed="81"/>
            <rFont val="Tahoma"/>
            <family val="2"/>
          </rPr>
          <t xml:space="preserve">
проверити збир!
</t>
        </r>
      </text>
    </comment>
    <comment ref="I6823" authorId="0">
      <text>
        <r>
          <rPr>
            <b/>
            <sz val="9"/>
            <color indexed="81"/>
            <rFont val="Tahoma"/>
            <family val="2"/>
          </rPr>
          <t>LPA:</t>
        </r>
        <r>
          <rPr>
            <sz val="9"/>
            <color indexed="81"/>
            <rFont val="Tahoma"/>
            <family val="2"/>
          </rPr>
          <t xml:space="preserve">
проверити збир!
</t>
        </r>
      </text>
    </comment>
    <comment ref="I6824" authorId="0">
      <text>
        <r>
          <rPr>
            <b/>
            <sz val="9"/>
            <color indexed="81"/>
            <rFont val="Tahoma"/>
            <family val="2"/>
          </rPr>
          <t>LPA:</t>
        </r>
        <r>
          <rPr>
            <sz val="9"/>
            <color indexed="81"/>
            <rFont val="Tahoma"/>
            <family val="2"/>
          </rPr>
          <t xml:space="preserve">
проверити збир!
</t>
        </r>
      </text>
    </comment>
    <comment ref="I6825" authorId="0">
      <text>
        <r>
          <rPr>
            <b/>
            <sz val="9"/>
            <color indexed="81"/>
            <rFont val="Tahoma"/>
            <family val="2"/>
          </rPr>
          <t>LPA:</t>
        </r>
        <r>
          <rPr>
            <sz val="9"/>
            <color indexed="81"/>
            <rFont val="Tahoma"/>
            <family val="2"/>
          </rPr>
          <t xml:space="preserve">
проверити збир!
</t>
        </r>
      </text>
    </comment>
    <comment ref="I6826" authorId="0">
      <text>
        <r>
          <rPr>
            <b/>
            <sz val="9"/>
            <color indexed="81"/>
            <rFont val="Tahoma"/>
            <family val="2"/>
          </rPr>
          <t>LPA:</t>
        </r>
        <r>
          <rPr>
            <sz val="9"/>
            <color indexed="81"/>
            <rFont val="Tahoma"/>
            <family val="2"/>
          </rPr>
          <t xml:space="preserve">
проверити збир!
</t>
        </r>
      </text>
    </comment>
    <comment ref="I6827" authorId="0">
      <text>
        <r>
          <rPr>
            <b/>
            <sz val="9"/>
            <color indexed="81"/>
            <rFont val="Tahoma"/>
            <family val="2"/>
          </rPr>
          <t>LPA:</t>
        </r>
        <r>
          <rPr>
            <sz val="9"/>
            <color indexed="81"/>
            <rFont val="Tahoma"/>
            <family val="2"/>
          </rPr>
          <t xml:space="preserve">
проверити збир!
</t>
        </r>
      </text>
    </comment>
    <comment ref="I6828" authorId="0">
      <text>
        <r>
          <rPr>
            <b/>
            <sz val="9"/>
            <color indexed="81"/>
            <rFont val="Tahoma"/>
            <family val="2"/>
          </rPr>
          <t>LPA:</t>
        </r>
        <r>
          <rPr>
            <sz val="9"/>
            <color indexed="81"/>
            <rFont val="Tahoma"/>
            <family val="2"/>
          </rPr>
          <t xml:space="preserve">
проверити збир!
</t>
        </r>
      </text>
    </comment>
    <comment ref="H6831" authorId="0">
      <text>
        <r>
          <rPr>
            <b/>
            <sz val="9"/>
            <color indexed="81"/>
            <rFont val="Tahoma"/>
            <family val="2"/>
          </rPr>
          <t>LPA:</t>
        </r>
        <r>
          <rPr>
            <sz val="9"/>
            <color indexed="81"/>
            <rFont val="Tahoma"/>
            <family val="2"/>
          </rPr>
          <t xml:space="preserve">
проверити збир!</t>
        </r>
      </text>
    </comment>
    <comment ref="I6831" authorId="0">
      <text>
        <r>
          <rPr>
            <b/>
            <sz val="9"/>
            <color indexed="81"/>
            <rFont val="Tahoma"/>
            <family val="2"/>
          </rPr>
          <t>LPA:</t>
        </r>
        <r>
          <rPr>
            <sz val="9"/>
            <color indexed="81"/>
            <rFont val="Tahoma"/>
            <family val="2"/>
          </rPr>
          <t xml:space="preserve">
проверити збир!</t>
        </r>
      </text>
    </comment>
    <comment ref="I6832" authorId="0">
      <text>
        <r>
          <rPr>
            <b/>
            <sz val="9"/>
            <color indexed="81"/>
            <rFont val="Tahoma"/>
            <family val="2"/>
          </rPr>
          <t>LPA:</t>
        </r>
        <r>
          <rPr>
            <sz val="9"/>
            <color indexed="81"/>
            <rFont val="Tahoma"/>
            <family val="2"/>
          </rPr>
          <t xml:space="preserve">
проверити збир!
</t>
        </r>
      </text>
    </comment>
    <comment ref="I6833" authorId="0">
      <text>
        <r>
          <rPr>
            <b/>
            <sz val="9"/>
            <color indexed="81"/>
            <rFont val="Tahoma"/>
            <family val="2"/>
          </rPr>
          <t>LPA:</t>
        </r>
        <r>
          <rPr>
            <sz val="9"/>
            <color indexed="81"/>
            <rFont val="Tahoma"/>
            <family val="2"/>
          </rPr>
          <t xml:space="preserve">
проверити збир!
</t>
        </r>
      </text>
    </comment>
    <comment ref="I6834" authorId="0">
      <text>
        <r>
          <rPr>
            <b/>
            <sz val="9"/>
            <color indexed="81"/>
            <rFont val="Tahoma"/>
            <family val="2"/>
          </rPr>
          <t>LPA:</t>
        </r>
        <r>
          <rPr>
            <sz val="9"/>
            <color indexed="81"/>
            <rFont val="Tahoma"/>
            <family val="2"/>
          </rPr>
          <t xml:space="preserve">
проверити збир!
</t>
        </r>
      </text>
    </comment>
    <comment ref="I6835" authorId="0">
      <text>
        <r>
          <rPr>
            <b/>
            <sz val="9"/>
            <color indexed="81"/>
            <rFont val="Tahoma"/>
            <family val="2"/>
          </rPr>
          <t>LPA:</t>
        </r>
        <r>
          <rPr>
            <sz val="9"/>
            <color indexed="81"/>
            <rFont val="Tahoma"/>
            <family val="2"/>
          </rPr>
          <t xml:space="preserve">
проверити збир!
</t>
        </r>
      </text>
    </comment>
    <comment ref="I6836" authorId="0">
      <text>
        <r>
          <rPr>
            <b/>
            <sz val="9"/>
            <color indexed="81"/>
            <rFont val="Tahoma"/>
            <family val="2"/>
          </rPr>
          <t>LPA:</t>
        </r>
        <r>
          <rPr>
            <sz val="9"/>
            <color indexed="81"/>
            <rFont val="Tahoma"/>
            <family val="2"/>
          </rPr>
          <t xml:space="preserve">
проверити збир!
</t>
        </r>
      </text>
    </comment>
    <comment ref="I6837" authorId="0">
      <text>
        <r>
          <rPr>
            <b/>
            <sz val="9"/>
            <color indexed="81"/>
            <rFont val="Tahoma"/>
            <family val="2"/>
          </rPr>
          <t>LPA:</t>
        </r>
        <r>
          <rPr>
            <sz val="9"/>
            <color indexed="81"/>
            <rFont val="Tahoma"/>
            <family val="2"/>
          </rPr>
          <t xml:space="preserve">
проверити збир!
</t>
        </r>
      </text>
    </comment>
    <comment ref="I6838" authorId="0">
      <text>
        <r>
          <rPr>
            <b/>
            <sz val="9"/>
            <color indexed="81"/>
            <rFont val="Tahoma"/>
            <family val="2"/>
          </rPr>
          <t>LPA:</t>
        </r>
        <r>
          <rPr>
            <sz val="9"/>
            <color indexed="81"/>
            <rFont val="Tahoma"/>
            <family val="2"/>
          </rPr>
          <t xml:space="preserve">
проверити збир!
</t>
        </r>
      </text>
    </comment>
    <comment ref="I6839" authorId="0">
      <text>
        <r>
          <rPr>
            <b/>
            <sz val="9"/>
            <color indexed="81"/>
            <rFont val="Tahoma"/>
            <family val="2"/>
          </rPr>
          <t>LPA:</t>
        </r>
        <r>
          <rPr>
            <sz val="9"/>
            <color indexed="81"/>
            <rFont val="Tahoma"/>
            <family val="2"/>
          </rPr>
          <t xml:space="preserve">
проверити збир!
</t>
        </r>
      </text>
    </comment>
    <comment ref="I6840" authorId="0">
      <text>
        <r>
          <rPr>
            <b/>
            <sz val="9"/>
            <color indexed="81"/>
            <rFont val="Tahoma"/>
            <family val="2"/>
          </rPr>
          <t>LPA:</t>
        </r>
        <r>
          <rPr>
            <sz val="9"/>
            <color indexed="81"/>
            <rFont val="Tahoma"/>
            <family val="2"/>
          </rPr>
          <t xml:space="preserve">
проверити збир!
</t>
        </r>
      </text>
    </comment>
    <comment ref="I6841" authorId="0">
      <text>
        <r>
          <rPr>
            <b/>
            <sz val="9"/>
            <color indexed="81"/>
            <rFont val="Tahoma"/>
            <family val="2"/>
          </rPr>
          <t>LPA:</t>
        </r>
        <r>
          <rPr>
            <sz val="9"/>
            <color indexed="81"/>
            <rFont val="Tahoma"/>
            <family val="2"/>
          </rPr>
          <t xml:space="preserve">
проверити збир!
</t>
        </r>
      </text>
    </comment>
    <comment ref="I6842" authorId="0">
      <text>
        <r>
          <rPr>
            <b/>
            <sz val="9"/>
            <color indexed="81"/>
            <rFont val="Tahoma"/>
            <family val="2"/>
          </rPr>
          <t>LPA:</t>
        </r>
        <r>
          <rPr>
            <sz val="9"/>
            <color indexed="81"/>
            <rFont val="Tahoma"/>
            <family val="2"/>
          </rPr>
          <t xml:space="preserve">
проверити збир!
</t>
        </r>
      </text>
    </comment>
    <comment ref="I6843" authorId="0">
      <text>
        <r>
          <rPr>
            <b/>
            <sz val="9"/>
            <color indexed="81"/>
            <rFont val="Tahoma"/>
            <family val="2"/>
          </rPr>
          <t>LPA:</t>
        </r>
        <r>
          <rPr>
            <sz val="9"/>
            <color indexed="81"/>
            <rFont val="Tahoma"/>
            <family val="2"/>
          </rPr>
          <t xml:space="preserve">
проверити збир!
</t>
        </r>
      </text>
    </comment>
    <comment ref="I6844" authorId="0">
      <text>
        <r>
          <rPr>
            <b/>
            <sz val="9"/>
            <color indexed="81"/>
            <rFont val="Tahoma"/>
            <family val="2"/>
          </rPr>
          <t>LPA:</t>
        </r>
        <r>
          <rPr>
            <sz val="9"/>
            <color indexed="81"/>
            <rFont val="Tahoma"/>
            <family val="2"/>
          </rPr>
          <t xml:space="preserve">
проверити збир!
</t>
        </r>
      </text>
    </comment>
    <comment ref="I6845" authorId="0">
      <text>
        <r>
          <rPr>
            <b/>
            <sz val="9"/>
            <color indexed="81"/>
            <rFont val="Tahoma"/>
            <family val="2"/>
          </rPr>
          <t>LPA:</t>
        </r>
        <r>
          <rPr>
            <sz val="9"/>
            <color indexed="81"/>
            <rFont val="Tahoma"/>
            <family val="2"/>
          </rPr>
          <t xml:space="preserve">
проверити збир!
</t>
        </r>
      </text>
    </comment>
    <comment ref="I6846" authorId="0">
      <text>
        <r>
          <rPr>
            <b/>
            <sz val="9"/>
            <color indexed="81"/>
            <rFont val="Tahoma"/>
            <family val="2"/>
          </rPr>
          <t>LPA:</t>
        </r>
        <r>
          <rPr>
            <sz val="9"/>
            <color indexed="81"/>
            <rFont val="Tahoma"/>
            <family val="2"/>
          </rPr>
          <t xml:space="preserve">
проверити збир!
</t>
        </r>
      </text>
    </comment>
    <comment ref="I6915" authorId="0">
      <text>
        <r>
          <rPr>
            <b/>
            <sz val="9"/>
            <color indexed="81"/>
            <rFont val="Tahoma"/>
            <family val="2"/>
          </rPr>
          <t>LPA:</t>
        </r>
        <r>
          <rPr>
            <sz val="9"/>
            <color indexed="81"/>
            <rFont val="Tahoma"/>
            <family val="2"/>
          </rPr>
          <t xml:space="preserve">
проверити збир!
</t>
        </r>
      </text>
    </comment>
    <comment ref="I6916" authorId="0">
      <text>
        <r>
          <rPr>
            <b/>
            <sz val="9"/>
            <color indexed="81"/>
            <rFont val="Tahoma"/>
            <family val="2"/>
          </rPr>
          <t>LPA:</t>
        </r>
        <r>
          <rPr>
            <sz val="9"/>
            <color indexed="81"/>
            <rFont val="Tahoma"/>
            <family val="2"/>
          </rPr>
          <t xml:space="preserve">
проверити збир!
</t>
        </r>
      </text>
    </comment>
    <comment ref="I6917" authorId="0">
      <text>
        <r>
          <rPr>
            <b/>
            <sz val="9"/>
            <color indexed="81"/>
            <rFont val="Tahoma"/>
            <family val="2"/>
          </rPr>
          <t>LPA:</t>
        </r>
        <r>
          <rPr>
            <sz val="9"/>
            <color indexed="81"/>
            <rFont val="Tahoma"/>
            <family val="2"/>
          </rPr>
          <t xml:space="preserve">
проверити збир!
</t>
        </r>
      </text>
    </comment>
    <comment ref="I6918" authorId="0">
      <text>
        <r>
          <rPr>
            <b/>
            <sz val="9"/>
            <color indexed="81"/>
            <rFont val="Tahoma"/>
            <family val="2"/>
          </rPr>
          <t>LPA:</t>
        </r>
        <r>
          <rPr>
            <sz val="9"/>
            <color indexed="81"/>
            <rFont val="Tahoma"/>
            <family val="2"/>
          </rPr>
          <t xml:space="preserve">
проверити збир!
</t>
        </r>
      </text>
    </comment>
    <comment ref="I6919" authorId="0">
      <text>
        <r>
          <rPr>
            <b/>
            <sz val="9"/>
            <color indexed="81"/>
            <rFont val="Tahoma"/>
            <family val="2"/>
          </rPr>
          <t>LPA:</t>
        </r>
        <r>
          <rPr>
            <sz val="9"/>
            <color indexed="81"/>
            <rFont val="Tahoma"/>
            <family val="2"/>
          </rPr>
          <t xml:space="preserve">
проверити збир!
</t>
        </r>
      </text>
    </comment>
    <comment ref="I6920" authorId="0">
      <text>
        <r>
          <rPr>
            <b/>
            <sz val="9"/>
            <color indexed="81"/>
            <rFont val="Tahoma"/>
            <family val="2"/>
          </rPr>
          <t>LPA:</t>
        </r>
        <r>
          <rPr>
            <sz val="9"/>
            <color indexed="81"/>
            <rFont val="Tahoma"/>
            <family val="2"/>
          </rPr>
          <t xml:space="preserve">
проверити збир!
</t>
        </r>
      </text>
    </comment>
    <comment ref="I6921" authorId="0">
      <text>
        <r>
          <rPr>
            <b/>
            <sz val="9"/>
            <color indexed="81"/>
            <rFont val="Tahoma"/>
            <family val="2"/>
          </rPr>
          <t>LPA:</t>
        </r>
        <r>
          <rPr>
            <sz val="9"/>
            <color indexed="81"/>
            <rFont val="Tahoma"/>
            <family val="2"/>
          </rPr>
          <t xml:space="preserve">
проверити збир!
</t>
        </r>
      </text>
    </comment>
    <comment ref="I6922" authorId="0">
      <text>
        <r>
          <rPr>
            <b/>
            <sz val="9"/>
            <color indexed="81"/>
            <rFont val="Tahoma"/>
            <family val="2"/>
          </rPr>
          <t>LPA:</t>
        </r>
        <r>
          <rPr>
            <sz val="9"/>
            <color indexed="81"/>
            <rFont val="Tahoma"/>
            <family val="2"/>
          </rPr>
          <t xml:space="preserve">
проверити збир!
</t>
        </r>
      </text>
    </comment>
    <comment ref="I6923" authorId="0">
      <text>
        <r>
          <rPr>
            <b/>
            <sz val="9"/>
            <color indexed="81"/>
            <rFont val="Tahoma"/>
            <family val="2"/>
          </rPr>
          <t>LPA:</t>
        </r>
        <r>
          <rPr>
            <sz val="9"/>
            <color indexed="81"/>
            <rFont val="Tahoma"/>
            <family val="2"/>
          </rPr>
          <t xml:space="preserve">
проверити збир!
</t>
        </r>
      </text>
    </comment>
    <comment ref="I6924" authorId="0">
      <text>
        <r>
          <rPr>
            <b/>
            <sz val="9"/>
            <color indexed="81"/>
            <rFont val="Tahoma"/>
            <family val="2"/>
          </rPr>
          <t>LPA:</t>
        </r>
        <r>
          <rPr>
            <sz val="9"/>
            <color indexed="81"/>
            <rFont val="Tahoma"/>
            <family val="2"/>
          </rPr>
          <t xml:space="preserve">
проверити збир!
</t>
        </r>
      </text>
    </comment>
    <comment ref="I6925" authorId="0">
      <text>
        <r>
          <rPr>
            <b/>
            <sz val="9"/>
            <color indexed="81"/>
            <rFont val="Tahoma"/>
            <family val="2"/>
          </rPr>
          <t>LPA:</t>
        </r>
        <r>
          <rPr>
            <sz val="9"/>
            <color indexed="81"/>
            <rFont val="Tahoma"/>
            <family val="2"/>
          </rPr>
          <t xml:space="preserve">
проверити збир!
</t>
        </r>
      </text>
    </comment>
    <comment ref="I6926" authorId="0">
      <text>
        <r>
          <rPr>
            <b/>
            <sz val="9"/>
            <color indexed="81"/>
            <rFont val="Tahoma"/>
            <family val="2"/>
          </rPr>
          <t>LPA:</t>
        </r>
        <r>
          <rPr>
            <sz val="9"/>
            <color indexed="81"/>
            <rFont val="Tahoma"/>
            <family val="2"/>
          </rPr>
          <t xml:space="preserve">
проверити збир!
</t>
        </r>
      </text>
    </comment>
    <comment ref="I6927" authorId="0">
      <text>
        <r>
          <rPr>
            <b/>
            <sz val="9"/>
            <color indexed="81"/>
            <rFont val="Tahoma"/>
            <family val="2"/>
          </rPr>
          <t>LPA:</t>
        </r>
        <r>
          <rPr>
            <sz val="9"/>
            <color indexed="81"/>
            <rFont val="Tahoma"/>
            <family val="2"/>
          </rPr>
          <t xml:space="preserve">
проверити збир!
</t>
        </r>
      </text>
    </comment>
    <comment ref="I6933" authorId="0">
      <text>
        <r>
          <rPr>
            <b/>
            <sz val="9"/>
            <color indexed="81"/>
            <rFont val="Tahoma"/>
            <family val="2"/>
          </rPr>
          <t>LPA:</t>
        </r>
        <r>
          <rPr>
            <sz val="9"/>
            <color indexed="81"/>
            <rFont val="Tahoma"/>
            <family val="2"/>
          </rPr>
          <t xml:space="preserve">
проверити збир!
</t>
        </r>
      </text>
    </comment>
    <comment ref="I6934" authorId="0">
      <text>
        <r>
          <rPr>
            <b/>
            <sz val="9"/>
            <color indexed="81"/>
            <rFont val="Tahoma"/>
            <family val="2"/>
          </rPr>
          <t>LPA:</t>
        </r>
        <r>
          <rPr>
            <sz val="9"/>
            <color indexed="81"/>
            <rFont val="Tahoma"/>
            <family val="2"/>
          </rPr>
          <t xml:space="preserve">
проверити збир!
</t>
        </r>
      </text>
    </comment>
    <comment ref="I6935" authorId="0">
      <text>
        <r>
          <rPr>
            <b/>
            <sz val="9"/>
            <color indexed="81"/>
            <rFont val="Tahoma"/>
            <family val="2"/>
          </rPr>
          <t>LPA:</t>
        </r>
        <r>
          <rPr>
            <sz val="9"/>
            <color indexed="81"/>
            <rFont val="Tahoma"/>
            <family val="2"/>
          </rPr>
          <t xml:space="preserve">
проверити збир!
</t>
        </r>
      </text>
    </comment>
    <comment ref="I6936" authorId="0">
      <text>
        <r>
          <rPr>
            <b/>
            <sz val="9"/>
            <color indexed="81"/>
            <rFont val="Tahoma"/>
            <family val="2"/>
          </rPr>
          <t>LPA:</t>
        </r>
        <r>
          <rPr>
            <sz val="9"/>
            <color indexed="81"/>
            <rFont val="Tahoma"/>
            <family val="2"/>
          </rPr>
          <t xml:space="preserve">
проверити збир!
</t>
        </r>
      </text>
    </comment>
    <comment ref="I6937" authorId="0">
      <text>
        <r>
          <rPr>
            <b/>
            <sz val="9"/>
            <color indexed="81"/>
            <rFont val="Tahoma"/>
            <family val="2"/>
          </rPr>
          <t>LPA:</t>
        </r>
        <r>
          <rPr>
            <sz val="9"/>
            <color indexed="81"/>
            <rFont val="Tahoma"/>
            <family val="2"/>
          </rPr>
          <t xml:space="preserve">
проверити збир!
</t>
        </r>
      </text>
    </comment>
    <comment ref="I6938" authorId="0">
      <text>
        <r>
          <rPr>
            <b/>
            <sz val="9"/>
            <color indexed="81"/>
            <rFont val="Tahoma"/>
            <family val="2"/>
          </rPr>
          <t>LPA:</t>
        </r>
        <r>
          <rPr>
            <sz val="9"/>
            <color indexed="81"/>
            <rFont val="Tahoma"/>
            <family val="2"/>
          </rPr>
          <t xml:space="preserve">
проверити збир!
</t>
        </r>
      </text>
    </comment>
    <comment ref="I6939" authorId="0">
      <text>
        <r>
          <rPr>
            <b/>
            <sz val="9"/>
            <color indexed="81"/>
            <rFont val="Tahoma"/>
            <family val="2"/>
          </rPr>
          <t>LPA:</t>
        </r>
        <r>
          <rPr>
            <sz val="9"/>
            <color indexed="81"/>
            <rFont val="Tahoma"/>
            <family val="2"/>
          </rPr>
          <t xml:space="preserve">
проверити збир!
</t>
        </r>
      </text>
    </comment>
    <comment ref="I6940" authorId="0">
      <text>
        <r>
          <rPr>
            <b/>
            <sz val="9"/>
            <color indexed="81"/>
            <rFont val="Tahoma"/>
            <family val="2"/>
          </rPr>
          <t>LPA:</t>
        </r>
        <r>
          <rPr>
            <sz val="9"/>
            <color indexed="81"/>
            <rFont val="Tahoma"/>
            <family val="2"/>
          </rPr>
          <t xml:space="preserve">
проверити збир!
</t>
        </r>
      </text>
    </comment>
    <comment ref="I6941" authorId="0">
      <text>
        <r>
          <rPr>
            <b/>
            <sz val="9"/>
            <color indexed="81"/>
            <rFont val="Tahoma"/>
            <family val="2"/>
          </rPr>
          <t>LPA:</t>
        </r>
        <r>
          <rPr>
            <sz val="9"/>
            <color indexed="81"/>
            <rFont val="Tahoma"/>
            <family val="2"/>
          </rPr>
          <t xml:space="preserve">
проверити збир!
</t>
        </r>
      </text>
    </comment>
    <comment ref="I6942" authorId="0">
      <text>
        <r>
          <rPr>
            <b/>
            <sz val="9"/>
            <color indexed="81"/>
            <rFont val="Tahoma"/>
            <family val="2"/>
          </rPr>
          <t>LPA:</t>
        </r>
        <r>
          <rPr>
            <sz val="9"/>
            <color indexed="81"/>
            <rFont val="Tahoma"/>
            <family val="2"/>
          </rPr>
          <t xml:space="preserve">
проверити збир!
</t>
        </r>
      </text>
    </comment>
    <comment ref="I6943" authorId="0">
      <text>
        <r>
          <rPr>
            <b/>
            <sz val="9"/>
            <color indexed="81"/>
            <rFont val="Tahoma"/>
            <family val="2"/>
          </rPr>
          <t>LPA:</t>
        </r>
        <r>
          <rPr>
            <sz val="9"/>
            <color indexed="81"/>
            <rFont val="Tahoma"/>
            <family val="2"/>
          </rPr>
          <t xml:space="preserve">
проверити збир!
</t>
        </r>
      </text>
    </comment>
    <comment ref="I6944" authorId="0">
      <text>
        <r>
          <rPr>
            <b/>
            <sz val="9"/>
            <color indexed="81"/>
            <rFont val="Tahoma"/>
            <family val="2"/>
          </rPr>
          <t>LPA:</t>
        </r>
        <r>
          <rPr>
            <sz val="9"/>
            <color indexed="81"/>
            <rFont val="Tahoma"/>
            <family val="2"/>
          </rPr>
          <t xml:space="preserve">
проверити збир!
</t>
        </r>
      </text>
    </comment>
    <comment ref="I6945" authorId="0">
      <text>
        <r>
          <rPr>
            <b/>
            <sz val="9"/>
            <color indexed="81"/>
            <rFont val="Tahoma"/>
            <family val="2"/>
          </rPr>
          <t>LPA:</t>
        </r>
        <r>
          <rPr>
            <sz val="9"/>
            <color indexed="81"/>
            <rFont val="Tahoma"/>
            <family val="2"/>
          </rPr>
          <t xml:space="preserve">
проверити збир!
</t>
        </r>
      </text>
    </comment>
    <comment ref="I7014" authorId="0">
      <text>
        <r>
          <rPr>
            <b/>
            <sz val="9"/>
            <color indexed="81"/>
            <rFont val="Tahoma"/>
            <family val="2"/>
          </rPr>
          <t>LPA:</t>
        </r>
        <r>
          <rPr>
            <sz val="9"/>
            <color indexed="81"/>
            <rFont val="Tahoma"/>
            <family val="2"/>
          </rPr>
          <t xml:space="preserve">
проверити збир!
</t>
        </r>
      </text>
    </comment>
    <comment ref="I7015" authorId="0">
      <text>
        <r>
          <rPr>
            <b/>
            <sz val="9"/>
            <color indexed="81"/>
            <rFont val="Tahoma"/>
            <family val="2"/>
          </rPr>
          <t>LPA:</t>
        </r>
        <r>
          <rPr>
            <sz val="9"/>
            <color indexed="81"/>
            <rFont val="Tahoma"/>
            <family val="2"/>
          </rPr>
          <t xml:space="preserve">
проверити збир!
</t>
        </r>
      </text>
    </comment>
    <comment ref="I7016" authorId="0">
      <text>
        <r>
          <rPr>
            <b/>
            <sz val="9"/>
            <color indexed="81"/>
            <rFont val="Tahoma"/>
            <family val="2"/>
          </rPr>
          <t>LPA:</t>
        </r>
        <r>
          <rPr>
            <sz val="9"/>
            <color indexed="81"/>
            <rFont val="Tahoma"/>
            <family val="2"/>
          </rPr>
          <t xml:space="preserve">
проверити збир!
</t>
        </r>
      </text>
    </comment>
    <comment ref="I7017" authorId="0">
      <text>
        <r>
          <rPr>
            <b/>
            <sz val="9"/>
            <color indexed="81"/>
            <rFont val="Tahoma"/>
            <family val="2"/>
          </rPr>
          <t>LPA:</t>
        </r>
        <r>
          <rPr>
            <sz val="9"/>
            <color indexed="81"/>
            <rFont val="Tahoma"/>
            <family val="2"/>
          </rPr>
          <t xml:space="preserve">
проверити збир!
</t>
        </r>
      </text>
    </comment>
    <comment ref="I7018" authorId="0">
      <text>
        <r>
          <rPr>
            <b/>
            <sz val="9"/>
            <color indexed="81"/>
            <rFont val="Tahoma"/>
            <family val="2"/>
          </rPr>
          <t>LPA:</t>
        </r>
        <r>
          <rPr>
            <sz val="9"/>
            <color indexed="81"/>
            <rFont val="Tahoma"/>
            <family val="2"/>
          </rPr>
          <t xml:space="preserve">
проверити збир!
</t>
        </r>
      </text>
    </comment>
    <comment ref="I7019" authorId="0">
      <text>
        <r>
          <rPr>
            <b/>
            <sz val="9"/>
            <color indexed="81"/>
            <rFont val="Tahoma"/>
            <family val="2"/>
          </rPr>
          <t>LPA:</t>
        </r>
        <r>
          <rPr>
            <sz val="9"/>
            <color indexed="81"/>
            <rFont val="Tahoma"/>
            <family val="2"/>
          </rPr>
          <t xml:space="preserve">
проверити збир!
</t>
        </r>
      </text>
    </comment>
    <comment ref="I7020" authorId="0">
      <text>
        <r>
          <rPr>
            <b/>
            <sz val="9"/>
            <color indexed="81"/>
            <rFont val="Tahoma"/>
            <family val="2"/>
          </rPr>
          <t>LPA:</t>
        </r>
        <r>
          <rPr>
            <sz val="9"/>
            <color indexed="81"/>
            <rFont val="Tahoma"/>
            <family val="2"/>
          </rPr>
          <t xml:space="preserve">
проверити збир!
</t>
        </r>
      </text>
    </comment>
    <comment ref="I7021" authorId="0">
      <text>
        <r>
          <rPr>
            <b/>
            <sz val="9"/>
            <color indexed="81"/>
            <rFont val="Tahoma"/>
            <family val="2"/>
          </rPr>
          <t>LPA:</t>
        </r>
        <r>
          <rPr>
            <sz val="9"/>
            <color indexed="81"/>
            <rFont val="Tahoma"/>
            <family val="2"/>
          </rPr>
          <t xml:space="preserve">
проверити збир!
</t>
        </r>
      </text>
    </comment>
    <comment ref="I7022" authorId="0">
      <text>
        <r>
          <rPr>
            <b/>
            <sz val="9"/>
            <color indexed="81"/>
            <rFont val="Tahoma"/>
            <family val="2"/>
          </rPr>
          <t>LPA:</t>
        </r>
        <r>
          <rPr>
            <sz val="9"/>
            <color indexed="81"/>
            <rFont val="Tahoma"/>
            <family val="2"/>
          </rPr>
          <t xml:space="preserve">
проверити збир!
</t>
        </r>
      </text>
    </comment>
    <comment ref="I7023" authorId="0">
      <text>
        <r>
          <rPr>
            <b/>
            <sz val="9"/>
            <color indexed="81"/>
            <rFont val="Tahoma"/>
            <family val="2"/>
          </rPr>
          <t>LPA:</t>
        </r>
        <r>
          <rPr>
            <sz val="9"/>
            <color indexed="81"/>
            <rFont val="Tahoma"/>
            <family val="2"/>
          </rPr>
          <t xml:space="preserve">
проверити збир!
</t>
        </r>
      </text>
    </comment>
    <comment ref="I7024" authorId="0">
      <text>
        <r>
          <rPr>
            <b/>
            <sz val="9"/>
            <color indexed="81"/>
            <rFont val="Tahoma"/>
            <family val="2"/>
          </rPr>
          <t>LPA:</t>
        </r>
        <r>
          <rPr>
            <sz val="9"/>
            <color indexed="81"/>
            <rFont val="Tahoma"/>
            <family val="2"/>
          </rPr>
          <t xml:space="preserve">
проверити збир!
</t>
        </r>
      </text>
    </comment>
    <comment ref="I7025" authorId="0">
      <text>
        <r>
          <rPr>
            <b/>
            <sz val="9"/>
            <color indexed="81"/>
            <rFont val="Tahoma"/>
            <family val="2"/>
          </rPr>
          <t>LPA:</t>
        </r>
        <r>
          <rPr>
            <sz val="9"/>
            <color indexed="81"/>
            <rFont val="Tahoma"/>
            <family val="2"/>
          </rPr>
          <t xml:space="preserve">
проверити збир!
</t>
        </r>
      </text>
    </comment>
    <comment ref="I7026" authorId="0">
      <text>
        <r>
          <rPr>
            <b/>
            <sz val="9"/>
            <color indexed="81"/>
            <rFont val="Tahoma"/>
            <family val="2"/>
          </rPr>
          <t>LPA:</t>
        </r>
        <r>
          <rPr>
            <sz val="9"/>
            <color indexed="81"/>
            <rFont val="Tahoma"/>
            <family val="2"/>
          </rPr>
          <t xml:space="preserve">
проверити збир!
</t>
        </r>
      </text>
    </comment>
    <comment ref="I7032" authorId="0">
      <text>
        <r>
          <rPr>
            <b/>
            <sz val="9"/>
            <color indexed="81"/>
            <rFont val="Tahoma"/>
            <family val="2"/>
          </rPr>
          <t>LPA:</t>
        </r>
        <r>
          <rPr>
            <sz val="9"/>
            <color indexed="81"/>
            <rFont val="Tahoma"/>
            <family val="2"/>
          </rPr>
          <t xml:space="preserve">
проверити збир!
</t>
        </r>
      </text>
    </comment>
    <comment ref="I7033" authorId="0">
      <text>
        <r>
          <rPr>
            <b/>
            <sz val="9"/>
            <color indexed="81"/>
            <rFont val="Tahoma"/>
            <family val="2"/>
          </rPr>
          <t>LPA:</t>
        </r>
        <r>
          <rPr>
            <sz val="9"/>
            <color indexed="81"/>
            <rFont val="Tahoma"/>
            <family val="2"/>
          </rPr>
          <t xml:space="preserve">
проверити збир!
</t>
        </r>
      </text>
    </comment>
    <comment ref="I7034" authorId="0">
      <text>
        <r>
          <rPr>
            <b/>
            <sz val="9"/>
            <color indexed="81"/>
            <rFont val="Tahoma"/>
            <family val="2"/>
          </rPr>
          <t>LPA:</t>
        </r>
        <r>
          <rPr>
            <sz val="9"/>
            <color indexed="81"/>
            <rFont val="Tahoma"/>
            <family val="2"/>
          </rPr>
          <t xml:space="preserve">
проверити збир!
</t>
        </r>
      </text>
    </comment>
    <comment ref="I7035" authorId="0">
      <text>
        <r>
          <rPr>
            <b/>
            <sz val="9"/>
            <color indexed="81"/>
            <rFont val="Tahoma"/>
            <family val="2"/>
          </rPr>
          <t>LPA:</t>
        </r>
        <r>
          <rPr>
            <sz val="9"/>
            <color indexed="81"/>
            <rFont val="Tahoma"/>
            <family val="2"/>
          </rPr>
          <t xml:space="preserve">
проверити збир!
</t>
        </r>
      </text>
    </comment>
    <comment ref="I7036" authorId="0">
      <text>
        <r>
          <rPr>
            <b/>
            <sz val="9"/>
            <color indexed="81"/>
            <rFont val="Tahoma"/>
            <family val="2"/>
          </rPr>
          <t>LPA:</t>
        </r>
        <r>
          <rPr>
            <sz val="9"/>
            <color indexed="81"/>
            <rFont val="Tahoma"/>
            <family val="2"/>
          </rPr>
          <t xml:space="preserve">
проверити збир!
</t>
        </r>
      </text>
    </comment>
    <comment ref="I7037" authorId="0">
      <text>
        <r>
          <rPr>
            <b/>
            <sz val="9"/>
            <color indexed="81"/>
            <rFont val="Tahoma"/>
            <family val="2"/>
          </rPr>
          <t>LPA:</t>
        </r>
        <r>
          <rPr>
            <sz val="9"/>
            <color indexed="81"/>
            <rFont val="Tahoma"/>
            <family val="2"/>
          </rPr>
          <t xml:space="preserve">
проверити збир!
</t>
        </r>
      </text>
    </comment>
    <comment ref="I7038" authorId="0">
      <text>
        <r>
          <rPr>
            <b/>
            <sz val="9"/>
            <color indexed="81"/>
            <rFont val="Tahoma"/>
            <family val="2"/>
          </rPr>
          <t>LPA:</t>
        </r>
        <r>
          <rPr>
            <sz val="9"/>
            <color indexed="81"/>
            <rFont val="Tahoma"/>
            <family val="2"/>
          </rPr>
          <t xml:space="preserve">
проверити збир!
</t>
        </r>
      </text>
    </comment>
    <comment ref="I7039" authorId="0">
      <text>
        <r>
          <rPr>
            <b/>
            <sz val="9"/>
            <color indexed="81"/>
            <rFont val="Tahoma"/>
            <family val="2"/>
          </rPr>
          <t>LPA:</t>
        </r>
        <r>
          <rPr>
            <sz val="9"/>
            <color indexed="81"/>
            <rFont val="Tahoma"/>
            <family val="2"/>
          </rPr>
          <t xml:space="preserve">
проверити збир!
</t>
        </r>
      </text>
    </comment>
    <comment ref="I7040" authorId="0">
      <text>
        <r>
          <rPr>
            <b/>
            <sz val="9"/>
            <color indexed="81"/>
            <rFont val="Tahoma"/>
            <family val="2"/>
          </rPr>
          <t>LPA:</t>
        </r>
        <r>
          <rPr>
            <sz val="9"/>
            <color indexed="81"/>
            <rFont val="Tahoma"/>
            <family val="2"/>
          </rPr>
          <t xml:space="preserve">
проверити збир!
</t>
        </r>
      </text>
    </comment>
    <comment ref="I7041" authorId="0">
      <text>
        <r>
          <rPr>
            <b/>
            <sz val="9"/>
            <color indexed="81"/>
            <rFont val="Tahoma"/>
            <family val="2"/>
          </rPr>
          <t>LPA:</t>
        </r>
        <r>
          <rPr>
            <sz val="9"/>
            <color indexed="81"/>
            <rFont val="Tahoma"/>
            <family val="2"/>
          </rPr>
          <t xml:space="preserve">
проверити збир!
</t>
        </r>
      </text>
    </comment>
    <comment ref="I7042" authorId="0">
      <text>
        <r>
          <rPr>
            <b/>
            <sz val="9"/>
            <color indexed="81"/>
            <rFont val="Tahoma"/>
            <family val="2"/>
          </rPr>
          <t>LPA:</t>
        </r>
        <r>
          <rPr>
            <sz val="9"/>
            <color indexed="81"/>
            <rFont val="Tahoma"/>
            <family val="2"/>
          </rPr>
          <t xml:space="preserve">
проверити збир!
</t>
        </r>
      </text>
    </comment>
    <comment ref="I7043" authorId="0">
      <text>
        <r>
          <rPr>
            <b/>
            <sz val="9"/>
            <color indexed="81"/>
            <rFont val="Tahoma"/>
            <family val="2"/>
          </rPr>
          <t>LPA:</t>
        </r>
        <r>
          <rPr>
            <sz val="9"/>
            <color indexed="81"/>
            <rFont val="Tahoma"/>
            <family val="2"/>
          </rPr>
          <t xml:space="preserve">
проверити збир!
</t>
        </r>
      </text>
    </comment>
    <comment ref="I7044" authorId="0">
      <text>
        <r>
          <rPr>
            <b/>
            <sz val="9"/>
            <color indexed="81"/>
            <rFont val="Tahoma"/>
            <family val="2"/>
          </rPr>
          <t>LPA:</t>
        </r>
        <r>
          <rPr>
            <sz val="9"/>
            <color indexed="81"/>
            <rFont val="Tahoma"/>
            <family val="2"/>
          </rPr>
          <t xml:space="preserve">
проверити збир!
</t>
        </r>
      </text>
    </comment>
    <comment ref="I7113" authorId="0">
      <text>
        <r>
          <rPr>
            <b/>
            <sz val="9"/>
            <color indexed="81"/>
            <rFont val="Tahoma"/>
            <family val="2"/>
          </rPr>
          <t>LPA:</t>
        </r>
        <r>
          <rPr>
            <sz val="9"/>
            <color indexed="81"/>
            <rFont val="Tahoma"/>
            <family val="2"/>
          </rPr>
          <t xml:space="preserve">
проверити збир!
</t>
        </r>
      </text>
    </comment>
    <comment ref="I7114" authorId="0">
      <text>
        <r>
          <rPr>
            <b/>
            <sz val="9"/>
            <color indexed="81"/>
            <rFont val="Tahoma"/>
            <family val="2"/>
          </rPr>
          <t>LPA:</t>
        </r>
        <r>
          <rPr>
            <sz val="9"/>
            <color indexed="81"/>
            <rFont val="Tahoma"/>
            <family val="2"/>
          </rPr>
          <t xml:space="preserve">
проверити збир!
</t>
        </r>
      </text>
    </comment>
    <comment ref="I7115" authorId="0">
      <text>
        <r>
          <rPr>
            <b/>
            <sz val="9"/>
            <color indexed="81"/>
            <rFont val="Tahoma"/>
            <family val="2"/>
          </rPr>
          <t>LPA:</t>
        </r>
        <r>
          <rPr>
            <sz val="9"/>
            <color indexed="81"/>
            <rFont val="Tahoma"/>
            <family val="2"/>
          </rPr>
          <t xml:space="preserve">
проверити збир!
</t>
        </r>
      </text>
    </comment>
    <comment ref="I7116" authorId="0">
      <text>
        <r>
          <rPr>
            <b/>
            <sz val="9"/>
            <color indexed="81"/>
            <rFont val="Tahoma"/>
            <family val="2"/>
          </rPr>
          <t>LPA:</t>
        </r>
        <r>
          <rPr>
            <sz val="9"/>
            <color indexed="81"/>
            <rFont val="Tahoma"/>
            <family val="2"/>
          </rPr>
          <t xml:space="preserve">
проверити збир!
</t>
        </r>
      </text>
    </comment>
    <comment ref="I7117" authorId="0">
      <text>
        <r>
          <rPr>
            <b/>
            <sz val="9"/>
            <color indexed="81"/>
            <rFont val="Tahoma"/>
            <family val="2"/>
          </rPr>
          <t>LPA:</t>
        </r>
        <r>
          <rPr>
            <sz val="9"/>
            <color indexed="81"/>
            <rFont val="Tahoma"/>
            <family val="2"/>
          </rPr>
          <t xml:space="preserve">
проверити збир!
</t>
        </r>
      </text>
    </comment>
    <comment ref="I7118" authorId="0">
      <text>
        <r>
          <rPr>
            <b/>
            <sz val="9"/>
            <color indexed="81"/>
            <rFont val="Tahoma"/>
            <family val="2"/>
          </rPr>
          <t>LPA:</t>
        </r>
        <r>
          <rPr>
            <sz val="9"/>
            <color indexed="81"/>
            <rFont val="Tahoma"/>
            <family val="2"/>
          </rPr>
          <t xml:space="preserve">
проверити збир!
</t>
        </r>
      </text>
    </comment>
    <comment ref="I7119" authorId="0">
      <text>
        <r>
          <rPr>
            <b/>
            <sz val="9"/>
            <color indexed="81"/>
            <rFont val="Tahoma"/>
            <family val="2"/>
          </rPr>
          <t>LPA:</t>
        </r>
        <r>
          <rPr>
            <sz val="9"/>
            <color indexed="81"/>
            <rFont val="Tahoma"/>
            <family val="2"/>
          </rPr>
          <t xml:space="preserve">
проверити збир!
</t>
        </r>
      </text>
    </comment>
    <comment ref="I7120" authorId="0">
      <text>
        <r>
          <rPr>
            <b/>
            <sz val="9"/>
            <color indexed="81"/>
            <rFont val="Tahoma"/>
            <family val="2"/>
          </rPr>
          <t>LPA:</t>
        </r>
        <r>
          <rPr>
            <sz val="9"/>
            <color indexed="81"/>
            <rFont val="Tahoma"/>
            <family val="2"/>
          </rPr>
          <t xml:space="preserve">
проверити збир!
</t>
        </r>
      </text>
    </comment>
    <comment ref="I7121" authorId="0">
      <text>
        <r>
          <rPr>
            <b/>
            <sz val="9"/>
            <color indexed="81"/>
            <rFont val="Tahoma"/>
            <family val="2"/>
          </rPr>
          <t>LPA:</t>
        </r>
        <r>
          <rPr>
            <sz val="9"/>
            <color indexed="81"/>
            <rFont val="Tahoma"/>
            <family val="2"/>
          </rPr>
          <t xml:space="preserve">
проверити збир!
</t>
        </r>
      </text>
    </comment>
    <comment ref="I7122" authorId="0">
      <text>
        <r>
          <rPr>
            <b/>
            <sz val="9"/>
            <color indexed="81"/>
            <rFont val="Tahoma"/>
            <family val="2"/>
          </rPr>
          <t>LPA:</t>
        </r>
        <r>
          <rPr>
            <sz val="9"/>
            <color indexed="81"/>
            <rFont val="Tahoma"/>
            <family val="2"/>
          </rPr>
          <t xml:space="preserve">
проверити збир!
</t>
        </r>
      </text>
    </comment>
    <comment ref="I7123" authorId="0">
      <text>
        <r>
          <rPr>
            <b/>
            <sz val="9"/>
            <color indexed="81"/>
            <rFont val="Tahoma"/>
            <family val="2"/>
          </rPr>
          <t>LPA:</t>
        </r>
        <r>
          <rPr>
            <sz val="9"/>
            <color indexed="81"/>
            <rFont val="Tahoma"/>
            <family val="2"/>
          </rPr>
          <t xml:space="preserve">
проверити збир!
</t>
        </r>
      </text>
    </comment>
    <comment ref="I7124" authorId="0">
      <text>
        <r>
          <rPr>
            <b/>
            <sz val="9"/>
            <color indexed="81"/>
            <rFont val="Tahoma"/>
            <family val="2"/>
          </rPr>
          <t>LPA:</t>
        </r>
        <r>
          <rPr>
            <sz val="9"/>
            <color indexed="81"/>
            <rFont val="Tahoma"/>
            <family val="2"/>
          </rPr>
          <t xml:space="preserve">
проверити збир!
</t>
        </r>
      </text>
    </comment>
    <comment ref="I7125" authorId="0">
      <text>
        <r>
          <rPr>
            <b/>
            <sz val="9"/>
            <color indexed="81"/>
            <rFont val="Tahoma"/>
            <family val="2"/>
          </rPr>
          <t>LPA:</t>
        </r>
        <r>
          <rPr>
            <sz val="9"/>
            <color indexed="81"/>
            <rFont val="Tahoma"/>
            <family val="2"/>
          </rPr>
          <t xml:space="preserve">
проверити збир!
</t>
        </r>
      </text>
    </comment>
    <comment ref="I7131" authorId="0">
      <text>
        <r>
          <rPr>
            <b/>
            <sz val="9"/>
            <color indexed="81"/>
            <rFont val="Tahoma"/>
            <family val="2"/>
          </rPr>
          <t>LPA:</t>
        </r>
        <r>
          <rPr>
            <sz val="9"/>
            <color indexed="81"/>
            <rFont val="Tahoma"/>
            <family val="2"/>
          </rPr>
          <t xml:space="preserve">
проверити збир!
</t>
        </r>
      </text>
    </comment>
    <comment ref="I7132" authorId="0">
      <text>
        <r>
          <rPr>
            <b/>
            <sz val="9"/>
            <color indexed="81"/>
            <rFont val="Tahoma"/>
            <family val="2"/>
          </rPr>
          <t>LPA:</t>
        </r>
        <r>
          <rPr>
            <sz val="9"/>
            <color indexed="81"/>
            <rFont val="Tahoma"/>
            <family val="2"/>
          </rPr>
          <t xml:space="preserve">
проверити збир!
</t>
        </r>
      </text>
    </comment>
    <comment ref="I7133" authorId="0">
      <text>
        <r>
          <rPr>
            <b/>
            <sz val="9"/>
            <color indexed="81"/>
            <rFont val="Tahoma"/>
            <family val="2"/>
          </rPr>
          <t>LPA:</t>
        </r>
        <r>
          <rPr>
            <sz val="9"/>
            <color indexed="81"/>
            <rFont val="Tahoma"/>
            <family val="2"/>
          </rPr>
          <t xml:space="preserve">
проверити збир!
</t>
        </r>
      </text>
    </comment>
    <comment ref="I7134" authorId="0">
      <text>
        <r>
          <rPr>
            <b/>
            <sz val="9"/>
            <color indexed="81"/>
            <rFont val="Tahoma"/>
            <family val="2"/>
          </rPr>
          <t>LPA:</t>
        </r>
        <r>
          <rPr>
            <sz val="9"/>
            <color indexed="81"/>
            <rFont val="Tahoma"/>
            <family val="2"/>
          </rPr>
          <t xml:space="preserve">
проверити збир!
</t>
        </r>
      </text>
    </comment>
    <comment ref="I7135" authorId="0">
      <text>
        <r>
          <rPr>
            <b/>
            <sz val="9"/>
            <color indexed="81"/>
            <rFont val="Tahoma"/>
            <family val="2"/>
          </rPr>
          <t>LPA:</t>
        </r>
        <r>
          <rPr>
            <sz val="9"/>
            <color indexed="81"/>
            <rFont val="Tahoma"/>
            <family val="2"/>
          </rPr>
          <t xml:space="preserve">
проверити збир!
</t>
        </r>
      </text>
    </comment>
    <comment ref="I7136" authorId="0">
      <text>
        <r>
          <rPr>
            <b/>
            <sz val="9"/>
            <color indexed="81"/>
            <rFont val="Tahoma"/>
            <family val="2"/>
          </rPr>
          <t>LPA:</t>
        </r>
        <r>
          <rPr>
            <sz val="9"/>
            <color indexed="81"/>
            <rFont val="Tahoma"/>
            <family val="2"/>
          </rPr>
          <t xml:space="preserve">
проверити збир!
</t>
        </r>
      </text>
    </comment>
    <comment ref="I7137" authorId="0">
      <text>
        <r>
          <rPr>
            <b/>
            <sz val="9"/>
            <color indexed="81"/>
            <rFont val="Tahoma"/>
            <family val="2"/>
          </rPr>
          <t>LPA:</t>
        </r>
        <r>
          <rPr>
            <sz val="9"/>
            <color indexed="81"/>
            <rFont val="Tahoma"/>
            <family val="2"/>
          </rPr>
          <t xml:space="preserve">
проверити збир!
</t>
        </r>
      </text>
    </comment>
    <comment ref="I7138" authorId="0">
      <text>
        <r>
          <rPr>
            <b/>
            <sz val="9"/>
            <color indexed="81"/>
            <rFont val="Tahoma"/>
            <family val="2"/>
          </rPr>
          <t>LPA:</t>
        </r>
        <r>
          <rPr>
            <sz val="9"/>
            <color indexed="81"/>
            <rFont val="Tahoma"/>
            <family val="2"/>
          </rPr>
          <t xml:space="preserve">
проверити збир!
</t>
        </r>
      </text>
    </comment>
    <comment ref="I7139" authorId="0">
      <text>
        <r>
          <rPr>
            <b/>
            <sz val="9"/>
            <color indexed="81"/>
            <rFont val="Tahoma"/>
            <family val="2"/>
          </rPr>
          <t>LPA:</t>
        </r>
        <r>
          <rPr>
            <sz val="9"/>
            <color indexed="81"/>
            <rFont val="Tahoma"/>
            <family val="2"/>
          </rPr>
          <t xml:space="preserve">
проверити збир!
</t>
        </r>
      </text>
    </comment>
    <comment ref="I7140" authorId="0">
      <text>
        <r>
          <rPr>
            <b/>
            <sz val="9"/>
            <color indexed="81"/>
            <rFont val="Tahoma"/>
            <family val="2"/>
          </rPr>
          <t>LPA:</t>
        </r>
        <r>
          <rPr>
            <sz val="9"/>
            <color indexed="81"/>
            <rFont val="Tahoma"/>
            <family val="2"/>
          </rPr>
          <t xml:space="preserve">
проверити збир!
</t>
        </r>
      </text>
    </comment>
    <comment ref="I7141" authorId="0">
      <text>
        <r>
          <rPr>
            <b/>
            <sz val="9"/>
            <color indexed="81"/>
            <rFont val="Tahoma"/>
            <family val="2"/>
          </rPr>
          <t>LPA:</t>
        </r>
        <r>
          <rPr>
            <sz val="9"/>
            <color indexed="81"/>
            <rFont val="Tahoma"/>
            <family val="2"/>
          </rPr>
          <t xml:space="preserve">
проверити збир!
</t>
        </r>
      </text>
    </comment>
    <comment ref="I7142" authorId="0">
      <text>
        <r>
          <rPr>
            <b/>
            <sz val="9"/>
            <color indexed="81"/>
            <rFont val="Tahoma"/>
            <family val="2"/>
          </rPr>
          <t>LPA:</t>
        </r>
        <r>
          <rPr>
            <sz val="9"/>
            <color indexed="81"/>
            <rFont val="Tahoma"/>
            <family val="2"/>
          </rPr>
          <t xml:space="preserve">
проверити збир!
</t>
        </r>
      </text>
    </comment>
    <comment ref="I7143" authorId="0">
      <text>
        <r>
          <rPr>
            <b/>
            <sz val="9"/>
            <color indexed="81"/>
            <rFont val="Tahoma"/>
            <family val="2"/>
          </rPr>
          <t>LPA:</t>
        </r>
        <r>
          <rPr>
            <sz val="9"/>
            <color indexed="81"/>
            <rFont val="Tahoma"/>
            <family val="2"/>
          </rPr>
          <t xml:space="preserve">
проверити збир!
</t>
        </r>
      </text>
    </comment>
    <comment ref="I7212" authorId="0">
      <text>
        <r>
          <rPr>
            <b/>
            <sz val="9"/>
            <color indexed="81"/>
            <rFont val="Tahoma"/>
            <family val="2"/>
          </rPr>
          <t>LPA:</t>
        </r>
        <r>
          <rPr>
            <sz val="9"/>
            <color indexed="81"/>
            <rFont val="Tahoma"/>
            <family val="2"/>
          </rPr>
          <t xml:space="preserve">
проверити збир!
</t>
        </r>
      </text>
    </comment>
    <comment ref="I7213" authorId="0">
      <text>
        <r>
          <rPr>
            <b/>
            <sz val="9"/>
            <color indexed="81"/>
            <rFont val="Tahoma"/>
            <family val="2"/>
          </rPr>
          <t>LPA:</t>
        </r>
        <r>
          <rPr>
            <sz val="9"/>
            <color indexed="81"/>
            <rFont val="Tahoma"/>
            <family val="2"/>
          </rPr>
          <t xml:space="preserve">
проверити збир!
</t>
        </r>
      </text>
    </comment>
    <comment ref="I7214" authorId="0">
      <text>
        <r>
          <rPr>
            <b/>
            <sz val="9"/>
            <color indexed="81"/>
            <rFont val="Tahoma"/>
            <family val="2"/>
          </rPr>
          <t>LPA:</t>
        </r>
        <r>
          <rPr>
            <sz val="9"/>
            <color indexed="81"/>
            <rFont val="Tahoma"/>
            <family val="2"/>
          </rPr>
          <t xml:space="preserve">
проверити збир!
</t>
        </r>
      </text>
    </comment>
    <comment ref="I7215" authorId="0">
      <text>
        <r>
          <rPr>
            <b/>
            <sz val="9"/>
            <color indexed="81"/>
            <rFont val="Tahoma"/>
            <family val="2"/>
          </rPr>
          <t>LPA:</t>
        </r>
        <r>
          <rPr>
            <sz val="9"/>
            <color indexed="81"/>
            <rFont val="Tahoma"/>
            <family val="2"/>
          </rPr>
          <t xml:space="preserve">
проверити збир!
</t>
        </r>
      </text>
    </comment>
    <comment ref="I7216" authorId="0">
      <text>
        <r>
          <rPr>
            <b/>
            <sz val="9"/>
            <color indexed="81"/>
            <rFont val="Tahoma"/>
            <family val="2"/>
          </rPr>
          <t>LPA:</t>
        </r>
        <r>
          <rPr>
            <sz val="9"/>
            <color indexed="81"/>
            <rFont val="Tahoma"/>
            <family val="2"/>
          </rPr>
          <t xml:space="preserve">
проверити збир!
</t>
        </r>
      </text>
    </comment>
    <comment ref="I7217" authorId="0">
      <text>
        <r>
          <rPr>
            <b/>
            <sz val="9"/>
            <color indexed="81"/>
            <rFont val="Tahoma"/>
            <family val="2"/>
          </rPr>
          <t>LPA:</t>
        </r>
        <r>
          <rPr>
            <sz val="9"/>
            <color indexed="81"/>
            <rFont val="Tahoma"/>
            <family val="2"/>
          </rPr>
          <t xml:space="preserve">
проверити збир!
</t>
        </r>
      </text>
    </comment>
    <comment ref="I7218" authorId="0">
      <text>
        <r>
          <rPr>
            <b/>
            <sz val="9"/>
            <color indexed="81"/>
            <rFont val="Tahoma"/>
            <family val="2"/>
          </rPr>
          <t>LPA:</t>
        </r>
        <r>
          <rPr>
            <sz val="9"/>
            <color indexed="81"/>
            <rFont val="Tahoma"/>
            <family val="2"/>
          </rPr>
          <t xml:space="preserve">
проверити збир!
</t>
        </r>
      </text>
    </comment>
    <comment ref="I7219" authorId="0">
      <text>
        <r>
          <rPr>
            <b/>
            <sz val="9"/>
            <color indexed="81"/>
            <rFont val="Tahoma"/>
            <family val="2"/>
          </rPr>
          <t>LPA:</t>
        </r>
        <r>
          <rPr>
            <sz val="9"/>
            <color indexed="81"/>
            <rFont val="Tahoma"/>
            <family val="2"/>
          </rPr>
          <t xml:space="preserve">
проверити збир!
</t>
        </r>
      </text>
    </comment>
    <comment ref="I7220" authorId="0">
      <text>
        <r>
          <rPr>
            <b/>
            <sz val="9"/>
            <color indexed="81"/>
            <rFont val="Tahoma"/>
            <family val="2"/>
          </rPr>
          <t>LPA:</t>
        </r>
        <r>
          <rPr>
            <sz val="9"/>
            <color indexed="81"/>
            <rFont val="Tahoma"/>
            <family val="2"/>
          </rPr>
          <t xml:space="preserve">
проверити збир!
</t>
        </r>
      </text>
    </comment>
    <comment ref="I7221" authorId="0">
      <text>
        <r>
          <rPr>
            <b/>
            <sz val="9"/>
            <color indexed="81"/>
            <rFont val="Tahoma"/>
            <family val="2"/>
          </rPr>
          <t>LPA:</t>
        </r>
        <r>
          <rPr>
            <sz val="9"/>
            <color indexed="81"/>
            <rFont val="Tahoma"/>
            <family val="2"/>
          </rPr>
          <t xml:space="preserve">
проверити збир!
</t>
        </r>
      </text>
    </comment>
    <comment ref="I7222" authorId="0">
      <text>
        <r>
          <rPr>
            <b/>
            <sz val="9"/>
            <color indexed="81"/>
            <rFont val="Tahoma"/>
            <family val="2"/>
          </rPr>
          <t>LPA:</t>
        </r>
        <r>
          <rPr>
            <sz val="9"/>
            <color indexed="81"/>
            <rFont val="Tahoma"/>
            <family val="2"/>
          </rPr>
          <t xml:space="preserve">
проверити збир!
</t>
        </r>
      </text>
    </comment>
    <comment ref="I7223" authorId="0">
      <text>
        <r>
          <rPr>
            <b/>
            <sz val="9"/>
            <color indexed="81"/>
            <rFont val="Tahoma"/>
            <family val="2"/>
          </rPr>
          <t>LPA:</t>
        </r>
        <r>
          <rPr>
            <sz val="9"/>
            <color indexed="81"/>
            <rFont val="Tahoma"/>
            <family val="2"/>
          </rPr>
          <t xml:space="preserve">
проверити збир!
</t>
        </r>
      </text>
    </comment>
    <comment ref="I7224" authorId="0">
      <text>
        <r>
          <rPr>
            <b/>
            <sz val="9"/>
            <color indexed="81"/>
            <rFont val="Tahoma"/>
            <family val="2"/>
          </rPr>
          <t>LPA:</t>
        </r>
        <r>
          <rPr>
            <sz val="9"/>
            <color indexed="81"/>
            <rFont val="Tahoma"/>
            <family val="2"/>
          </rPr>
          <t xml:space="preserve">
проверити збир!
</t>
        </r>
      </text>
    </comment>
    <comment ref="I7230" authorId="0">
      <text>
        <r>
          <rPr>
            <b/>
            <sz val="9"/>
            <color indexed="81"/>
            <rFont val="Tahoma"/>
            <family val="2"/>
          </rPr>
          <t>LPA:</t>
        </r>
        <r>
          <rPr>
            <sz val="9"/>
            <color indexed="81"/>
            <rFont val="Tahoma"/>
            <family val="2"/>
          </rPr>
          <t xml:space="preserve">
проверити збир!
</t>
        </r>
      </text>
    </comment>
    <comment ref="I7231" authorId="0">
      <text>
        <r>
          <rPr>
            <b/>
            <sz val="9"/>
            <color indexed="81"/>
            <rFont val="Tahoma"/>
            <family val="2"/>
          </rPr>
          <t>LPA:</t>
        </r>
        <r>
          <rPr>
            <sz val="9"/>
            <color indexed="81"/>
            <rFont val="Tahoma"/>
            <family val="2"/>
          </rPr>
          <t xml:space="preserve">
проверити збир!
</t>
        </r>
      </text>
    </comment>
    <comment ref="I7232" authorId="0">
      <text>
        <r>
          <rPr>
            <b/>
            <sz val="9"/>
            <color indexed="81"/>
            <rFont val="Tahoma"/>
            <family val="2"/>
          </rPr>
          <t>LPA:</t>
        </r>
        <r>
          <rPr>
            <sz val="9"/>
            <color indexed="81"/>
            <rFont val="Tahoma"/>
            <family val="2"/>
          </rPr>
          <t xml:space="preserve">
проверити збир!
</t>
        </r>
      </text>
    </comment>
    <comment ref="I7233" authorId="0">
      <text>
        <r>
          <rPr>
            <b/>
            <sz val="9"/>
            <color indexed="81"/>
            <rFont val="Tahoma"/>
            <family val="2"/>
          </rPr>
          <t>LPA:</t>
        </r>
        <r>
          <rPr>
            <sz val="9"/>
            <color indexed="81"/>
            <rFont val="Tahoma"/>
            <family val="2"/>
          </rPr>
          <t xml:space="preserve">
проверити збир!
</t>
        </r>
      </text>
    </comment>
    <comment ref="I7234" authorId="0">
      <text>
        <r>
          <rPr>
            <b/>
            <sz val="9"/>
            <color indexed="81"/>
            <rFont val="Tahoma"/>
            <family val="2"/>
          </rPr>
          <t>LPA:</t>
        </r>
        <r>
          <rPr>
            <sz val="9"/>
            <color indexed="81"/>
            <rFont val="Tahoma"/>
            <family val="2"/>
          </rPr>
          <t xml:space="preserve">
проверити збир!
</t>
        </r>
      </text>
    </comment>
    <comment ref="I7235" authorId="0">
      <text>
        <r>
          <rPr>
            <b/>
            <sz val="9"/>
            <color indexed="81"/>
            <rFont val="Tahoma"/>
            <family val="2"/>
          </rPr>
          <t>LPA:</t>
        </r>
        <r>
          <rPr>
            <sz val="9"/>
            <color indexed="81"/>
            <rFont val="Tahoma"/>
            <family val="2"/>
          </rPr>
          <t xml:space="preserve">
проверити збир!
</t>
        </r>
      </text>
    </comment>
    <comment ref="I7236" authorId="0">
      <text>
        <r>
          <rPr>
            <b/>
            <sz val="9"/>
            <color indexed="81"/>
            <rFont val="Tahoma"/>
            <family val="2"/>
          </rPr>
          <t>LPA:</t>
        </r>
        <r>
          <rPr>
            <sz val="9"/>
            <color indexed="81"/>
            <rFont val="Tahoma"/>
            <family val="2"/>
          </rPr>
          <t xml:space="preserve">
проверити збир!
</t>
        </r>
      </text>
    </comment>
    <comment ref="I7237" authorId="0">
      <text>
        <r>
          <rPr>
            <b/>
            <sz val="9"/>
            <color indexed="81"/>
            <rFont val="Tahoma"/>
            <family val="2"/>
          </rPr>
          <t>LPA:</t>
        </r>
        <r>
          <rPr>
            <sz val="9"/>
            <color indexed="81"/>
            <rFont val="Tahoma"/>
            <family val="2"/>
          </rPr>
          <t xml:space="preserve">
проверити збир!
</t>
        </r>
      </text>
    </comment>
    <comment ref="I7238" authorId="0">
      <text>
        <r>
          <rPr>
            <b/>
            <sz val="9"/>
            <color indexed="81"/>
            <rFont val="Tahoma"/>
            <family val="2"/>
          </rPr>
          <t>LPA:</t>
        </r>
        <r>
          <rPr>
            <sz val="9"/>
            <color indexed="81"/>
            <rFont val="Tahoma"/>
            <family val="2"/>
          </rPr>
          <t xml:space="preserve">
проверити збир!
</t>
        </r>
      </text>
    </comment>
    <comment ref="I7239" authorId="0">
      <text>
        <r>
          <rPr>
            <b/>
            <sz val="9"/>
            <color indexed="81"/>
            <rFont val="Tahoma"/>
            <family val="2"/>
          </rPr>
          <t>LPA:</t>
        </r>
        <r>
          <rPr>
            <sz val="9"/>
            <color indexed="81"/>
            <rFont val="Tahoma"/>
            <family val="2"/>
          </rPr>
          <t xml:space="preserve">
проверити збир!
</t>
        </r>
      </text>
    </comment>
    <comment ref="I7240" authorId="0">
      <text>
        <r>
          <rPr>
            <b/>
            <sz val="9"/>
            <color indexed="81"/>
            <rFont val="Tahoma"/>
            <family val="2"/>
          </rPr>
          <t>LPA:</t>
        </r>
        <r>
          <rPr>
            <sz val="9"/>
            <color indexed="81"/>
            <rFont val="Tahoma"/>
            <family val="2"/>
          </rPr>
          <t xml:space="preserve">
проверити збир!
</t>
        </r>
      </text>
    </comment>
    <comment ref="I7241" authorId="0">
      <text>
        <r>
          <rPr>
            <b/>
            <sz val="9"/>
            <color indexed="81"/>
            <rFont val="Tahoma"/>
            <family val="2"/>
          </rPr>
          <t>LPA:</t>
        </r>
        <r>
          <rPr>
            <sz val="9"/>
            <color indexed="81"/>
            <rFont val="Tahoma"/>
            <family val="2"/>
          </rPr>
          <t xml:space="preserve">
проверити збир!
</t>
        </r>
      </text>
    </comment>
    <comment ref="I7242" authorId="0">
      <text>
        <r>
          <rPr>
            <b/>
            <sz val="9"/>
            <color indexed="81"/>
            <rFont val="Tahoma"/>
            <family val="2"/>
          </rPr>
          <t>LPA:</t>
        </r>
        <r>
          <rPr>
            <sz val="9"/>
            <color indexed="81"/>
            <rFont val="Tahoma"/>
            <family val="2"/>
          </rPr>
          <t xml:space="preserve">
проверити збир!
</t>
        </r>
      </text>
    </comment>
    <comment ref="I7311" authorId="0">
      <text>
        <r>
          <rPr>
            <b/>
            <sz val="9"/>
            <color indexed="81"/>
            <rFont val="Tahoma"/>
            <family val="2"/>
          </rPr>
          <t>LPA:</t>
        </r>
        <r>
          <rPr>
            <sz val="9"/>
            <color indexed="81"/>
            <rFont val="Tahoma"/>
            <family val="2"/>
          </rPr>
          <t xml:space="preserve">
проверити збир!
</t>
        </r>
      </text>
    </comment>
    <comment ref="I7312" authorId="0">
      <text>
        <r>
          <rPr>
            <b/>
            <sz val="9"/>
            <color indexed="81"/>
            <rFont val="Tahoma"/>
            <family val="2"/>
          </rPr>
          <t>LPA:</t>
        </r>
        <r>
          <rPr>
            <sz val="9"/>
            <color indexed="81"/>
            <rFont val="Tahoma"/>
            <family val="2"/>
          </rPr>
          <t xml:space="preserve">
проверити збир!
</t>
        </r>
      </text>
    </comment>
    <comment ref="I7313" authorId="0">
      <text>
        <r>
          <rPr>
            <b/>
            <sz val="9"/>
            <color indexed="81"/>
            <rFont val="Tahoma"/>
            <family val="2"/>
          </rPr>
          <t>LPA:</t>
        </r>
        <r>
          <rPr>
            <sz val="9"/>
            <color indexed="81"/>
            <rFont val="Tahoma"/>
            <family val="2"/>
          </rPr>
          <t xml:space="preserve">
проверити збир!
</t>
        </r>
      </text>
    </comment>
    <comment ref="I7314" authorId="0">
      <text>
        <r>
          <rPr>
            <b/>
            <sz val="9"/>
            <color indexed="81"/>
            <rFont val="Tahoma"/>
            <family val="2"/>
          </rPr>
          <t>LPA:</t>
        </r>
        <r>
          <rPr>
            <sz val="9"/>
            <color indexed="81"/>
            <rFont val="Tahoma"/>
            <family val="2"/>
          </rPr>
          <t xml:space="preserve">
проверити збир!
</t>
        </r>
      </text>
    </comment>
    <comment ref="I7315" authorId="0">
      <text>
        <r>
          <rPr>
            <b/>
            <sz val="9"/>
            <color indexed="81"/>
            <rFont val="Tahoma"/>
            <family val="2"/>
          </rPr>
          <t>LPA:</t>
        </r>
        <r>
          <rPr>
            <sz val="9"/>
            <color indexed="81"/>
            <rFont val="Tahoma"/>
            <family val="2"/>
          </rPr>
          <t xml:space="preserve">
проверити збир!
</t>
        </r>
      </text>
    </comment>
    <comment ref="I7316" authorId="0">
      <text>
        <r>
          <rPr>
            <b/>
            <sz val="9"/>
            <color indexed="81"/>
            <rFont val="Tahoma"/>
            <family val="2"/>
          </rPr>
          <t>LPA:</t>
        </r>
        <r>
          <rPr>
            <sz val="9"/>
            <color indexed="81"/>
            <rFont val="Tahoma"/>
            <family val="2"/>
          </rPr>
          <t xml:space="preserve">
проверити збир!
</t>
        </r>
      </text>
    </comment>
    <comment ref="I7317" authorId="0">
      <text>
        <r>
          <rPr>
            <b/>
            <sz val="9"/>
            <color indexed="81"/>
            <rFont val="Tahoma"/>
            <family val="2"/>
          </rPr>
          <t>LPA:</t>
        </r>
        <r>
          <rPr>
            <sz val="9"/>
            <color indexed="81"/>
            <rFont val="Tahoma"/>
            <family val="2"/>
          </rPr>
          <t xml:space="preserve">
проверити збир!
</t>
        </r>
      </text>
    </comment>
    <comment ref="I7318" authorId="0">
      <text>
        <r>
          <rPr>
            <b/>
            <sz val="9"/>
            <color indexed="81"/>
            <rFont val="Tahoma"/>
            <family val="2"/>
          </rPr>
          <t>LPA:</t>
        </r>
        <r>
          <rPr>
            <sz val="9"/>
            <color indexed="81"/>
            <rFont val="Tahoma"/>
            <family val="2"/>
          </rPr>
          <t xml:space="preserve">
проверити збир!
</t>
        </r>
      </text>
    </comment>
    <comment ref="I7319" authorId="0">
      <text>
        <r>
          <rPr>
            <b/>
            <sz val="9"/>
            <color indexed="81"/>
            <rFont val="Tahoma"/>
            <family val="2"/>
          </rPr>
          <t>LPA:</t>
        </r>
        <r>
          <rPr>
            <sz val="9"/>
            <color indexed="81"/>
            <rFont val="Tahoma"/>
            <family val="2"/>
          </rPr>
          <t xml:space="preserve">
проверити збир!
</t>
        </r>
      </text>
    </comment>
    <comment ref="I7320" authorId="0">
      <text>
        <r>
          <rPr>
            <b/>
            <sz val="9"/>
            <color indexed="81"/>
            <rFont val="Tahoma"/>
            <family val="2"/>
          </rPr>
          <t>LPA:</t>
        </r>
        <r>
          <rPr>
            <sz val="9"/>
            <color indexed="81"/>
            <rFont val="Tahoma"/>
            <family val="2"/>
          </rPr>
          <t xml:space="preserve">
проверити збир!
</t>
        </r>
      </text>
    </comment>
    <comment ref="I7321" authorId="0">
      <text>
        <r>
          <rPr>
            <b/>
            <sz val="9"/>
            <color indexed="81"/>
            <rFont val="Tahoma"/>
            <family val="2"/>
          </rPr>
          <t>LPA:</t>
        </r>
        <r>
          <rPr>
            <sz val="9"/>
            <color indexed="81"/>
            <rFont val="Tahoma"/>
            <family val="2"/>
          </rPr>
          <t xml:space="preserve">
проверити збир!
</t>
        </r>
      </text>
    </comment>
    <comment ref="I7322" authorId="0">
      <text>
        <r>
          <rPr>
            <b/>
            <sz val="9"/>
            <color indexed="81"/>
            <rFont val="Tahoma"/>
            <family val="2"/>
          </rPr>
          <t>LPA:</t>
        </r>
        <r>
          <rPr>
            <sz val="9"/>
            <color indexed="81"/>
            <rFont val="Tahoma"/>
            <family val="2"/>
          </rPr>
          <t xml:space="preserve">
проверити збир!
</t>
        </r>
      </text>
    </comment>
    <comment ref="I7323" authorId="0">
      <text>
        <r>
          <rPr>
            <b/>
            <sz val="9"/>
            <color indexed="81"/>
            <rFont val="Tahoma"/>
            <family val="2"/>
          </rPr>
          <t>LPA:</t>
        </r>
        <r>
          <rPr>
            <sz val="9"/>
            <color indexed="81"/>
            <rFont val="Tahoma"/>
            <family val="2"/>
          </rPr>
          <t xml:space="preserve">
проверити збир!
</t>
        </r>
      </text>
    </comment>
    <comment ref="I7329" authorId="0">
      <text>
        <r>
          <rPr>
            <b/>
            <sz val="9"/>
            <color indexed="81"/>
            <rFont val="Tahoma"/>
            <family val="2"/>
          </rPr>
          <t>LPA:</t>
        </r>
        <r>
          <rPr>
            <sz val="9"/>
            <color indexed="81"/>
            <rFont val="Tahoma"/>
            <family val="2"/>
          </rPr>
          <t xml:space="preserve">
проверити збир!
</t>
        </r>
      </text>
    </comment>
    <comment ref="I7330" authorId="0">
      <text>
        <r>
          <rPr>
            <b/>
            <sz val="9"/>
            <color indexed="81"/>
            <rFont val="Tahoma"/>
            <family val="2"/>
          </rPr>
          <t>LPA:</t>
        </r>
        <r>
          <rPr>
            <sz val="9"/>
            <color indexed="81"/>
            <rFont val="Tahoma"/>
            <family val="2"/>
          </rPr>
          <t xml:space="preserve">
проверити збир!
</t>
        </r>
      </text>
    </comment>
    <comment ref="I7331" authorId="0">
      <text>
        <r>
          <rPr>
            <b/>
            <sz val="9"/>
            <color indexed="81"/>
            <rFont val="Tahoma"/>
            <family val="2"/>
          </rPr>
          <t>LPA:</t>
        </r>
        <r>
          <rPr>
            <sz val="9"/>
            <color indexed="81"/>
            <rFont val="Tahoma"/>
            <family val="2"/>
          </rPr>
          <t xml:space="preserve">
проверити збир!
</t>
        </r>
      </text>
    </comment>
    <comment ref="I7332" authorId="0">
      <text>
        <r>
          <rPr>
            <b/>
            <sz val="9"/>
            <color indexed="81"/>
            <rFont val="Tahoma"/>
            <family val="2"/>
          </rPr>
          <t>LPA:</t>
        </r>
        <r>
          <rPr>
            <sz val="9"/>
            <color indexed="81"/>
            <rFont val="Tahoma"/>
            <family val="2"/>
          </rPr>
          <t xml:space="preserve">
проверити збир!
</t>
        </r>
      </text>
    </comment>
    <comment ref="I7333" authorId="0">
      <text>
        <r>
          <rPr>
            <b/>
            <sz val="9"/>
            <color indexed="81"/>
            <rFont val="Tahoma"/>
            <family val="2"/>
          </rPr>
          <t>LPA:</t>
        </r>
        <r>
          <rPr>
            <sz val="9"/>
            <color indexed="81"/>
            <rFont val="Tahoma"/>
            <family val="2"/>
          </rPr>
          <t xml:space="preserve">
проверити збир!
</t>
        </r>
      </text>
    </comment>
    <comment ref="I7334" authorId="0">
      <text>
        <r>
          <rPr>
            <b/>
            <sz val="9"/>
            <color indexed="81"/>
            <rFont val="Tahoma"/>
            <family val="2"/>
          </rPr>
          <t>LPA:</t>
        </r>
        <r>
          <rPr>
            <sz val="9"/>
            <color indexed="81"/>
            <rFont val="Tahoma"/>
            <family val="2"/>
          </rPr>
          <t xml:space="preserve">
проверити збир!
</t>
        </r>
      </text>
    </comment>
    <comment ref="I7335" authorId="0">
      <text>
        <r>
          <rPr>
            <b/>
            <sz val="9"/>
            <color indexed="81"/>
            <rFont val="Tahoma"/>
            <family val="2"/>
          </rPr>
          <t>LPA:</t>
        </r>
        <r>
          <rPr>
            <sz val="9"/>
            <color indexed="81"/>
            <rFont val="Tahoma"/>
            <family val="2"/>
          </rPr>
          <t xml:space="preserve">
проверити збир!
</t>
        </r>
      </text>
    </comment>
    <comment ref="I7336" authorId="0">
      <text>
        <r>
          <rPr>
            <b/>
            <sz val="9"/>
            <color indexed="81"/>
            <rFont val="Tahoma"/>
            <family val="2"/>
          </rPr>
          <t>LPA:</t>
        </r>
        <r>
          <rPr>
            <sz val="9"/>
            <color indexed="81"/>
            <rFont val="Tahoma"/>
            <family val="2"/>
          </rPr>
          <t xml:space="preserve">
проверити збир!
</t>
        </r>
      </text>
    </comment>
    <comment ref="I7337" authorId="0">
      <text>
        <r>
          <rPr>
            <b/>
            <sz val="9"/>
            <color indexed="81"/>
            <rFont val="Tahoma"/>
            <family val="2"/>
          </rPr>
          <t>LPA:</t>
        </r>
        <r>
          <rPr>
            <sz val="9"/>
            <color indexed="81"/>
            <rFont val="Tahoma"/>
            <family val="2"/>
          </rPr>
          <t xml:space="preserve">
проверити збир!
</t>
        </r>
      </text>
    </comment>
    <comment ref="I7338" authorId="0">
      <text>
        <r>
          <rPr>
            <b/>
            <sz val="9"/>
            <color indexed="81"/>
            <rFont val="Tahoma"/>
            <family val="2"/>
          </rPr>
          <t>LPA:</t>
        </r>
        <r>
          <rPr>
            <sz val="9"/>
            <color indexed="81"/>
            <rFont val="Tahoma"/>
            <family val="2"/>
          </rPr>
          <t xml:space="preserve">
проверити збир!
</t>
        </r>
      </text>
    </comment>
    <comment ref="I7339" authorId="0">
      <text>
        <r>
          <rPr>
            <b/>
            <sz val="9"/>
            <color indexed="81"/>
            <rFont val="Tahoma"/>
            <family val="2"/>
          </rPr>
          <t>LPA:</t>
        </r>
        <r>
          <rPr>
            <sz val="9"/>
            <color indexed="81"/>
            <rFont val="Tahoma"/>
            <family val="2"/>
          </rPr>
          <t xml:space="preserve">
проверити збир!
</t>
        </r>
      </text>
    </comment>
    <comment ref="I7340" authorId="0">
      <text>
        <r>
          <rPr>
            <b/>
            <sz val="9"/>
            <color indexed="81"/>
            <rFont val="Tahoma"/>
            <family val="2"/>
          </rPr>
          <t>LPA:</t>
        </r>
        <r>
          <rPr>
            <sz val="9"/>
            <color indexed="81"/>
            <rFont val="Tahoma"/>
            <family val="2"/>
          </rPr>
          <t xml:space="preserve">
проверити збир!
</t>
        </r>
      </text>
    </comment>
    <comment ref="I7341" authorId="0">
      <text>
        <r>
          <rPr>
            <b/>
            <sz val="9"/>
            <color indexed="81"/>
            <rFont val="Tahoma"/>
            <family val="2"/>
          </rPr>
          <t>LPA:</t>
        </r>
        <r>
          <rPr>
            <sz val="9"/>
            <color indexed="81"/>
            <rFont val="Tahoma"/>
            <family val="2"/>
          </rPr>
          <t xml:space="preserve">
проверити збир!
</t>
        </r>
      </text>
    </comment>
    <comment ref="H7345" authorId="0">
      <text>
        <r>
          <rPr>
            <b/>
            <sz val="9"/>
            <color indexed="81"/>
            <rFont val="Tahoma"/>
            <family val="2"/>
          </rPr>
          <t>LPA:</t>
        </r>
        <r>
          <rPr>
            <sz val="9"/>
            <color indexed="81"/>
            <rFont val="Tahoma"/>
            <family val="2"/>
          </rPr>
          <t xml:space="preserve">
проверити збир!</t>
        </r>
      </text>
    </comment>
    <comment ref="I7345" authorId="0">
      <text>
        <r>
          <rPr>
            <b/>
            <sz val="9"/>
            <color indexed="81"/>
            <rFont val="Tahoma"/>
            <family val="2"/>
          </rPr>
          <t>LPA:</t>
        </r>
        <r>
          <rPr>
            <sz val="9"/>
            <color indexed="81"/>
            <rFont val="Tahoma"/>
            <family val="2"/>
          </rPr>
          <t xml:space="preserve">
проверити збир!
</t>
        </r>
      </text>
    </comment>
    <comment ref="I7346" authorId="0">
      <text>
        <r>
          <rPr>
            <b/>
            <sz val="9"/>
            <color indexed="81"/>
            <rFont val="Tahoma"/>
            <family val="2"/>
          </rPr>
          <t>LPA:</t>
        </r>
        <r>
          <rPr>
            <sz val="9"/>
            <color indexed="81"/>
            <rFont val="Tahoma"/>
            <family val="2"/>
          </rPr>
          <t xml:space="preserve">
проверити збир!
</t>
        </r>
      </text>
    </comment>
    <comment ref="I7347" authorId="0">
      <text>
        <r>
          <rPr>
            <b/>
            <sz val="9"/>
            <color indexed="81"/>
            <rFont val="Tahoma"/>
            <family val="2"/>
          </rPr>
          <t>LPA:</t>
        </r>
        <r>
          <rPr>
            <sz val="9"/>
            <color indexed="81"/>
            <rFont val="Tahoma"/>
            <family val="2"/>
          </rPr>
          <t xml:space="preserve">
проверити збир!
</t>
        </r>
      </text>
    </comment>
    <comment ref="I7348" authorId="0">
      <text>
        <r>
          <rPr>
            <b/>
            <sz val="9"/>
            <color indexed="81"/>
            <rFont val="Tahoma"/>
            <family val="2"/>
          </rPr>
          <t>LPA:</t>
        </r>
        <r>
          <rPr>
            <sz val="9"/>
            <color indexed="81"/>
            <rFont val="Tahoma"/>
            <family val="2"/>
          </rPr>
          <t xml:space="preserve">
проверити збир!
</t>
        </r>
      </text>
    </comment>
    <comment ref="I7349" authorId="0">
      <text>
        <r>
          <rPr>
            <b/>
            <sz val="9"/>
            <color indexed="81"/>
            <rFont val="Tahoma"/>
            <family val="2"/>
          </rPr>
          <t>LPA:</t>
        </r>
        <r>
          <rPr>
            <sz val="9"/>
            <color indexed="81"/>
            <rFont val="Tahoma"/>
            <family val="2"/>
          </rPr>
          <t xml:space="preserve">
проверити збир!
</t>
        </r>
      </text>
    </comment>
    <comment ref="I7350" authorId="0">
      <text>
        <r>
          <rPr>
            <b/>
            <sz val="9"/>
            <color indexed="81"/>
            <rFont val="Tahoma"/>
            <family val="2"/>
          </rPr>
          <t>LPA:</t>
        </r>
        <r>
          <rPr>
            <sz val="9"/>
            <color indexed="81"/>
            <rFont val="Tahoma"/>
            <family val="2"/>
          </rPr>
          <t xml:space="preserve">
проверити збир!
</t>
        </r>
      </text>
    </comment>
    <comment ref="I7351" authorId="0">
      <text>
        <r>
          <rPr>
            <b/>
            <sz val="9"/>
            <color indexed="81"/>
            <rFont val="Tahoma"/>
            <family val="2"/>
          </rPr>
          <t>LPA:</t>
        </r>
        <r>
          <rPr>
            <sz val="9"/>
            <color indexed="81"/>
            <rFont val="Tahoma"/>
            <family val="2"/>
          </rPr>
          <t xml:space="preserve">
проверити збир!
</t>
        </r>
      </text>
    </comment>
    <comment ref="I7352" authorId="0">
      <text>
        <r>
          <rPr>
            <b/>
            <sz val="9"/>
            <color indexed="81"/>
            <rFont val="Tahoma"/>
            <family val="2"/>
          </rPr>
          <t>LPA:</t>
        </r>
        <r>
          <rPr>
            <sz val="9"/>
            <color indexed="81"/>
            <rFont val="Tahoma"/>
            <family val="2"/>
          </rPr>
          <t xml:space="preserve">
проверити збир!
</t>
        </r>
      </text>
    </comment>
    <comment ref="I7353" authorId="0">
      <text>
        <r>
          <rPr>
            <b/>
            <sz val="9"/>
            <color indexed="81"/>
            <rFont val="Tahoma"/>
            <family val="2"/>
          </rPr>
          <t>LPA:</t>
        </r>
        <r>
          <rPr>
            <sz val="9"/>
            <color indexed="81"/>
            <rFont val="Tahoma"/>
            <family val="2"/>
          </rPr>
          <t xml:space="preserve">
проверити збир!
</t>
        </r>
      </text>
    </comment>
    <comment ref="I7354" authorId="0">
      <text>
        <r>
          <rPr>
            <b/>
            <sz val="9"/>
            <color indexed="81"/>
            <rFont val="Tahoma"/>
            <family val="2"/>
          </rPr>
          <t>LPA:</t>
        </r>
        <r>
          <rPr>
            <sz val="9"/>
            <color indexed="81"/>
            <rFont val="Tahoma"/>
            <family val="2"/>
          </rPr>
          <t xml:space="preserve">
проверити збир!
</t>
        </r>
      </text>
    </comment>
    <comment ref="I7355" authorId="0">
      <text>
        <r>
          <rPr>
            <b/>
            <sz val="9"/>
            <color indexed="81"/>
            <rFont val="Tahoma"/>
            <family val="2"/>
          </rPr>
          <t>LPA:</t>
        </r>
        <r>
          <rPr>
            <sz val="9"/>
            <color indexed="81"/>
            <rFont val="Tahoma"/>
            <family val="2"/>
          </rPr>
          <t xml:space="preserve">
проверити збир!
</t>
        </r>
      </text>
    </comment>
    <comment ref="I7356" authorId="0">
      <text>
        <r>
          <rPr>
            <b/>
            <sz val="9"/>
            <color indexed="81"/>
            <rFont val="Tahoma"/>
            <family val="2"/>
          </rPr>
          <t>LPA:</t>
        </r>
        <r>
          <rPr>
            <sz val="9"/>
            <color indexed="81"/>
            <rFont val="Tahoma"/>
            <family val="2"/>
          </rPr>
          <t xml:space="preserve">
проверити збир!
</t>
        </r>
      </text>
    </comment>
    <comment ref="I7357" authorId="0">
      <text>
        <r>
          <rPr>
            <b/>
            <sz val="9"/>
            <color indexed="81"/>
            <rFont val="Tahoma"/>
            <family val="2"/>
          </rPr>
          <t>LPA:</t>
        </r>
        <r>
          <rPr>
            <sz val="9"/>
            <color indexed="81"/>
            <rFont val="Tahoma"/>
            <family val="2"/>
          </rPr>
          <t xml:space="preserve">
проверити збир!
</t>
        </r>
      </text>
    </comment>
    <comment ref="I7358" authorId="0">
      <text>
        <r>
          <rPr>
            <b/>
            <sz val="9"/>
            <color indexed="81"/>
            <rFont val="Tahoma"/>
            <family val="2"/>
          </rPr>
          <t>LPA:</t>
        </r>
        <r>
          <rPr>
            <sz val="9"/>
            <color indexed="81"/>
            <rFont val="Tahoma"/>
            <family val="2"/>
          </rPr>
          <t xml:space="preserve">
проверити збир!
</t>
        </r>
      </text>
    </comment>
    <comment ref="I7359" authorId="0">
      <text>
        <r>
          <rPr>
            <b/>
            <sz val="9"/>
            <color indexed="81"/>
            <rFont val="Tahoma"/>
            <family val="2"/>
          </rPr>
          <t>LPA:</t>
        </r>
        <r>
          <rPr>
            <sz val="9"/>
            <color indexed="81"/>
            <rFont val="Tahoma"/>
            <family val="2"/>
          </rPr>
          <t xml:space="preserve">
проверити збир!
</t>
        </r>
      </text>
    </comment>
    <comment ref="I7360" authorId="0">
      <text>
        <r>
          <rPr>
            <b/>
            <sz val="9"/>
            <color indexed="81"/>
            <rFont val="Tahoma"/>
            <family val="2"/>
          </rPr>
          <t>LPA:</t>
        </r>
        <r>
          <rPr>
            <sz val="9"/>
            <color indexed="81"/>
            <rFont val="Tahoma"/>
            <family val="2"/>
          </rPr>
          <t xml:space="preserve">
проверити збир!
</t>
        </r>
      </text>
    </comment>
    <comment ref="H7364" authorId="0">
      <text>
        <r>
          <rPr>
            <b/>
            <sz val="9"/>
            <color indexed="81"/>
            <rFont val="Tahoma"/>
            <family val="2"/>
          </rPr>
          <t>LPA:</t>
        </r>
        <r>
          <rPr>
            <sz val="9"/>
            <color indexed="81"/>
            <rFont val="Tahoma"/>
            <family val="2"/>
          </rPr>
          <t xml:space="preserve">
проверити збир!</t>
        </r>
      </text>
    </comment>
    <comment ref="I7364" authorId="0">
      <text>
        <r>
          <rPr>
            <b/>
            <sz val="9"/>
            <color indexed="81"/>
            <rFont val="Tahoma"/>
            <family val="2"/>
          </rPr>
          <t>LPA:</t>
        </r>
        <r>
          <rPr>
            <sz val="9"/>
            <color indexed="81"/>
            <rFont val="Tahoma"/>
            <family val="2"/>
          </rPr>
          <t xml:space="preserve">
проверити збир!
</t>
        </r>
      </text>
    </comment>
    <comment ref="I7365" authorId="0">
      <text>
        <r>
          <rPr>
            <b/>
            <sz val="9"/>
            <color indexed="81"/>
            <rFont val="Tahoma"/>
            <family val="2"/>
          </rPr>
          <t>LPA:</t>
        </r>
        <r>
          <rPr>
            <sz val="9"/>
            <color indexed="81"/>
            <rFont val="Tahoma"/>
            <family val="2"/>
          </rPr>
          <t xml:space="preserve">
проверити збир!
</t>
        </r>
      </text>
    </comment>
    <comment ref="I7366" authorId="0">
      <text>
        <r>
          <rPr>
            <b/>
            <sz val="9"/>
            <color indexed="81"/>
            <rFont val="Tahoma"/>
            <family val="2"/>
          </rPr>
          <t>LPA:</t>
        </r>
        <r>
          <rPr>
            <sz val="9"/>
            <color indexed="81"/>
            <rFont val="Tahoma"/>
            <family val="2"/>
          </rPr>
          <t xml:space="preserve">
проверити збир!
</t>
        </r>
      </text>
    </comment>
    <comment ref="I7367" authorId="0">
      <text>
        <r>
          <rPr>
            <b/>
            <sz val="9"/>
            <color indexed="81"/>
            <rFont val="Tahoma"/>
            <family val="2"/>
          </rPr>
          <t>LPA:</t>
        </r>
        <r>
          <rPr>
            <sz val="9"/>
            <color indexed="81"/>
            <rFont val="Tahoma"/>
            <family val="2"/>
          </rPr>
          <t xml:space="preserve">
проверити збир!
</t>
        </r>
      </text>
    </comment>
    <comment ref="I7368" authorId="0">
      <text>
        <r>
          <rPr>
            <b/>
            <sz val="9"/>
            <color indexed="81"/>
            <rFont val="Tahoma"/>
            <family val="2"/>
          </rPr>
          <t>LPA:</t>
        </r>
        <r>
          <rPr>
            <sz val="9"/>
            <color indexed="81"/>
            <rFont val="Tahoma"/>
            <family val="2"/>
          </rPr>
          <t xml:space="preserve">
проверити збир!
</t>
        </r>
      </text>
    </comment>
    <comment ref="I7369" authorId="0">
      <text>
        <r>
          <rPr>
            <b/>
            <sz val="9"/>
            <color indexed="81"/>
            <rFont val="Tahoma"/>
            <family val="2"/>
          </rPr>
          <t>LPA:</t>
        </r>
        <r>
          <rPr>
            <sz val="9"/>
            <color indexed="81"/>
            <rFont val="Tahoma"/>
            <family val="2"/>
          </rPr>
          <t xml:space="preserve">
проверити збир!
</t>
        </r>
      </text>
    </comment>
    <comment ref="I7370" authorId="0">
      <text>
        <r>
          <rPr>
            <b/>
            <sz val="9"/>
            <color indexed="81"/>
            <rFont val="Tahoma"/>
            <family val="2"/>
          </rPr>
          <t>LPA:</t>
        </r>
        <r>
          <rPr>
            <sz val="9"/>
            <color indexed="81"/>
            <rFont val="Tahoma"/>
            <family val="2"/>
          </rPr>
          <t xml:space="preserve">
проверити збир!
</t>
        </r>
      </text>
    </comment>
    <comment ref="I7371" authorId="0">
      <text>
        <r>
          <rPr>
            <b/>
            <sz val="9"/>
            <color indexed="81"/>
            <rFont val="Tahoma"/>
            <family val="2"/>
          </rPr>
          <t>LPA:</t>
        </r>
        <r>
          <rPr>
            <sz val="9"/>
            <color indexed="81"/>
            <rFont val="Tahoma"/>
            <family val="2"/>
          </rPr>
          <t xml:space="preserve">
проверити збир!
</t>
        </r>
      </text>
    </comment>
    <comment ref="I7372" authorId="0">
      <text>
        <r>
          <rPr>
            <b/>
            <sz val="9"/>
            <color indexed="81"/>
            <rFont val="Tahoma"/>
            <family val="2"/>
          </rPr>
          <t>LPA:</t>
        </r>
        <r>
          <rPr>
            <sz val="9"/>
            <color indexed="81"/>
            <rFont val="Tahoma"/>
            <family val="2"/>
          </rPr>
          <t xml:space="preserve">
проверити збир!
</t>
        </r>
      </text>
    </comment>
    <comment ref="I7373" authorId="0">
      <text>
        <r>
          <rPr>
            <b/>
            <sz val="9"/>
            <color indexed="81"/>
            <rFont val="Tahoma"/>
            <family val="2"/>
          </rPr>
          <t>LPA:</t>
        </r>
        <r>
          <rPr>
            <sz val="9"/>
            <color indexed="81"/>
            <rFont val="Tahoma"/>
            <family val="2"/>
          </rPr>
          <t xml:space="preserve">
проверити збир!
</t>
        </r>
      </text>
    </comment>
    <comment ref="I7374" authorId="0">
      <text>
        <r>
          <rPr>
            <b/>
            <sz val="9"/>
            <color indexed="81"/>
            <rFont val="Tahoma"/>
            <family val="2"/>
          </rPr>
          <t>LPA:</t>
        </r>
        <r>
          <rPr>
            <sz val="9"/>
            <color indexed="81"/>
            <rFont val="Tahoma"/>
            <family val="2"/>
          </rPr>
          <t xml:space="preserve">
проверити збир!
</t>
        </r>
      </text>
    </comment>
    <comment ref="I7375" authorId="0">
      <text>
        <r>
          <rPr>
            <b/>
            <sz val="9"/>
            <color indexed="81"/>
            <rFont val="Tahoma"/>
            <family val="2"/>
          </rPr>
          <t>LPA:</t>
        </r>
        <r>
          <rPr>
            <sz val="9"/>
            <color indexed="81"/>
            <rFont val="Tahoma"/>
            <family val="2"/>
          </rPr>
          <t xml:space="preserve">
проверити збир!
</t>
        </r>
      </text>
    </comment>
    <comment ref="I7376" authorId="0">
      <text>
        <r>
          <rPr>
            <b/>
            <sz val="9"/>
            <color indexed="81"/>
            <rFont val="Tahoma"/>
            <family val="2"/>
          </rPr>
          <t>LPA:</t>
        </r>
        <r>
          <rPr>
            <sz val="9"/>
            <color indexed="81"/>
            <rFont val="Tahoma"/>
            <family val="2"/>
          </rPr>
          <t xml:space="preserve">
проверити збир!
</t>
        </r>
      </text>
    </comment>
    <comment ref="I7377" authorId="0">
      <text>
        <r>
          <rPr>
            <b/>
            <sz val="9"/>
            <color indexed="81"/>
            <rFont val="Tahoma"/>
            <family val="2"/>
          </rPr>
          <t>LPA:</t>
        </r>
        <r>
          <rPr>
            <sz val="9"/>
            <color indexed="81"/>
            <rFont val="Tahoma"/>
            <family val="2"/>
          </rPr>
          <t xml:space="preserve">
проверити збир!
</t>
        </r>
      </text>
    </comment>
    <comment ref="I7378" authorId="0">
      <text>
        <r>
          <rPr>
            <b/>
            <sz val="9"/>
            <color indexed="81"/>
            <rFont val="Tahoma"/>
            <family val="2"/>
          </rPr>
          <t>LPA:</t>
        </r>
        <r>
          <rPr>
            <sz val="9"/>
            <color indexed="81"/>
            <rFont val="Tahoma"/>
            <family val="2"/>
          </rPr>
          <t xml:space="preserve">
проверити збир!
</t>
        </r>
      </text>
    </comment>
    <comment ref="I7379" authorId="0">
      <text>
        <r>
          <rPr>
            <b/>
            <sz val="9"/>
            <color indexed="81"/>
            <rFont val="Tahoma"/>
            <family val="2"/>
          </rPr>
          <t>LPA:</t>
        </r>
        <r>
          <rPr>
            <sz val="9"/>
            <color indexed="81"/>
            <rFont val="Tahoma"/>
            <family val="2"/>
          </rPr>
          <t xml:space="preserve">
проверити збир!
</t>
        </r>
      </text>
    </comment>
    <comment ref="I7451" authorId="0">
      <text>
        <r>
          <rPr>
            <b/>
            <sz val="9"/>
            <color indexed="81"/>
            <rFont val="Tahoma"/>
            <family val="2"/>
          </rPr>
          <t>LPA:</t>
        </r>
        <r>
          <rPr>
            <sz val="9"/>
            <color indexed="81"/>
            <rFont val="Tahoma"/>
            <family val="2"/>
          </rPr>
          <t xml:space="preserve">
проверити збир!
</t>
        </r>
      </text>
    </comment>
    <comment ref="I7452" authorId="0">
      <text>
        <r>
          <rPr>
            <b/>
            <sz val="9"/>
            <color indexed="81"/>
            <rFont val="Tahoma"/>
            <family val="2"/>
          </rPr>
          <t>LPA:</t>
        </r>
        <r>
          <rPr>
            <sz val="9"/>
            <color indexed="81"/>
            <rFont val="Tahoma"/>
            <family val="2"/>
          </rPr>
          <t xml:space="preserve">
проверити збир!
</t>
        </r>
      </text>
    </comment>
    <comment ref="I7453" authorId="0">
      <text>
        <r>
          <rPr>
            <b/>
            <sz val="9"/>
            <color indexed="81"/>
            <rFont val="Tahoma"/>
            <family val="2"/>
          </rPr>
          <t>LPA:</t>
        </r>
        <r>
          <rPr>
            <sz val="9"/>
            <color indexed="81"/>
            <rFont val="Tahoma"/>
            <family val="2"/>
          </rPr>
          <t xml:space="preserve">
проверити збир!
</t>
        </r>
      </text>
    </comment>
    <comment ref="I7454" authorId="0">
      <text>
        <r>
          <rPr>
            <b/>
            <sz val="9"/>
            <color indexed="81"/>
            <rFont val="Tahoma"/>
            <family val="2"/>
          </rPr>
          <t>LPA:</t>
        </r>
        <r>
          <rPr>
            <sz val="9"/>
            <color indexed="81"/>
            <rFont val="Tahoma"/>
            <family val="2"/>
          </rPr>
          <t xml:space="preserve">
проверити збир!
</t>
        </r>
      </text>
    </comment>
    <comment ref="I7455" authorId="0">
      <text>
        <r>
          <rPr>
            <b/>
            <sz val="9"/>
            <color indexed="81"/>
            <rFont val="Tahoma"/>
            <family val="2"/>
          </rPr>
          <t>LPA:</t>
        </r>
        <r>
          <rPr>
            <sz val="9"/>
            <color indexed="81"/>
            <rFont val="Tahoma"/>
            <family val="2"/>
          </rPr>
          <t xml:space="preserve">
проверити збир!
</t>
        </r>
      </text>
    </comment>
    <comment ref="I7456" authorId="0">
      <text>
        <r>
          <rPr>
            <b/>
            <sz val="9"/>
            <color indexed="81"/>
            <rFont val="Tahoma"/>
            <family val="2"/>
          </rPr>
          <t>LPA:</t>
        </r>
        <r>
          <rPr>
            <sz val="9"/>
            <color indexed="81"/>
            <rFont val="Tahoma"/>
            <family val="2"/>
          </rPr>
          <t xml:space="preserve">
проверити збир!
</t>
        </r>
      </text>
    </comment>
    <comment ref="I7457" authorId="0">
      <text>
        <r>
          <rPr>
            <b/>
            <sz val="9"/>
            <color indexed="81"/>
            <rFont val="Tahoma"/>
            <family val="2"/>
          </rPr>
          <t>LPA:</t>
        </r>
        <r>
          <rPr>
            <sz val="9"/>
            <color indexed="81"/>
            <rFont val="Tahoma"/>
            <family val="2"/>
          </rPr>
          <t xml:space="preserve">
проверити збир!
</t>
        </r>
      </text>
    </comment>
    <comment ref="I7458" authorId="0">
      <text>
        <r>
          <rPr>
            <b/>
            <sz val="9"/>
            <color indexed="81"/>
            <rFont val="Tahoma"/>
            <family val="2"/>
          </rPr>
          <t>LPA:</t>
        </r>
        <r>
          <rPr>
            <sz val="9"/>
            <color indexed="81"/>
            <rFont val="Tahoma"/>
            <family val="2"/>
          </rPr>
          <t xml:space="preserve">
проверити збир!
</t>
        </r>
      </text>
    </comment>
    <comment ref="I7459" authorId="0">
      <text>
        <r>
          <rPr>
            <b/>
            <sz val="9"/>
            <color indexed="81"/>
            <rFont val="Tahoma"/>
            <family val="2"/>
          </rPr>
          <t>LPA:</t>
        </r>
        <r>
          <rPr>
            <sz val="9"/>
            <color indexed="81"/>
            <rFont val="Tahoma"/>
            <family val="2"/>
          </rPr>
          <t xml:space="preserve">
проверити збир!
</t>
        </r>
      </text>
    </comment>
    <comment ref="I7460" authorId="0">
      <text>
        <r>
          <rPr>
            <b/>
            <sz val="9"/>
            <color indexed="81"/>
            <rFont val="Tahoma"/>
            <family val="2"/>
          </rPr>
          <t>LPA:</t>
        </r>
        <r>
          <rPr>
            <sz val="9"/>
            <color indexed="81"/>
            <rFont val="Tahoma"/>
            <family val="2"/>
          </rPr>
          <t xml:space="preserve">
проверити збир!
</t>
        </r>
      </text>
    </comment>
    <comment ref="I7461" authorId="0">
      <text>
        <r>
          <rPr>
            <b/>
            <sz val="9"/>
            <color indexed="81"/>
            <rFont val="Tahoma"/>
            <family val="2"/>
          </rPr>
          <t>LPA:</t>
        </r>
        <r>
          <rPr>
            <sz val="9"/>
            <color indexed="81"/>
            <rFont val="Tahoma"/>
            <family val="2"/>
          </rPr>
          <t xml:space="preserve">
проверити збир!
</t>
        </r>
      </text>
    </comment>
    <comment ref="I7462" authorId="0">
      <text>
        <r>
          <rPr>
            <b/>
            <sz val="9"/>
            <color indexed="81"/>
            <rFont val="Tahoma"/>
            <family val="2"/>
          </rPr>
          <t>LPA:</t>
        </r>
        <r>
          <rPr>
            <sz val="9"/>
            <color indexed="81"/>
            <rFont val="Tahoma"/>
            <family val="2"/>
          </rPr>
          <t xml:space="preserve">
проверити збир!
</t>
        </r>
      </text>
    </comment>
    <comment ref="I7463" authorId="0">
      <text>
        <r>
          <rPr>
            <b/>
            <sz val="9"/>
            <color indexed="81"/>
            <rFont val="Tahoma"/>
            <family val="2"/>
          </rPr>
          <t>LPA:</t>
        </r>
        <r>
          <rPr>
            <sz val="9"/>
            <color indexed="81"/>
            <rFont val="Tahoma"/>
            <family val="2"/>
          </rPr>
          <t xml:space="preserve">
проверити збир!
</t>
        </r>
      </text>
    </comment>
    <comment ref="H7466" authorId="0">
      <text>
        <r>
          <rPr>
            <b/>
            <sz val="9"/>
            <color indexed="81"/>
            <rFont val="Tahoma"/>
            <family val="2"/>
          </rPr>
          <t>LPA:</t>
        </r>
        <r>
          <rPr>
            <sz val="9"/>
            <color indexed="81"/>
            <rFont val="Tahoma"/>
            <family val="2"/>
          </rPr>
          <t xml:space="preserve">
проверити збир!</t>
        </r>
      </text>
    </comment>
    <comment ref="I7466" authorId="0">
      <text>
        <r>
          <rPr>
            <b/>
            <sz val="9"/>
            <color indexed="81"/>
            <rFont val="Tahoma"/>
            <family val="2"/>
          </rPr>
          <t>LPA:</t>
        </r>
        <r>
          <rPr>
            <sz val="9"/>
            <color indexed="81"/>
            <rFont val="Tahoma"/>
            <family val="2"/>
          </rPr>
          <t xml:space="preserve">
проверити збир!</t>
        </r>
      </text>
    </comment>
    <comment ref="I7467" authorId="0">
      <text>
        <r>
          <rPr>
            <b/>
            <sz val="9"/>
            <color indexed="81"/>
            <rFont val="Tahoma"/>
            <family val="2"/>
          </rPr>
          <t>LPA:</t>
        </r>
        <r>
          <rPr>
            <sz val="9"/>
            <color indexed="81"/>
            <rFont val="Tahoma"/>
            <family val="2"/>
          </rPr>
          <t xml:space="preserve">
проверити збир!
</t>
        </r>
      </text>
    </comment>
    <comment ref="I7468" authorId="0">
      <text>
        <r>
          <rPr>
            <b/>
            <sz val="9"/>
            <color indexed="81"/>
            <rFont val="Tahoma"/>
            <family val="2"/>
          </rPr>
          <t>LPA:</t>
        </r>
        <r>
          <rPr>
            <sz val="9"/>
            <color indexed="81"/>
            <rFont val="Tahoma"/>
            <family val="2"/>
          </rPr>
          <t xml:space="preserve">
проверити збир!
</t>
        </r>
      </text>
    </comment>
    <comment ref="I7469" authorId="0">
      <text>
        <r>
          <rPr>
            <b/>
            <sz val="9"/>
            <color indexed="81"/>
            <rFont val="Tahoma"/>
            <family val="2"/>
          </rPr>
          <t>LPA:</t>
        </r>
        <r>
          <rPr>
            <sz val="9"/>
            <color indexed="81"/>
            <rFont val="Tahoma"/>
            <family val="2"/>
          </rPr>
          <t xml:space="preserve">
проверити збир!
</t>
        </r>
      </text>
    </comment>
    <comment ref="I7470" authorId="0">
      <text>
        <r>
          <rPr>
            <b/>
            <sz val="9"/>
            <color indexed="81"/>
            <rFont val="Tahoma"/>
            <family val="2"/>
          </rPr>
          <t>LPA:</t>
        </r>
        <r>
          <rPr>
            <sz val="9"/>
            <color indexed="81"/>
            <rFont val="Tahoma"/>
            <family val="2"/>
          </rPr>
          <t xml:space="preserve">
проверити збир!
</t>
        </r>
      </text>
    </comment>
    <comment ref="I7471" authorId="0">
      <text>
        <r>
          <rPr>
            <b/>
            <sz val="9"/>
            <color indexed="81"/>
            <rFont val="Tahoma"/>
            <family val="2"/>
          </rPr>
          <t>LPA:</t>
        </r>
        <r>
          <rPr>
            <sz val="9"/>
            <color indexed="81"/>
            <rFont val="Tahoma"/>
            <family val="2"/>
          </rPr>
          <t xml:space="preserve">
проверити збир!
</t>
        </r>
      </text>
    </comment>
    <comment ref="I7472" authorId="0">
      <text>
        <r>
          <rPr>
            <b/>
            <sz val="9"/>
            <color indexed="81"/>
            <rFont val="Tahoma"/>
            <family val="2"/>
          </rPr>
          <t>LPA:</t>
        </r>
        <r>
          <rPr>
            <sz val="9"/>
            <color indexed="81"/>
            <rFont val="Tahoma"/>
            <family val="2"/>
          </rPr>
          <t xml:space="preserve">
проверити збир!
</t>
        </r>
      </text>
    </comment>
    <comment ref="I7473" authorId="0">
      <text>
        <r>
          <rPr>
            <b/>
            <sz val="9"/>
            <color indexed="81"/>
            <rFont val="Tahoma"/>
            <family val="2"/>
          </rPr>
          <t>LPA:</t>
        </r>
        <r>
          <rPr>
            <sz val="9"/>
            <color indexed="81"/>
            <rFont val="Tahoma"/>
            <family val="2"/>
          </rPr>
          <t xml:space="preserve">
проверити збир!
</t>
        </r>
      </text>
    </comment>
    <comment ref="I7474" authorId="0">
      <text>
        <r>
          <rPr>
            <b/>
            <sz val="9"/>
            <color indexed="81"/>
            <rFont val="Tahoma"/>
            <family val="2"/>
          </rPr>
          <t>LPA:</t>
        </r>
        <r>
          <rPr>
            <sz val="9"/>
            <color indexed="81"/>
            <rFont val="Tahoma"/>
            <family val="2"/>
          </rPr>
          <t xml:space="preserve">
проверити збир!
</t>
        </r>
      </text>
    </comment>
    <comment ref="I7475" authorId="0">
      <text>
        <r>
          <rPr>
            <b/>
            <sz val="9"/>
            <color indexed="81"/>
            <rFont val="Tahoma"/>
            <family val="2"/>
          </rPr>
          <t>LPA:</t>
        </r>
        <r>
          <rPr>
            <sz val="9"/>
            <color indexed="81"/>
            <rFont val="Tahoma"/>
            <family val="2"/>
          </rPr>
          <t xml:space="preserve">
проверити збир!
</t>
        </r>
      </text>
    </comment>
    <comment ref="I7476" authorId="0">
      <text>
        <r>
          <rPr>
            <b/>
            <sz val="9"/>
            <color indexed="81"/>
            <rFont val="Tahoma"/>
            <family val="2"/>
          </rPr>
          <t>LPA:</t>
        </r>
        <r>
          <rPr>
            <sz val="9"/>
            <color indexed="81"/>
            <rFont val="Tahoma"/>
            <family val="2"/>
          </rPr>
          <t xml:space="preserve">
проверити збир!
</t>
        </r>
      </text>
    </comment>
    <comment ref="I7477" authorId="0">
      <text>
        <r>
          <rPr>
            <b/>
            <sz val="9"/>
            <color indexed="81"/>
            <rFont val="Tahoma"/>
            <family val="2"/>
          </rPr>
          <t>LPA:</t>
        </r>
        <r>
          <rPr>
            <sz val="9"/>
            <color indexed="81"/>
            <rFont val="Tahoma"/>
            <family val="2"/>
          </rPr>
          <t xml:space="preserve">
проверити збир!
</t>
        </r>
      </text>
    </comment>
    <comment ref="I7478" authorId="0">
      <text>
        <r>
          <rPr>
            <b/>
            <sz val="9"/>
            <color indexed="81"/>
            <rFont val="Tahoma"/>
            <family val="2"/>
          </rPr>
          <t>LPA:</t>
        </r>
        <r>
          <rPr>
            <sz val="9"/>
            <color indexed="81"/>
            <rFont val="Tahoma"/>
            <family val="2"/>
          </rPr>
          <t xml:space="preserve">
проверити збир!
</t>
        </r>
      </text>
    </comment>
    <comment ref="I7479" authorId="0">
      <text>
        <r>
          <rPr>
            <b/>
            <sz val="9"/>
            <color indexed="81"/>
            <rFont val="Tahoma"/>
            <family val="2"/>
          </rPr>
          <t>LPA:</t>
        </r>
        <r>
          <rPr>
            <sz val="9"/>
            <color indexed="81"/>
            <rFont val="Tahoma"/>
            <family val="2"/>
          </rPr>
          <t xml:space="preserve">
проверити збир!
</t>
        </r>
      </text>
    </comment>
    <comment ref="I7480" authorId="0">
      <text>
        <r>
          <rPr>
            <b/>
            <sz val="9"/>
            <color indexed="81"/>
            <rFont val="Tahoma"/>
            <family val="2"/>
          </rPr>
          <t>LPA:</t>
        </r>
        <r>
          <rPr>
            <sz val="9"/>
            <color indexed="81"/>
            <rFont val="Tahoma"/>
            <family val="2"/>
          </rPr>
          <t xml:space="preserve">
проверити збир!
</t>
        </r>
      </text>
    </comment>
    <comment ref="I7481" authorId="0">
      <text>
        <r>
          <rPr>
            <b/>
            <sz val="9"/>
            <color indexed="81"/>
            <rFont val="Tahoma"/>
            <family val="2"/>
          </rPr>
          <t>LPA:</t>
        </r>
        <r>
          <rPr>
            <sz val="9"/>
            <color indexed="81"/>
            <rFont val="Tahoma"/>
            <family val="2"/>
          </rPr>
          <t xml:space="preserve">
проверити збир!
</t>
        </r>
      </text>
    </comment>
    <comment ref="I7550" authorId="0">
      <text>
        <r>
          <rPr>
            <b/>
            <sz val="9"/>
            <color indexed="81"/>
            <rFont val="Tahoma"/>
            <family val="2"/>
          </rPr>
          <t>LPA:</t>
        </r>
        <r>
          <rPr>
            <sz val="9"/>
            <color indexed="81"/>
            <rFont val="Tahoma"/>
            <family val="2"/>
          </rPr>
          <t xml:space="preserve">
проверити збир!
</t>
        </r>
      </text>
    </comment>
    <comment ref="I7551" authorId="0">
      <text>
        <r>
          <rPr>
            <b/>
            <sz val="9"/>
            <color indexed="81"/>
            <rFont val="Tahoma"/>
            <family val="2"/>
          </rPr>
          <t>LPA:</t>
        </r>
        <r>
          <rPr>
            <sz val="9"/>
            <color indexed="81"/>
            <rFont val="Tahoma"/>
            <family val="2"/>
          </rPr>
          <t xml:space="preserve">
проверити збир!
</t>
        </r>
      </text>
    </comment>
    <comment ref="I7552" authorId="0">
      <text>
        <r>
          <rPr>
            <b/>
            <sz val="9"/>
            <color indexed="81"/>
            <rFont val="Tahoma"/>
            <family val="2"/>
          </rPr>
          <t>LPA:</t>
        </r>
        <r>
          <rPr>
            <sz val="9"/>
            <color indexed="81"/>
            <rFont val="Tahoma"/>
            <family val="2"/>
          </rPr>
          <t xml:space="preserve">
проверити збир!
</t>
        </r>
      </text>
    </comment>
    <comment ref="I7553" authorId="0">
      <text>
        <r>
          <rPr>
            <b/>
            <sz val="9"/>
            <color indexed="81"/>
            <rFont val="Tahoma"/>
            <family val="2"/>
          </rPr>
          <t>LPA:</t>
        </r>
        <r>
          <rPr>
            <sz val="9"/>
            <color indexed="81"/>
            <rFont val="Tahoma"/>
            <family val="2"/>
          </rPr>
          <t xml:space="preserve">
проверити збир!
</t>
        </r>
      </text>
    </comment>
    <comment ref="I7554" authorId="0">
      <text>
        <r>
          <rPr>
            <b/>
            <sz val="9"/>
            <color indexed="81"/>
            <rFont val="Tahoma"/>
            <family val="2"/>
          </rPr>
          <t>LPA:</t>
        </r>
        <r>
          <rPr>
            <sz val="9"/>
            <color indexed="81"/>
            <rFont val="Tahoma"/>
            <family val="2"/>
          </rPr>
          <t xml:space="preserve">
проверити збир!
</t>
        </r>
      </text>
    </comment>
    <comment ref="I7555" authorId="0">
      <text>
        <r>
          <rPr>
            <b/>
            <sz val="9"/>
            <color indexed="81"/>
            <rFont val="Tahoma"/>
            <family val="2"/>
          </rPr>
          <t>LPA:</t>
        </r>
        <r>
          <rPr>
            <sz val="9"/>
            <color indexed="81"/>
            <rFont val="Tahoma"/>
            <family val="2"/>
          </rPr>
          <t xml:space="preserve">
проверити збир!
</t>
        </r>
      </text>
    </comment>
    <comment ref="I7556" authorId="0">
      <text>
        <r>
          <rPr>
            <b/>
            <sz val="9"/>
            <color indexed="81"/>
            <rFont val="Tahoma"/>
            <family val="2"/>
          </rPr>
          <t>LPA:</t>
        </r>
        <r>
          <rPr>
            <sz val="9"/>
            <color indexed="81"/>
            <rFont val="Tahoma"/>
            <family val="2"/>
          </rPr>
          <t xml:space="preserve">
проверити збир!
</t>
        </r>
      </text>
    </comment>
    <comment ref="I7557" authorId="0">
      <text>
        <r>
          <rPr>
            <b/>
            <sz val="9"/>
            <color indexed="81"/>
            <rFont val="Tahoma"/>
            <family val="2"/>
          </rPr>
          <t>LPA:</t>
        </r>
        <r>
          <rPr>
            <sz val="9"/>
            <color indexed="81"/>
            <rFont val="Tahoma"/>
            <family val="2"/>
          </rPr>
          <t xml:space="preserve">
проверити збир!
</t>
        </r>
      </text>
    </comment>
    <comment ref="I7558" authorId="0">
      <text>
        <r>
          <rPr>
            <b/>
            <sz val="9"/>
            <color indexed="81"/>
            <rFont val="Tahoma"/>
            <family val="2"/>
          </rPr>
          <t>LPA:</t>
        </r>
        <r>
          <rPr>
            <sz val="9"/>
            <color indexed="81"/>
            <rFont val="Tahoma"/>
            <family val="2"/>
          </rPr>
          <t xml:space="preserve">
проверити збир!
</t>
        </r>
      </text>
    </comment>
    <comment ref="I7559" authorId="0">
      <text>
        <r>
          <rPr>
            <b/>
            <sz val="9"/>
            <color indexed="81"/>
            <rFont val="Tahoma"/>
            <family val="2"/>
          </rPr>
          <t>LPA:</t>
        </r>
        <r>
          <rPr>
            <sz val="9"/>
            <color indexed="81"/>
            <rFont val="Tahoma"/>
            <family val="2"/>
          </rPr>
          <t xml:space="preserve">
проверити збир!
</t>
        </r>
      </text>
    </comment>
    <comment ref="I7560" authorId="0">
      <text>
        <r>
          <rPr>
            <b/>
            <sz val="9"/>
            <color indexed="81"/>
            <rFont val="Tahoma"/>
            <family val="2"/>
          </rPr>
          <t>LPA:</t>
        </r>
        <r>
          <rPr>
            <sz val="9"/>
            <color indexed="81"/>
            <rFont val="Tahoma"/>
            <family val="2"/>
          </rPr>
          <t xml:space="preserve">
проверити збир!
</t>
        </r>
      </text>
    </comment>
    <comment ref="I7561" authorId="0">
      <text>
        <r>
          <rPr>
            <b/>
            <sz val="9"/>
            <color indexed="81"/>
            <rFont val="Tahoma"/>
            <family val="2"/>
          </rPr>
          <t>LPA:</t>
        </r>
        <r>
          <rPr>
            <sz val="9"/>
            <color indexed="81"/>
            <rFont val="Tahoma"/>
            <family val="2"/>
          </rPr>
          <t xml:space="preserve">
проверити збир!
</t>
        </r>
      </text>
    </comment>
    <comment ref="I7562" authorId="0">
      <text>
        <r>
          <rPr>
            <b/>
            <sz val="9"/>
            <color indexed="81"/>
            <rFont val="Tahoma"/>
            <family val="2"/>
          </rPr>
          <t>LPA:</t>
        </r>
        <r>
          <rPr>
            <sz val="9"/>
            <color indexed="81"/>
            <rFont val="Tahoma"/>
            <family val="2"/>
          </rPr>
          <t xml:space="preserve">
проверити збир!
</t>
        </r>
      </text>
    </comment>
    <comment ref="H7565" authorId="0">
      <text>
        <r>
          <rPr>
            <b/>
            <sz val="9"/>
            <color indexed="81"/>
            <rFont val="Tahoma"/>
            <family val="2"/>
          </rPr>
          <t>LPA:</t>
        </r>
        <r>
          <rPr>
            <sz val="9"/>
            <color indexed="81"/>
            <rFont val="Tahoma"/>
            <family val="2"/>
          </rPr>
          <t xml:space="preserve">
проверити збир!</t>
        </r>
      </text>
    </comment>
    <comment ref="I7565" authorId="0">
      <text>
        <r>
          <rPr>
            <b/>
            <sz val="9"/>
            <color indexed="81"/>
            <rFont val="Tahoma"/>
            <family val="2"/>
          </rPr>
          <t>LPA:</t>
        </r>
        <r>
          <rPr>
            <sz val="9"/>
            <color indexed="81"/>
            <rFont val="Tahoma"/>
            <family val="2"/>
          </rPr>
          <t xml:space="preserve">
проверити збир!</t>
        </r>
      </text>
    </comment>
    <comment ref="I7566" authorId="0">
      <text>
        <r>
          <rPr>
            <b/>
            <sz val="9"/>
            <color indexed="81"/>
            <rFont val="Tahoma"/>
            <family val="2"/>
          </rPr>
          <t>LPA:</t>
        </r>
        <r>
          <rPr>
            <sz val="9"/>
            <color indexed="81"/>
            <rFont val="Tahoma"/>
            <family val="2"/>
          </rPr>
          <t xml:space="preserve">
проверити збир!
</t>
        </r>
      </text>
    </comment>
    <comment ref="I7567" authorId="0">
      <text>
        <r>
          <rPr>
            <b/>
            <sz val="9"/>
            <color indexed="81"/>
            <rFont val="Tahoma"/>
            <family val="2"/>
          </rPr>
          <t>LPA:</t>
        </r>
        <r>
          <rPr>
            <sz val="9"/>
            <color indexed="81"/>
            <rFont val="Tahoma"/>
            <family val="2"/>
          </rPr>
          <t xml:space="preserve">
проверити збир!
</t>
        </r>
      </text>
    </comment>
    <comment ref="I7568" authorId="0">
      <text>
        <r>
          <rPr>
            <b/>
            <sz val="9"/>
            <color indexed="81"/>
            <rFont val="Tahoma"/>
            <family val="2"/>
          </rPr>
          <t>LPA:</t>
        </r>
        <r>
          <rPr>
            <sz val="9"/>
            <color indexed="81"/>
            <rFont val="Tahoma"/>
            <family val="2"/>
          </rPr>
          <t xml:space="preserve">
проверити збир!
</t>
        </r>
      </text>
    </comment>
    <comment ref="I7569" authorId="0">
      <text>
        <r>
          <rPr>
            <b/>
            <sz val="9"/>
            <color indexed="81"/>
            <rFont val="Tahoma"/>
            <family val="2"/>
          </rPr>
          <t>LPA:</t>
        </r>
        <r>
          <rPr>
            <sz val="9"/>
            <color indexed="81"/>
            <rFont val="Tahoma"/>
            <family val="2"/>
          </rPr>
          <t xml:space="preserve">
проверити збир!
</t>
        </r>
      </text>
    </comment>
    <comment ref="I7570" authorId="0">
      <text>
        <r>
          <rPr>
            <b/>
            <sz val="9"/>
            <color indexed="81"/>
            <rFont val="Tahoma"/>
            <family val="2"/>
          </rPr>
          <t>LPA:</t>
        </r>
        <r>
          <rPr>
            <sz val="9"/>
            <color indexed="81"/>
            <rFont val="Tahoma"/>
            <family val="2"/>
          </rPr>
          <t xml:space="preserve">
проверити збир!
</t>
        </r>
      </text>
    </comment>
    <comment ref="I7571" authorId="0">
      <text>
        <r>
          <rPr>
            <b/>
            <sz val="9"/>
            <color indexed="81"/>
            <rFont val="Tahoma"/>
            <family val="2"/>
          </rPr>
          <t>LPA:</t>
        </r>
        <r>
          <rPr>
            <sz val="9"/>
            <color indexed="81"/>
            <rFont val="Tahoma"/>
            <family val="2"/>
          </rPr>
          <t xml:space="preserve">
проверити збир!
</t>
        </r>
      </text>
    </comment>
    <comment ref="I7572" authorId="0">
      <text>
        <r>
          <rPr>
            <b/>
            <sz val="9"/>
            <color indexed="81"/>
            <rFont val="Tahoma"/>
            <family val="2"/>
          </rPr>
          <t>LPA:</t>
        </r>
        <r>
          <rPr>
            <sz val="9"/>
            <color indexed="81"/>
            <rFont val="Tahoma"/>
            <family val="2"/>
          </rPr>
          <t xml:space="preserve">
проверити збир!
</t>
        </r>
      </text>
    </comment>
    <comment ref="I7573" authorId="0">
      <text>
        <r>
          <rPr>
            <b/>
            <sz val="9"/>
            <color indexed="81"/>
            <rFont val="Tahoma"/>
            <family val="2"/>
          </rPr>
          <t>LPA:</t>
        </r>
        <r>
          <rPr>
            <sz val="9"/>
            <color indexed="81"/>
            <rFont val="Tahoma"/>
            <family val="2"/>
          </rPr>
          <t xml:space="preserve">
проверити збир!
</t>
        </r>
      </text>
    </comment>
    <comment ref="I7574" authorId="0">
      <text>
        <r>
          <rPr>
            <b/>
            <sz val="9"/>
            <color indexed="81"/>
            <rFont val="Tahoma"/>
            <family val="2"/>
          </rPr>
          <t>LPA:</t>
        </r>
        <r>
          <rPr>
            <sz val="9"/>
            <color indexed="81"/>
            <rFont val="Tahoma"/>
            <family val="2"/>
          </rPr>
          <t xml:space="preserve">
проверити збир!
</t>
        </r>
      </text>
    </comment>
    <comment ref="I7575" authorId="0">
      <text>
        <r>
          <rPr>
            <b/>
            <sz val="9"/>
            <color indexed="81"/>
            <rFont val="Tahoma"/>
            <family val="2"/>
          </rPr>
          <t>LPA:</t>
        </r>
        <r>
          <rPr>
            <sz val="9"/>
            <color indexed="81"/>
            <rFont val="Tahoma"/>
            <family val="2"/>
          </rPr>
          <t xml:space="preserve">
проверити збир!
</t>
        </r>
      </text>
    </comment>
    <comment ref="I7576" authorId="0">
      <text>
        <r>
          <rPr>
            <b/>
            <sz val="9"/>
            <color indexed="81"/>
            <rFont val="Tahoma"/>
            <family val="2"/>
          </rPr>
          <t>LPA:</t>
        </r>
        <r>
          <rPr>
            <sz val="9"/>
            <color indexed="81"/>
            <rFont val="Tahoma"/>
            <family val="2"/>
          </rPr>
          <t xml:space="preserve">
проверити збир!
</t>
        </r>
      </text>
    </comment>
    <comment ref="I7577" authorId="0">
      <text>
        <r>
          <rPr>
            <b/>
            <sz val="9"/>
            <color indexed="81"/>
            <rFont val="Tahoma"/>
            <family val="2"/>
          </rPr>
          <t>LPA:</t>
        </r>
        <r>
          <rPr>
            <sz val="9"/>
            <color indexed="81"/>
            <rFont val="Tahoma"/>
            <family val="2"/>
          </rPr>
          <t xml:space="preserve">
проверити збир!
</t>
        </r>
      </text>
    </comment>
    <comment ref="I7578" authorId="0">
      <text>
        <r>
          <rPr>
            <b/>
            <sz val="9"/>
            <color indexed="81"/>
            <rFont val="Tahoma"/>
            <family val="2"/>
          </rPr>
          <t>LPA:</t>
        </r>
        <r>
          <rPr>
            <sz val="9"/>
            <color indexed="81"/>
            <rFont val="Tahoma"/>
            <family val="2"/>
          </rPr>
          <t xml:space="preserve">
проверити збир!
</t>
        </r>
      </text>
    </comment>
    <comment ref="I7579" authorId="0">
      <text>
        <r>
          <rPr>
            <b/>
            <sz val="9"/>
            <color indexed="81"/>
            <rFont val="Tahoma"/>
            <family val="2"/>
          </rPr>
          <t>LPA:</t>
        </r>
        <r>
          <rPr>
            <sz val="9"/>
            <color indexed="81"/>
            <rFont val="Tahoma"/>
            <family val="2"/>
          </rPr>
          <t xml:space="preserve">
проверити збир!
</t>
        </r>
      </text>
    </comment>
    <comment ref="I7580" authorId="0">
      <text>
        <r>
          <rPr>
            <b/>
            <sz val="9"/>
            <color indexed="81"/>
            <rFont val="Tahoma"/>
            <family val="2"/>
          </rPr>
          <t>LPA:</t>
        </r>
        <r>
          <rPr>
            <sz val="9"/>
            <color indexed="81"/>
            <rFont val="Tahoma"/>
            <family val="2"/>
          </rPr>
          <t xml:space="preserve">
проверити збир!
</t>
        </r>
      </text>
    </comment>
    <comment ref="I7649" authorId="0">
      <text>
        <r>
          <rPr>
            <b/>
            <sz val="9"/>
            <color indexed="81"/>
            <rFont val="Tahoma"/>
            <family val="2"/>
          </rPr>
          <t>LPA:</t>
        </r>
        <r>
          <rPr>
            <sz val="9"/>
            <color indexed="81"/>
            <rFont val="Tahoma"/>
            <family val="2"/>
          </rPr>
          <t xml:space="preserve">
проверити збир!
</t>
        </r>
      </text>
    </comment>
    <comment ref="I7650" authorId="0">
      <text>
        <r>
          <rPr>
            <b/>
            <sz val="9"/>
            <color indexed="81"/>
            <rFont val="Tahoma"/>
            <family val="2"/>
          </rPr>
          <t>LPA:</t>
        </r>
        <r>
          <rPr>
            <sz val="9"/>
            <color indexed="81"/>
            <rFont val="Tahoma"/>
            <family val="2"/>
          </rPr>
          <t xml:space="preserve">
проверити збир!
</t>
        </r>
      </text>
    </comment>
    <comment ref="I7651" authorId="0">
      <text>
        <r>
          <rPr>
            <b/>
            <sz val="9"/>
            <color indexed="81"/>
            <rFont val="Tahoma"/>
            <family val="2"/>
          </rPr>
          <t>LPA:</t>
        </r>
        <r>
          <rPr>
            <sz val="9"/>
            <color indexed="81"/>
            <rFont val="Tahoma"/>
            <family val="2"/>
          </rPr>
          <t xml:space="preserve">
проверити збир!
</t>
        </r>
      </text>
    </comment>
    <comment ref="I7652" authorId="0">
      <text>
        <r>
          <rPr>
            <b/>
            <sz val="9"/>
            <color indexed="81"/>
            <rFont val="Tahoma"/>
            <family val="2"/>
          </rPr>
          <t>LPA:</t>
        </r>
        <r>
          <rPr>
            <sz val="9"/>
            <color indexed="81"/>
            <rFont val="Tahoma"/>
            <family val="2"/>
          </rPr>
          <t xml:space="preserve">
проверити збир!
</t>
        </r>
      </text>
    </comment>
    <comment ref="I7653" authorId="0">
      <text>
        <r>
          <rPr>
            <b/>
            <sz val="9"/>
            <color indexed="81"/>
            <rFont val="Tahoma"/>
            <family val="2"/>
          </rPr>
          <t>LPA:</t>
        </r>
        <r>
          <rPr>
            <sz val="9"/>
            <color indexed="81"/>
            <rFont val="Tahoma"/>
            <family val="2"/>
          </rPr>
          <t xml:space="preserve">
проверити збир!
</t>
        </r>
      </text>
    </comment>
    <comment ref="I7654" authorId="0">
      <text>
        <r>
          <rPr>
            <b/>
            <sz val="9"/>
            <color indexed="81"/>
            <rFont val="Tahoma"/>
            <family val="2"/>
          </rPr>
          <t>LPA:</t>
        </r>
        <r>
          <rPr>
            <sz val="9"/>
            <color indexed="81"/>
            <rFont val="Tahoma"/>
            <family val="2"/>
          </rPr>
          <t xml:space="preserve">
проверити збир!
</t>
        </r>
      </text>
    </comment>
    <comment ref="I7655" authorId="0">
      <text>
        <r>
          <rPr>
            <b/>
            <sz val="9"/>
            <color indexed="81"/>
            <rFont val="Tahoma"/>
            <family val="2"/>
          </rPr>
          <t>LPA:</t>
        </r>
        <r>
          <rPr>
            <sz val="9"/>
            <color indexed="81"/>
            <rFont val="Tahoma"/>
            <family val="2"/>
          </rPr>
          <t xml:space="preserve">
проверити збир!
</t>
        </r>
      </text>
    </comment>
    <comment ref="I7656" authorId="0">
      <text>
        <r>
          <rPr>
            <b/>
            <sz val="9"/>
            <color indexed="81"/>
            <rFont val="Tahoma"/>
            <family val="2"/>
          </rPr>
          <t>LPA:</t>
        </r>
        <r>
          <rPr>
            <sz val="9"/>
            <color indexed="81"/>
            <rFont val="Tahoma"/>
            <family val="2"/>
          </rPr>
          <t xml:space="preserve">
проверити збир!
</t>
        </r>
      </text>
    </comment>
    <comment ref="I7657" authorId="0">
      <text>
        <r>
          <rPr>
            <b/>
            <sz val="9"/>
            <color indexed="81"/>
            <rFont val="Tahoma"/>
            <family val="2"/>
          </rPr>
          <t>LPA:</t>
        </r>
        <r>
          <rPr>
            <sz val="9"/>
            <color indexed="81"/>
            <rFont val="Tahoma"/>
            <family val="2"/>
          </rPr>
          <t xml:space="preserve">
проверити збир!
</t>
        </r>
      </text>
    </comment>
    <comment ref="I7658" authorId="0">
      <text>
        <r>
          <rPr>
            <b/>
            <sz val="9"/>
            <color indexed="81"/>
            <rFont val="Tahoma"/>
            <family val="2"/>
          </rPr>
          <t>LPA:</t>
        </r>
        <r>
          <rPr>
            <sz val="9"/>
            <color indexed="81"/>
            <rFont val="Tahoma"/>
            <family val="2"/>
          </rPr>
          <t xml:space="preserve">
проверити збир!
</t>
        </r>
      </text>
    </comment>
    <comment ref="I7659" authorId="0">
      <text>
        <r>
          <rPr>
            <b/>
            <sz val="9"/>
            <color indexed="81"/>
            <rFont val="Tahoma"/>
            <family val="2"/>
          </rPr>
          <t>LPA:</t>
        </r>
        <r>
          <rPr>
            <sz val="9"/>
            <color indexed="81"/>
            <rFont val="Tahoma"/>
            <family val="2"/>
          </rPr>
          <t xml:space="preserve">
проверити збир!
</t>
        </r>
      </text>
    </comment>
    <comment ref="I7660" authorId="0">
      <text>
        <r>
          <rPr>
            <b/>
            <sz val="9"/>
            <color indexed="81"/>
            <rFont val="Tahoma"/>
            <family val="2"/>
          </rPr>
          <t>LPA:</t>
        </r>
        <r>
          <rPr>
            <sz val="9"/>
            <color indexed="81"/>
            <rFont val="Tahoma"/>
            <family val="2"/>
          </rPr>
          <t xml:space="preserve">
проверити збир!
</t>
        </r>
      </text>
    </comment>
    <comment ref="I7661" authorId="0">
      <text>
        <r>
          <rPr>
            <b/>
            <sz val="9"/>
            <color indexed="81"/>
            <rFont val="Tahoma"/>
            <family val="2"/>
          </rPr>
          <t>LPA:</t>
        </r>
        <r>
          <rPr>
            <sz val="9"/>
            <color indexed="81"/>
            <rFont val="Tahoma"/>
            <family val="2"/>
          </rPr>
          <t xml:space="preserve">
проверити збир!
</t>
        </r>
      </text>
    </comment>
    <comment ref="I7667" authorId="0">
      <text>
        <r>
          <rPr>
            <b/>
            <sz val="9"/>
            <color indexed="81"/>
            <rFont val="Tahoma"/>
            <family val="2"/>
          </rPr>
          <t>LPA:</t>
        </r>
        <r>
          <rPr>
            <sz val="9"/>
            <color indexed="81"/>
            <rFont val="Tahoma"/>
            <family val="2"/>
          </rPr>
          <t xml:space="preserve">
проверити збир!
</t>
        </r>
      </text>
    </comment>
    <comment ref="I7668" authorId="0">
      <text>
        <r>
          <rPr>
            <b/>
            <sz val="9"/>
            <color indexed="81"/>
            <rFont val="Tahoma"/>
            <family val="2"/>
          </rPr>
          <t>LPA:</t>
        </r>
        <r>
          <rPr>
            <sz val="9"/>
            <color indexed="81"/>
            <rFont val="Tahoma"/>
            <family val="2"/>
          </rPr>
          <t xml:space="preserve">
проверити збир!
</t>
        </r>
      </text>
    </comment>
    <comment ref="I7669" authorId="0">
      <text>
        <r>
          <rPr>
            <b/>
            <sz val="9"/>
            <color indexed="81"/>
            <rFont val="Tahoma"/>
            <family val="2"/>
          </rPr>
          <t>LPA:</t>
        </r>
        <r>
          <rPr>
            <sz val="9"/>
            <color indexed="81"/>
            <rFont val="Tahoma"/>
            <family val="2"/>
          </rPr>
          <t xml:space="preserve">
проверити збир!
</t>
        </r>
      </text>
    </comment>
    <comment ref="I7670" authorId="0">
      <text>
        <r>
          <rPr>
            <b/>
            <sz val="9"/>
            <color indexed="81"/>
            <rFont val="Tahoma"/>
            <family val="2"/>
          </rPr>
          <t>LPA:</t>
        </r>
        <r>
          <rPr>
            <sz val="9"/>
            <color indexed="81"/>
            <rFont val="Tahoma"/>
            <family val="2"/>
          </rPr>
          <t xml:space="preserve">
проверити збир!
</t>
        </r>
      </text>
    </comment>
    <comment ref="I7671" authorId="0">
      <text>
        <r>
          <rPr>
            <b/>
            <sz val="9"/>
            <color indexed="81"/>
            <rFont val="Tahoma"/>
            <family val="2"/>
          </rPr>
          <t>LPA:</t>
        </r>
        <r>
          <rPr>
            <sz val="9"/>
            <color indexed="81"/>
            <rFont val="Tahoma"/>
            <family val="2"/>
          </rPr>
          <t xml:space="preserve">
проверити збир!
</t>
        </r>
      </text>
    </comment>
    <comment ref="I7672" authorId="0">
      <text>
        <r>
          <rPr>
            <b/>
            <sz val="9"/>
            <color indexed="81"/>
            <rFont val="Tahoma"/>
            <family val="2"/>
          </rPr>
          <t>LPA:</t>
        </r>
        <r>
          <rPr>
            <sz val="9"/>
            <color indexed="81"/>
            <rFont val="Tahoma"/>
            <family val="2"/>
          </rPr>
          <t xml:space="preserve">
проверити збир!
</t>
        </r>
      </text>
    </comment>
    <comment ref="I7673" authorId="0">
      <text>
        <r>
          <rPr>
            <b/>
            <sz val="9"/>
            <color indexed="81"/>
            <rFont val="Tahoma"/>
            <family val="2"/>
          </rPr>
          <t>LPA:</t>
        </r>
        <r>
          <rPr>
            <sz val="9"/>
            <color indexed="81"/>
            <rFont val="Tahoma"/>
            <family val="2"/>
          </rPr>
          <t xml:space="preserve">
проверити збир!
</t>
        </r>
      </text>
    </comment>
    <comment ref="I7674" authorId="0">
      <text>
        <r>
          <rPr>
            <b/>
            <sz val="9"/>
            <color indexed="81"/>
            <rFont val="Tahoma"/>
            <family val="2"/>
          </rPr>
          <t>LPA:</t>
        </r>
        <r>
          <rPr>
            <sz val="9"/>
            <color indexed="81"/>
            <rFont val="Tahoma"/>
            <family val="2"/>
          </rPr>
          <t xml:space="preserve">
проверити збир!
</t>
        </r>
      </text>
    </comment>
    <comment ref="I7675" authorId="0">
      <text>
        <r>
          <rPr>
            <b/>
            <sz val="9"/>
            <color indexed="81"/>
            <rFont val="Tahoma"/>
            <family val="2"/>
          </rPr>
          <t>LPA:</t>
        </r>
        <r>
          <rPr>
            <sz val="9"/>
            <color indexed="81"/>
            <rFont val="Tahoma"/>
            <family val="2"/>
          </rPr>
          <t xml:space="preserve">
проверити збир!
</t>
        </r>
      </text>
    </comment>
    <comment ref="I7676" authorId="0">
      <text>
        <r>
          <rPr>
            <b/>
            <sz val="9"/>
            <color indexed="81"/>
            <rFont val="Tahoma"/>
            <family val="2"/>
          </rPr>
          <t>LPA:</t>
        </r>
        <r>
          <rPr>
            <sz val="9"/>
            <color indexed="81"/>
            <rFont val="Tahoma"/>
            <family val="2"/>
          </rPr>
          <t xml:space="preserve">
проверити збир!
</t>
        </r>
      </text>
    </comment>
    <comment ref="I7677" authorId="0">
      <text>
        <r>
          <rPr>
            <b/>
            <sz val="9"/>
            <color indexed="81"/>
            <rFont val="Tahoma"/>
            <family val="2"/>
          </rPr>
          <t>LPA:</t>
        </r>
        <r>
          <rPr>
            <sz val="9"/>
            <color indexed="81"/>
            <rFont val="Tahoma"/>
            <family val="2"/>
          </rPr>
          <t xml:space="preserve">
проверити збир!
</t>
        </r>
      </text>
    </comment>
    <comment ref="I7678" authorId="0">
      <text>
        <r>
          <rPr>
            <b/>
            <sz val="9"/>
            <color indexed="81"/>
            <rFont val="Tahoma"/>
            <family val="2"/>
          </rPr>
          <t>LPA:</t>
        </r>
        <r>
          <rPr>
            <sz val="9"/>
            <color indexed="81"/>
            <rFont val="Tahoma"/>
            <family val="2"/>
          </rPr>
          <t xml:space="preserve">
проверити збир!
</t>
        </r>
      </text>
    </comment>
    <comment ref="I7679" authorId="0">
      <text>
        <r>
          <rPr>
            <b/>
            <sz val="9"/>
            <color indexed="81"/>
            <rFont val="Tahoma"/>
            <family val="2"/>
          </rPr>
          <t>LPA:</t>
        </r>
        <r>
          <rPr>
            <sz val="9"/>
            <color indexed="81"/>
            <rFont val="Tahoma"/>
            <family val="2"/>
          </rPr>
          <t xml:space="preserve">
проверити збир!
</t>
        </r>
      </text>
    </comment>
    <comment ref="H7683" authorId="0">
      <text>
        <r>
          <rPr>
            <b/>
            <sz val="9"/>
            <color indexed="81"/>
            <rFont val="Tahoma"/>
            <family val="2"/>
          </rPr>
          <t>LPA:</t>
        </r>
        <r>
          <rPr>
            <sz val="9"/>
            <color indexed="81"/>
            <rFont val="Tahoma"/>
            <family val="2"/>
          </rPr>
          <t xml:space="preserve">
проверити збир!</t>
        </r>
      </text>
    </comment>
    <comment ref="I7683" authorId="0">
      <text>
        <r>
          <rPr>
            <b/>
            <sz val="9"/>
            <color indexed="81"/>
            <rFont val="Tahoma"/>
            <family val="2"/>
          </rPr>
          <t>LPA:</t>
        </r>
        <r>
          <rPr>
            <sz val="9"/>
            <color indexed="81"/>
            <rFont val="Tahoma"/>
            <family val="2"/>
          </rPr>
          <t xml:space="preserve">
проверити збир!
</t>
        </r>
      </text>
    </comment>
    <comment ref="I7684" authorId="0">
      <text>
        <r>
          <rPr>
            <b/>
            <sz val="9"/>
            <color indexed="81"/>
            <rFont val="Tahoma"/>
            <family val="2"/>
          </rPr>
          <t>LPA:</t>
        </r>
        <r>
          <rPr>
            <sz val="9"/>
            <color indexed="81"/>
            <rFont val="Tahoma"/>
            <family val="2"/>
          </rPr>
          <t xml:space="preserve">
проверити збир!
</t>
        </r>
      </text>
    </comment>
    <comment ref="I7685" authorId="0">
      <text>
        <r>
          <rPr>
            <b/>
            <sz val="9"/>
            <color indexed="81"/>
            <rFont val="Tahoma"/>
            <family val="2"/>
          </rPr>
          <t>LPA:</t>
        </r>
        <r>
          <rPr>
            <sz val="9"/>
            <color indexed="81"/>
            <rFont val="Tahoma"/>
            <family val="2"/>
          </rPr>
          <t xml:space="preserve">
проверити збир!
</t>
        </r>
      </text>
    </comment>
    <comment ref="I7686" authorId="0">
      <text>
        <r>
          <rPr>
            <b/>
            <sz val="9"/>
            <color indexed="81"/>
            <rFont val="Tahoma"/>
            <family val="2"/>
          </rPr>
          <t>LPA:</t>
        </r>
        <r>
          <rPr>
            <sz val="9"/>
            <color indexed="81"/>
            <rFont val="Tahoma"/>
            <family val="2"/>
          </rPr>
          <t xml:space="preserve">
проверити збир!
</t>
        </r>
      </text>
    </comment>
    <comment ref="I7687" authorId="0">
      <text>
        <r>
          <rPr>
            <b/>
            <sz val="9"/>
            <color indexed="81"/>
            <rFont val="Tahoma"/>
            <family val="2"/>
          </rPr>
          <t>LPA:</t>
        </r>
        <r>
          <rPr>
            <sz val="9"/>
            <color indexed="81"/>
            <rFont val="Tahoma"/>
            <family val="2"/>
          </rPr>
          <t xml:space="preserve">
проверити збир!
</t>
        </r>
      </text>
    </comment>
    <comment ref="I7688" authorId="0">
      <text>
        <r>
          <rPr>
            <b/>
            <sz val="9"/>
            <color indexed="81"/>
            <rFont val="Tahoma"/>
            <family val="2"/>
          </rPr>
          <t>LPA:</t>
        </r>
        <r>
          <rPr>
            <sz val="9"/>
            <color indexed="81"/>
            <rFont val="Tahoma"/>
            <family val="2"/>
          </rPr>
          <t xml:space="preserve">
проверити збир!
</t>
        </r>
      </text>
    </comment>
    <comment ref="I7689" authorId="0">
      <text>
        <r>
          <rPr>
            <b/>
            <sz val="9"/>
            <color indexed="81"/>
            <rFont val="Tahoma"/>
            <family val="2"/>
          </rPr>
          <t>LPA:</t>
        </r>
        <r>
          <rPr>
            <sz val="9"/>
            <color indexed="81"/>
            <rFont val="Tahoma"/>
            <family val="2"/>
          </rPr>
          <t xml:space="preserve">
проверити збир!
</t>
        </r>
      </text>
    </comment>
    <comment ref="I7690" authorId="0">
      <text>
        <r>
          <rPr>
            <b/>
            <sz val="9"/>
            <color indexed="81"/>
            <rFont val="Tahoma"/>
            <family val="2"/>
          </rPr>
          <t>LPA:</t>
        </r>
        <r>
          <rPr>
            <sz val="9"/>
            <color indexed="81"/>
            <rFont val="Tahoma"/>
            <family val="2"/>
          </rPr>
          <t xml:space="preserve">
проверити збир!
</t>
        </r>
      </text>
    </comment>
    <comment ref="I7691" authorId="0">
      <text>
        <r>
          <rPr>
            <b/>
            <sz val="9"/>
            <color indexed="81"/>
            <rFont val="Tahoma"/>
            <family val="2"/>
          </rPr>
          <t>LPA:</t>
        </r>
        <r>
          <rPr>
            <sz val="9"/>
            <color indexed="81"/>
            <rFont val="Tahoma"/>
            <family val="2"/>
          </rPr>
          <t xml:space="preserve">
проверити збир!
</t>
        </r>
      </text>
    </comment>
    <comment ref="I7692" authorId="0">
      <text>
        <r>
          <rPr>
            <b/>
            <sz val="9"/>
            <color indexed="81"/>
            <rFont val="Tahoma"/>
            <family val="2"/>
          </rPr>
          <t>LPA:</t>
        </r>
        <r>
          <rPr>
            <sz val="9"/>
            <color indexed="81"/>
            <rFont val="Tahoma"/>
            <family val="2"/>
          </rPr>
          <t xml:space="preserve">
проверити збир!
</t>
        </r>
      </text>
    </comment>
    <comment ref="I7693" authorId="0">
      <text>
        <r>
          <rPr>
            <b/>
            <sz val="9"/>
            <color indexed="81"/>
            <rFont val="Tahoma"/>
            <family val="2"/>
          </rPr>
          <t>LPA:</t>
        </r>
        <r>
          <rPr>
            <sz val="9"/>
            <color indexed="81"/>
            <rFont val="Tahoma"/>
            <family val="2"/>
          </rPr>
          <t xml:space="preserve">
проверити збир!
</t>
        </r>
      </text>
    </comment>
    <comment ref="I7694" authorId="0">
      <text>
        <r>
          <rPr>
            <b/>
            <sz val="9"/>
            <color indexed="81"/>
            <rFont val="Tahoma"/>
            <family val="2"/>
          </rPr>
          <t>LPA:</t>
        </r>
        <r>
          <rPr>
            <sz val="9"/>
            <color indexed="81"/>
            <rFont val="Tahoma"/>
            <family val="2"/>
          </rPr>
          <t xml:space="preserve">
проверити збир!
</t>
        </r>
      </text>
    </comment>
    <comment ref="I7695" authorId="0">
      <text>
        <r>
          <rPr>
            <b/>
            <sz val="9"/>
            <color indexed="81"/>
            <rFont val="Tahoma"/>
            <family val="2"/>
          </rPr>
          <t>LPA:</t>
        </r>
        <r>
          <rPr>
            <sz val="9"/>
            <color indexed="81"/>
            <rFont val="Tahoma"/>
            <family val="2"/>
          </rPr>
          <t xml:space="preserve">
проверити збир!
</t>
        </r>
      </text>
    </comment>
    <comment ref="I7696" authorId="0">
      <text>
        <r>
          <rPr>
            <b/>
            <sz val="9"/>
            <color indexed="81"/>
            <rFont val="Tahoma"/>
            <family val="2"/>
          </rPr>
          <t>LPA:</t>
        </r>
        <r>
          <rPr>
            <sz val="9"/>
            <color indexed="81"/>
            <rFont val="Tahoma"/>
            <family val="2"/>
          </rPr>
          <t xml:space="preserve">
проверити збир!
</t>
        </r>
      </text>
    </comment>
    <comment ref="I7697" authorId="0">
      <text>
        <r>
          <rPr>
            <b/>
            <sz val="9"/>
            <color indexed="81"/>
            <rFont val="Tahoma"/>
            <family val="2"/>
          </rPr>
          <t>LPA:</t>
        </r>
        <r>
          <rPr>
            <sz val="9"/>
            <color indexed="81"/>
            <rFont val="Tahoma"/>
            <family val="2"/>
          </rPr>
          <t xml:space="preserve">
проверити збир!
</t>
        </r>
      </text>
    </comment>
    <comment ref="I7698" authorId="0">
      <text>
        <r>
          <rPr>
            <b/>
            <sz val="9"/>
            <color indexed="81"/>
            <rFont val="Tahoma"/>
            <family val="2"/>
          </rPr>
          <t>LPA:</t>
        </r>
        <r>
          <rPr>
            <sz val="9"/>
            <color indexed="81"/>
            <rFont val="Tahoma"/>
            <family val="2"/>
          </rPr>
          <t xml:space="preserve">
проверити збир!
</t>
        </r>
      </text>
    </comment>
    <comment ref="H7702" authorId="0">
      <text>
        <r>
          <rPr>
            <b/>
            <sz val="9"/>
            <color indexed="81"/>
            <rFont val="Tahoma"/>
            <family val="2"/>
          </rPr>
          <t>LPA:</t>
        </r>
        <r>
          <rPr>
            <sz val="9"/>
            <color indexed="81"/>
            <rFont val="Tahoma"/>
            <family val="2"/>
          </rPr>
          <t xml:space="preserve">
проверити збир!</t>
        </r>
      </text>
    </comment>
    <comment ref="I7702" authorId="0">
      <text>
        <r>
          <rPr>
            <b/>
            <sz val="9"/>
            <color indexed="81"/>
            <rFont val="Tahoma"/>
            <family val="2"/>
          </rPr>
          <t>LPA:</t>
        </r>
        <r>
          <rPr>
            <sz val="9"/>
            <color indexed="81"/>
            <rFont val="Tahoma"/>
            <family val="2"/>
          </rPr>
          <t xml:space="preserve">
проверити збир!
</t>
        </r>
      </text>
    </comment>
    <comment ref="I7703" authorId="0">
      <text>
        <r>
          <rPr>
            <b/>
            <sz val="9"/>
            <color indexed="81"/>
            <rFont val="Tahoma"/>
            <family val="2"/>
          </rPr>
          <t>LPA:</t>
        </r>
        <r>
          <rPr>
            <sz val="9"/>
            <color indexed="81"/>
            <rFont val="Tahoma"/>
            <family val="2"/>
          </rPr>
          <t xml:space="preserve">
проверити збир!
</t>
        </r>
      </text>
    </comment>
    <comment ref="I7704" authorId="0">
      <text>
        <r>
          <rPr>
            <b/>
            <sz val="9"/>
            <color indexed="81"/>
            <rFont val="Tahoma"/>
            <family val="2"/>
          </rPr>
          <t>LPA:</t>
        </r>
        <r>
          <rPr>
            <sz val="9"/>
            <color indexed="81"/>
            <rFont val="Tahoma"/>
            <family val="2"/>
          </rPr>
          <t xml:space="preserve">
проверити збир!
</t>
        </r>
      </text>
    </comment>
    <comment ref="I7705" authorId="0">
      <text>
        <r>
          <rPr>
            <b/>
            <sz val="9"/>
            <color indexed="81"/>
            <rFont val="Tahoma"/>
            <family val="2"/>
          </rPr>
          <t>LPA:</t>
        </r>
        <r>
          <rPr>
            <sz val="9"/>
            <color indexed="81"/>
            <rFont val="Tahoma"/>
            <family val="2"/>
          </rPr>
          <t xml:space="preserve">
проверити збир!
</t>
        </r>
      </text>
    </comment>
    <comment ref="I7706" authorId="0">
      <text>
        <r>
          <rPr>
            <b/>
            <sz val="9"/>
            <color indexed="81"/>
            <rFont val="Tahoma"/>
            <family val="2"/>
          </rPr>
          <t>LPA:</t>
        </r>
        <r>
          <rPr>
            <sz val="9"/>
            <color indexed="81"/>
            <rFont val="Tahoma"/>
            <family val="2"/>
          </rPr>
          <t xml:space="preserve">
проверити збир!
</t>
        </r>
      </text>
    </comment>
    <comment ref="I7707" authorId="0">
      <text>
        <r>
          <rPr>
            <b/>
            <sz val="9"/>
            <color indexed="81"/>
            <rFont val="Tahoma"/>
            <family val="2"/>
          </rPr>
          <t>LPA:</t>
        </r>
        <r>
          <rPr>
            <sz val="9"/>
            <color indexed="81"/>
            <rFont val="Tahoma"/>
            <family val="2"/>
          </rPr>
          <t xml:space="preserve">
проверити збир!
</t>
        </r>
      </text>
    </comment>
    <comment ref="I7708" authorId="0">
      <text>
        <r>
          <rPr>
            <b/>
            <sz val="9"/>
            <color indexed="81"/>
            <rFont val="Tahoma"/>
            <family val="2"/>
          </rPr>
          <t>LPA:</t>
        </r>
        <r>
          <rPr>
            <sz val="9"/>
            <color indexed="81"/>
            <rFont val="Tahoma"/>
            <family val="2"/>
          </rPr>
          <t xml:space="preserve">
проверити збир!
</t>
        </r>
      </text>
    </comment>
    <comment ref="I7709" authorId="0">
      <text>
        <r>
          <rPr>
            <b/>
            <sz val="9"/>
            <color indexed="81"/>
            <rFont val="Tahoma"/>
            <family val="2"/>
          </rPr>
          <t>LPA:</t>
        </r>
        <r>
          <rPr>
            <sz val="9"/>
            <color indexed="81"/>
            <rFont val="Tahoma"/>
            <family val="2"/>
          </rPr>
          <t xml:space="preserve">
проверити збир!
</t>
        </r>
      </text>
    </comment>
    <comment ref="I7710" authorId="0">
      <text>
        <r>
          <rPr>
            <b/>
            <sz val="9"/>
            <color indexed="81"/>
            <rFont val="Tahoma"/>
            <family val="2"/>
          </rPr>
          <t>LPA:</t>
        </r>
        <r>
          <rPr>
            <sz val="9"/>
            <color indexed="81"/>
            <rFont val="Tahoma"/>
            <family val="2"/>
          </rPr>
          <t xml:space="preserve">
проверити збир!
</t>
        </r>
      </text>
    </comment>
    <comment ref="I7711" authorId="0">
      <text>
        <r>
          <rPr>
            <b/>
            <sz val="9"/>
            <color indexed="81"/>
            <rFont val="Tahoma"/>
            <family val="2"/>
          </rPr>
          <t>LPA:</t>
        </r>
        <r>
          <rPr>
            <sz val="9"/>
            <color indexed="81"/>
            <rFont val="Tahoma"/>
            <family val="2"/>
          </rPr>
          <t xml:space="preserve">
проверити збир!
</t>
        </r>
      </text>
    </comment>
    <comment ref="I7712" authorId="0">
      <text>
        <r>
          <rPr>
            <b/>
            <sz val="9"/>
            <color indexed="81"/>
            <rFont val="Tahoma"/>
            <family val="2"/>
          </rPr>
          <t>LPA:</t>
        </r>
        <r>
          <rPr>
            <sz val="9"/>
            <color indexed="81"/>
            <rFont val="Tahoma"/>
            <family val="2"/>
          </rPr>
          <t xml:space="preserve">
проверити збир!
</t>
        </r>
      </text>
    </comment>
    <comment ref="I7713" authorId="0">
      <text>
        <r>
          <rPr>
            <b/>
            <sz val="9"/>
            <color indexed="81"/>
            <rFont val="Tahoma"/>
            <family val="2"/>
          </rPr>
          <t>LPA:</t>
        </r>
        <r>
          <rPr>
            <sz val="9"/>
            <color indexed="81"/>
            <rFont val="Tahoma"/>
            <family val="2"/>
          </rPr>
          <t xml:space="preserve">
проверити збир!
</t>
        </r>
      </text>
    </comment>
    <comment ref="I7714" authorId="0">
      <text>
        <r>
          <rPr>
            <b/>
            <sz val="9"/>
            <color indexed="81"/>
            <rFont val="Tahoma"/>
            <family val="2"/>
          </rPr>
          <t>LPA:</t>
        </r>
        <r>
          <rPr>
            <sz val="9"/>
            <color indexed="81"/>
            <rFont val="Tahoma"/>
            <family val="2"/>
          </rPr>
          <t xml:space="preserve">
проверити збир!
</t>
        </r>
      </text>
    </comment>
    <comment ref="I7715" authorId="0">
      <text>
        <r>
          <rPr>
            <b/>
            <sz val="9"/>
            <color indexed="81"/>
            <rFont val="Tahoma"/>
            <family val="2"/>
          </rPr>
          <t>LPA:</t>
        </r>
        <r>
          <rPr>
            <sz val="9"/>
            <color indexed="81"/>
            <rFont val="Tahoma"/>
            <family val="2"/>
          </rPr>
          <t xml:space="preserve">
проверити збир!
</t>
        </r>
      </text>
    </comment>
    <comment ref="I7716" authorId="0">
      <text>
        <r>
          <rPr>
            <b/>
            <sz val="9"/>
            <color indexed="81"/>
            <rFont val="Tahoma"/>
            <family val="2"/>
          </rPr>
          <t>LPA:</t>
        </r>
        <r>
          <rPr>
            <sz val="9"/>
            <color indexed="81"/>
            <rFont val="Tahoma"/>
            <family val="2"/>
          </rPr>
          <t xml:space="preserve">
проверити збир!
</t>
        </r>
      </text>
    </comment>
    <comment ref="I7717" authorId="0">
      <text>
        <r>
          <rPr>
            <b/>
            <sz val="9"/>
            <color indexed="81"/>
            <rFont val="Tahoma"/>
            <family val="2"/>
          </rPr>
          <t>LPA:</t>
        </r>
        <r>
          <rPr>
            <sz val="9"/>
            <color indexed="81"/>
            <rFont val="Tahoma"/>
            <family val="2"/>
          </rPr>
          <t xml:space="preserve">
проверити збир!
</t>
        </r>
      </text>
    </comment>
    <comment ref="I7789" authorId="0">
      <text>
        <r>
          <rPr>
            <b/>
            <sz val="9"/>
            <color indexed="81"/>
            <rFont val="Tahoma"/>
            <family val="2"/>
          </rPr>
          <t>LPA:</t>
        </r>
        <r>
          <rPr>
            <sz val="9"/>
            <color indexed="81"/>
            <rFont val="Tahoma"/>
            <family val="2"/>
          </rPr>
          <t xml:space="preserve">
проверити збир!
</t>
        </r>
      </text>
    </comment>
    <comment ref="I7790" authorId="0">
      <text>
        <r>
          <rPr>
            <b/>
            <sz val="9"/>
            <color indexed="81"/>
            <rFont val="Tahoma"/>
            <family val="2"/>
          </rPr>
          <t>LPA:</t>
        </r>
        <r>
          <rPr>
            <sz val="9"/>
            <color indexed="81"/>
            <rFont val="Tahoma"/>
            <family val="2"/>
          </rPr>
          <t xml:space="preserve">
проверити збир!
</t>
        </r>
      </text>
    </comment>
    <comment ref="I7791" authorId="0">
      <text>
        <r>
          <rPr>
            <b/>
            <sz val="9"/>
            <color indexed="81"/>
            <rFont val="Tahoma"/>
            <family val="2"/>
          </rPr>
          <t>LPA:</t>
        </r>
        <r>
          <rPr>
            <sz val="9"/>
            <color indexed="81"/>
            <rFont val="Tahoma"/>
            <family val="2"/>
          </rPr>
          <t xml:space="preserve">
проверити збир!
</t>
        </r>
      </text>
    </comment>
    <comment ref="I7792" authorId="0">
      <text>
        <r>
          <rPr>
            <b/>
            <sz val="9"/>
            <color indexed="81"/>
            <rFont val="Tahoma"/>
            <family val="2"/>
          </rPr>
          <t>LPA:</t>
        </r>
        <r>
          <rPr>
            <sz val="9"/>
            <color indexed="81"/>
            <rFont val="Tahoma"/>
            <family val="2"/>
          </rPr>
          <t xml:space="preserve">
проверити збир!
</t>
        </r>
      </text>
    </comment>
    <comment ref="I7793" authorId="0">
      <text>
        <r>
          <rPr>
            <b/>
            <sz val="9"/>
            <color indexed="81"/>
            <rFont val="Tahoma"/>
            <family val="2"/>
          </rPr>
          <t>LPA:</t>
        </r>
        <r>
          <rPr>
            <sz val="9"/>
            <color indexed="81"/>
            <rFont val="Tahoma"/>
            <family val="2"/>
          </rPr>
          <t xml:space="preserve">
проверити збир!
</t>
        </r>
      </text>
    </comment>
    <comment ref="I7794" authorId="0">
      <text>
        <r>
          <rPr>
            <b/>
            <sz val="9"/>
            <color indexed="81"/>
            <rFont val="Tahoma"/>
            <family val="2"/>
          </rPr>
          <t>LPA:</t>
        </r>
        <r>
          <rPr>
            <sz val="9"/>
            <color indexed="81"/>
            <rFont val="Tahoma"/>
            <family val="2"/>
          </rPr>
          <t xml:space="preserve">
проверити збир!
</t>
        </r>
      </text>
    </comment>
    <comment ref="I7795" authorId="0">
      <text>
        <r>
          <rPr>
            <b/>
            <sz val="9"/>
            <color indexed="81"/>
            <rFont val="Tahoma"/>
            <family val="2"/>
          </rPr>
          <t>LPA:</t>
        </r>
        <r>
          <rPr>
            <sz val="9"/>
            <color indexed="81"/>
            <rFont val="Tahoma"/>
            <family val="2"/>
          </rPr>
          <t xml:space="preserve">
проверити збир!
</t>
        </r>
      </text>
    </comment>
    <comment ref="I7796" authorId="0">
      <text>
        <r>
          <rPr>
            <b/>
            <sz val="9"/>
            <color indexed="81"/>
            <rFont val="Tahoma"/>
            <family val="2"/>
          </rPr>
          <t>LPA:</t>
        </r>
        <r>
          <rPr>
            <sz val="9"/>
            <color indexed="81"/>
            <rFont val="Tahoma"/>
            <family val="2"/>
          </rPr>
          <t xml:space="preserve">
проверити збир!
</t>
        </r>
      </text>
    </comment>
    <comment ref="I7797" authorId="0">
      <text>
        <r>
          <rPr>
            <b/>
            <sz val="9"/>
            <color indexed="81"/>
            <rFont val="Tahoma"/>
            <family val="2"/>
          </rPr>
          <t>LPA:</t>
        </r>
        <r>
          <rPr>
            <sz val="9"/>
            <color indexed="81"/>
            <rFont val="Tahoma"/>
            <family val="2"/>
          </rPr>
          <t xml:space="preserve">
проверити збир!
</t>
        </r>
      </text>
    </comment>
    <comment ref="I7798" authorId="0">
      <text>
        <r>
          <rPr>
            <b/>
            <sz val="9"/>
            <color indexed="81"/>
            <rFont val="Tahoma"/>
            <family val="2"/>
          </rPr>
          <t>LPA:</t>
        </r>
        <r>
          <rPr>
            <sz val="9"/>
            <color indexed="81"/>
            <rFont val="Tahoma"/>
            <family val="2"/>
          </rPr>
          <t xml:space="preserve">
проверити збир!
</t>
        </r>
      </text>
    </comment>
    <comment ref="I7799" authorId="0">
      <text>
        <r>
          <rPr>
            <b/>
            <sz val="9"/>
            <color indexed="81"/>
            <rFont val="Tahoma"/>
            <family val="2"/>
          </rPr>
          <t>LPA:</t>
        </r>
        <r>
          <rPr>
            <sz val="9"/>
            <color indexed="81"/>
            <rFont val="Tahoma"/>
            <family val="2"/>
          </rPr>
          <t xml:space="preserve">
проверити збир!
</t>
        </r>
      </text>
    </comment>
    <comment ref="I7800" authorId="0">
      <text>
        <r>
          <rPr>
            <b/>
            <sz val="9"/>
            <color indexed="81"/>
            <rFont val="Tahoma"/>
            <family val="2"/>
          </rPr>
          <t>LPA:</t>
        </r>
        <r>
          <rPr>
            <sz val="9"/>
            <color indexed="81"/>
            <rFont val="Tahoma"/>
            <family val="2"/>
          </rPr>
          <t xml:space="preserve">
проверити збир!
</t>
        </r>
      </text>
    </comment>
    <comment ref="I7801" authorId="0">
      <text>
        <r>
          <rPr>
            <b/>
            <sz val="9"/>
            <color indexed="81"/>
            <rFont val="Tahoma"/>
            <family val="2"/>
          </rPr>
          <t>LPA:</t>
        </r>
        <r>
          <rPr>
            <sz val="9"/>
            <color indexed="81"/>
            <rFont val="Tahoma"/>
            <family val="2"/>
          </rPr>
          <t xml:space="preserve">
проверити збир!
</t>
        </r>
      </text>
    </comment>
    <comment ref="H7804" authorId="0">
      <text>
        <r>
          <rPr>
            <b/>
            <sz val="9"/>
            <color indexed="81"/>
            <rFont val="Tahoma"/>
            <family val="2"/>
          </rPr>
          <t>LPA:</t>
        </r>
        <r>
          <rPr>
            <sz val="9"/>
            <color indexed="81"/>
            <rFont val="Tahoma"/>
            <family val="2"/>
          </rPr>
          <t xml:space="preserve">
проверити збир!</t>
        </r>
      </text>
    </comment>
    <comment ref="I7804" authorId="0">
      <text>
        <r>
          <rPr>
            <b/>
            <sz val="9"/>
            <color indexed="81"/>
            <rFont val="Tahoma"/>
            <family val="2"/>
          </rPr>
          <t>LPA:</t>
        </r>
        <r>
          <rPr>
            <sz val="9"/>
            <color indexed="81"/>
            <rFont val="Tahoma"/>
            <family val="2"/>
          </rPr>
          <t xml:space="preserve">
проверити збир!</t>
        </r>
      </text>
    </comment>
    <comment ref="I7805" authorId="0">
      <text>
        <r>
          <rPr>
            <b/>
            <sz val="9"/>
            <color indexed="81"/>
            <rFont val="Tahoma"/>
            <family val="2"/>
          </rPr>
          <t>LPA:</t>
        </r>
        <r>
          <rPr>
            <sz val="9"/>
            <color indexed="81"/>
            <rFont val="Tahoma"/>
            <family val="2"/>
          </rPr>
          <t xml:space="preserve">
проверити збир!
</t>
        </r>
      </text>
    </comment>
    <comment ref="I7806" authorId="0">
      <text>
        <r>
          <rPr>
            <b/>
            <sz val="9"/>
            <color indexed="81"/>
            <rFont val="Tahoma"/>
            <family val="2"/>
          </rPr>
          <t>LPA:</t>
        </r>
        <r>
          <rPr>
            <sz val="9"/>
            <color indexed="81"/>
            <rFont val="Tahoma"/>
            <family val="2"/>
          </rPr>
          <t xml:space="preserve">
проверити збир!
</t>
        </r>
      </text>
    </comment>
    <comment ref="I7807" authorId="0">
      <text>
        <r>
          <rPr>
            <b/>
            <sz val="9"/>
            <color indexed="81"/>
            <rFont val="Tahoma"/>
            <family val="2"/>
          </rPr>
          <t>LPA:</t>
        </r>
        <r>
          <rPr>
            <sz val="9"/>
            <color indexed="81"/>
            <rFont val="Tahoma"/>
            <family val="2"/>
          </rPr>
          <t xml:space="preserve">
проверити збир!
</t>
        </r>
      </text>
    </comment>
    <comment ref="I7808" authorId="0">
      <text>
        <r>
          <rPr>
            <b/>
            <sz val="9"/>
            <color indexed="81"/>
            <rFont val="Tahoma"/>
            <family val="2"/>
          </rPr>
          <t>LPA:</t>
        </r>
        <r>
          <rPr>
            <sz val="9"/>
            <color indexed="81"/>
            <rFont val="Tahoma"/>
            <family val="2"/>
          </rPr>
          <t xml:space="preserve">
проверити збир!
</t>
        </r>
      </text>
    </comment>
    <comment ref="I7809" authorId="0">
      <text>
        <r>
          <rPr>
            <b/>
            <sz val="9"/>
            <color indexed="81"/>
            <rFont val="Tahoma"/>
            <family val="2"/>
          </rPr>
          <t>LPA:</t>
        </r>
        <r>
          <rPr>
            <sz val="9"/>
            <color indexed="81"/>
            <rFont val="Tahoma"/>
            <family val="2"/>
          </rPr>
          <t xml:space="preserve">
проверити збир!
</t>
        </r>
      </text>
    </comment>
    <comment ref="I7810" authorId="0">
      <text>
        <r>
          <rPr>
            <b/>
            <sz val="9"/>
            <color indexed="81"/>
            <rFont val="Tahoma"/>
            <family val="2"/>
          </rPr>
          <t>LPA:</t>
        </r>
        <r>
          <rPr>
            <sz val="9"/>
            <color indexed="81"/>
            <rFont val="Tahoma"/>
            <family val="2"/>
          </rPr>
          <t xml:space="preserve">
проверити збир!
</t>
        </r>
      </text>
    </comment>
    <comment ref="I7811" authorId="0">
      <text>
        <r>
          <rPr>
            <b/>
            <sz val="9"/>
            <color indexed="81"/>
            <rFont val="Tahoma"/>
            <family val="2"/>
          </rPr>
          <t>LPA:</t>
        </r>
        <r>
          <rPr>
            <sz val="9"/>
            <color indexed="81"/>
            <rFont val="Tahoma"/>
            <family val="2"/>
          </rPr>
          <t xml:space="preserve">
проверити збир!
</t>
        </r>
      </text>
    </comment>
    <comment ref="I7812" authorId="0">
      <text>
        <r>
          <rPr>
            <b/>
            <sz val="9"/>
            <color indexed="81"/>
            <rFont val="Tahoma"/>
            <family val="2"/>
          </rPr>
          <t>LPA:</t>
        </r>
        <r>
          <rPr>
            <sz val="9"/>
            <color indexed="81"/>
            <rFont val="Tahoma"/>
            <family val="2"/>
          </rPr>
          <t xml:space="preserve">
проверити збир!
</t>
        </r>
      </text>
    </comment>
    <comment ref="I7813" authorId="0">
      <text>
        <r>
          <rPr>
            <b/>
            <sz val="9"/>
            <color indexed="81"/>
            <rFont val="Tahoma"/>
            <family val="2"/>
          </rPr>
          <t>LPA:</t>
        </r>
        <r>
          <rPr>
            <sz val="9"/>
            <color indexed="81"/>
            <rFont val="Tahoma"/>
            <family val="2"/>
          </rPr>
          <t xml:space="preserve">
проверити збир!
</t>
        </r>
      </text>
    </comment>
    <comment ref="I7814" authorId="0">
      <text>
        <r>
          <rPr>
            <b/>
            <sz val="9"/>
            <color indexed="81"/>
            <rFont val="Tahoma"/>
            <family val="2"/>
          </rPr>
          <t>LPA:</t>
        </r>
        <r>
          <rPr>
            <sz val="9"/>
            <color indexed="81"/>
            <rFont val="Tahoma"/>
            <family val="2"/>
          </rPr>
          <t xml:space="preserve">
проверити збир!
</t>
        </r>
      </text>
    </comment>
    <comment ref="I7815" authorId="0">
      <text>
        <r>
          <rPr>
            <b/>
            <sz val="9"/>
            <color indexed="81"/>
            <rFont val="Tahoma"/>
            <family val="2"/>
          </rPr>
          <t>LPA:</t>
        </r>
        <r>
          <rPr>
            <sz val="9"/>
            <color indexed="81"/>
            <rFont val="Tahoma"/>
            <family val="2"/>
          </rPr>
          <t xml:space="preserve">
проверити збир!
</t>
        </r>
      </text>
    </comment>
    <comment ref="I7816" authorId="0">
      <text>
        <r>
          <rPr>
            <b/>
            <sz val="9"/>
            <color indexed="81"/>
            <rFont val="Tahoma"/>
            <family val="2"/>
          </rPr>
          <t>LPA:</t>
        </r>
        <r>
          <rPr>
            <sz val="9"/>
            <color indexed="81"/>
            <rFont val="Tahoma"/>
            <family val="2"/>
          </rPr>
          <t xml:space="preserve">
проверити збир!
</t>
        </r>
      </text>
    </comment>
    <comment ref="I7817" authorId="0">
      <text>
        <r>
          <rPr>
            <b/>
            <sz val="9"/>
            <color indexed="81"/>
            <rFont val="Tahoma"/>
            <family val="2"/>
          </rPr>
          <t>LPA:</t>
        </r>
        <r>
          <rPr>
            <sz val="9"/>
            <color indexed="81"/>
            <rFont val="Tahoma"/>
            <family val="2"/>
          </rPr>
          <t xml:space="preserve">
проверити збир!
</t>
        </r>
      </text>
    </comment>
    <comment ref="I7818" authorId="0">
      <text>
        <r>
          <rPr>
            <b/>
            <sz val="9"/>
            <color indexed="81"/>
            <rFont val="Tahoma"/>
            <family val="2"/>
          </rPr>
          <t>LPA:</t>
        </r>
        <r>
          <rPr>
            <sz val="9"/>
            <color indexed="81"/>
            <rFont val="Tahoma"/>
            <family val="2"/>
          </rPr>
          <t xml:space="preserve">
проверити збир!
</t>
        </r>
      </text>
    </comment>
    <comment ref="I7819" authorId="0">
      <text>
        <r>
          <rPr>
            <b/>
            <sz val="9"/>
            <color indexed="81"/>
            <rFont val="Tahoma"/>
            <family val="2"/>
          </rPr>
          <t>LPA:</t>
        </r>
        <r>
          <rPr>
            <sz val="9"/>
            <color indexed="81"/>
            <rFont val="Tahoma"/>
            <family val="2"/>
          </rPr>
          <t xml:space="preserve">
проверити збир!
</t>
        </r>
      </text>
    </comment>
    <comment ref="I7888" authorId="0">
      <text>
        <r>
          <rPr>
            <b/>
            <sz val="9"/>
            <color indexed="81"/>
            <rFont val="Tahoma"/>
            <family val="2"/>
          </rPr>
          <t>LPA:</t>
        </r>
        <r>
          <rPr>
            <sz val="9"/>
            <color indexed="81"/>
            <rFont val="Tahoma"/>
            <family val="2"/>
          </rPr>
          <t xml:space="preserve">
проверити збир!
</t>
        </r>
      </text>
    </comment>
    <comment ref="I7889" authorId="0">
      <text>
        <r>
          <rPr>
            <b/>
            <sz val="9"/>
            <color indexed="81"/>
            <rFont val="Tahoma"/>
            <family val="2"/>
          </rPr>
          <t>LPA:</t>
        </r>
        <r>
          <rPr>
            <sz val="9"/>
            <color indexed="81"/>
            <rFont val="Tahoma"/>
            <family val="2"/>
          </rPr>
          <t xml:space="preserve">
проверити збир!
</t>
        </r>
      </text>
    </comment>
    <comment ref="I7890" authorId="0">
      <text>
        <r>
          <rPr>
            <b/>
            <sz val="9"/>
            <color indexed="81"/>
            <rFont val="Tahoma"/>
            <family val="2"/>
          </rPr>
          <t>LPA:</t>
        </r>
        <r>
          <rPr>
            <sz val="9"/>
            <color indexed="81"/>
            <rFont val="Tahoma"/>
            <family val="2"/>
          </rPr>
          <t xml:space="preserve">
проверити збир!
</t>
        </r>
      </text>
    </comment>
    <comment ref="I7891" authorId="0">
      <text>
        <r>
          <rPr>
            <b/>
            <sz val="9"/>
            <color indexed="81"/>
            <rFont val="Tahoma"/>
            <family val="2"/>
          </rPr>
          <t>LPA:</t>
        </r>
        <r>
          <rPr>
            <sz val="9"/>
            <color indexed="81"/>
            <rFont val="Tahoma"/>
            <family val="2"/>
          </rPr>
          <t xml:space="preserve">
проверити збир!
</t>
        </r>
      </text>
    </comment>
    <comment ref="I7892" authorId="0">
      <text>
        <r>
          <rPr>
            <b/>
            <sz val="9"/>
            <color indexed="81"/>
            <rFont val="Tahoma"/>
            <family val="2"/>
          </rPr>
          <t>LPA:</t>
        </r>
        <r>
          <rPr>
            <sz val="9"/>
            <color indexed="81"/>
            <rFont val="Tahoma"/>
            <family val="2"/>
          </rPr>
          <t xml:space="preserve">
проверити збир!
</t>
        </r>
      </text>
    </comment>
    <comment ref="I7893" authorId="0">
      <text>
        <r>
          <rPr>
            <b/>
            <sz val="9"/>
            <color indexed="81"/>
            <rFont val="Tahoma"/>
            <family val="2"/>
          </rPr>
          <t>LPA:</t>
        </r>
        <r>
          <rPr>
            <sz val="9"/>
            <color indexed="81"/>
            <rFont val="Tahoma"/>
            <family val="2"/>
          </rPr>
          <t xml:space="preserve">
проверити збир!
</t>
        </r>
      </text>
    </comment>
    <comment ref="I7894" authorId="0">
      <text>
        <r>
          <rPr>
            <b/>
            <sz val="9"/>
            <color indexed="81"/>
            <rFont val="Tahoma"/>
            <family val="2"/>
          </rPr>
          <t>LPA:</t>
        </r>
        <r>
          <rPr>
            <sz val="9"/>
            <color indexed="81"/>
            <rFont val="Tahoma"/>
            <family val="2"/>
          </rPr>
          <t xml:space="preserve">
проверити збир!
</t>
        </r>
      </text>
    </comment>
    <comment ref="I7895" authorId="0">
      <text>
        <r>
          <rPr>
            <b/>
            <sz val="9"/>
            <color indexed="81"/>
            <rFont val="Tahoma"/>
            <family val="2"/>
          </rPr>
          <t>LPA:</t>
        </r>
        <r>
          <rPr>
            <sz val="9"/>
            <color indexed="81"/>
            <rFont val="Tahoma"/>
            <family val="2"/>
          </rPr>
          <t xml:space="preserve">
проверити збир!
</t>
        </r>
      </text>
    </comment>
    <comment ref="I7896" authorId="0">
      <text>
        <r>
          <rPr>
            <b/>
            <sz val="9"/>
            <color indexed="81"/>
            <rFont val="Tahoma"/>
            <family val="2"/>
          </rPr>
          <t>LPA:</t>
        </r>
        <r>
          <rPr>
            <sz val="9"/>
            <color indexed="81"/>
            <rFont val="Tahoma"/>
            <family val="2"/>
          </rPr>
          <t xml:space="preserve">
проверити збир!
</t>
        </r>
      </text>
    </comment>
    <comment ref="I7897" authorId="0">
      <text>
        <r>
          <rPr>
            <b/>
            <sz val="9"/>
            <color indexed="81"/>
            <rFont val="Tahoma"/>
            <family val="2"/>
          </rPr>
          <t>LPA:</t>
        </r>
        <r>
          <rPr>
            <sz val="9"/>
            <color indexed="81"/>
            <rFont val="Tahoma"/>
            <family val="2"/>
          </rPr>
          <t xml:space="preserve">
проверити збир!
</t>
        </r>
      </text>
    </comment>
    <comment ref="I7898" authorId="0">
      <text>
        <r>
          <rPr>
            <b/>
            <sz val="9"/>
            <color indexed="81"/>
            <rFont val="Tahoma"/>
            <family val="2"/>
          </rPr>
          <t>LPA:</t>
        </r>
        <r>
          <rPr>
            <sz val="9"/>
            <color indexed="81"/>
            <rFont val="Tahoma"/>
            <family val="2"/>
          </rPr>
          <t xml:space="preserve">
проверити збир!
</t>
        </r>
      </text>
    </comment>
    <comment ref="I7899" authorId="0">
      <text>
        <r>
          <rPr>
            <b/>
            <sz val="9"/>
            <color indexed="81"/>
            <rFont val="Tahoma"/>
            <family val="2"/>
          </rPr>
          <t>LPA:</t>
        </r>
        <r>
          <rPr>
            <sz val="9"/>
            <color indexed="81"/>
            <rFont val="Tahoma"/>
            <family val="2"/>
          </rPr>
          <t xml:space="preserve">
проверити збир!
</t>
        </r>
      </text>
    </comment>
    <comment ref="I7900" authorId="0">
      <text>
        <r>
          <rPr>
            <b/>
            <sz val="9"/>
            <color indexed="81"/>
            <rFont val="Tahoma"/>
            <family val="2"/>
          </rPr>
          <t>LPA:</t>
        </r>
        <r>
          <rPr>
            <sz val="9"/>
            <color indexed="81"/>
            <rFont val="Tahoma"/>
            <family val="2"/>
          </rPr>
          <t xml:space="preserve">
проверити збир!
</t>
        </r>
      </text>
    </comment>
    <comment ref="H7903" authorId="0">
      <text>
        <r>
          <rPr>
            <b/>
            <sz val="9"/>
            <color indexed="81"/>
            <rFont val="Tahoma"/>
            <family val="2"/>
          </rPr>
          <t>LPA:</t>
        </r>
        <r>
          <rPr>
            <sz val="9"/>
            <color indexed="81"/>
            <rFont val="Tahoma"/>
            <family val="2"/>
          </rPr>
          <t xml:space="preserve">
проверити збир!</t>
        </r>
      </text>
    </comment>
    <comment ref="I7903" authorId="0">
      <text>
        <r>
          <rPr>
            <b/>
            <sz val="9"/>
            <color indexed="81"/>
            <rFont val="Tahoma"/>
            <family val="2"/>
          </rPr>
          <t>LPA:</t>
        </r>
        <r>
          <rPr>
            <sz val="9"/>
            <color indexed="81"/>
            <rFont val="Tahoma"/>
            <family val="2"/>
          </rPr>
          <t xml:space="preserve">
проверити збир!</t>
        </r>
      </text>
    </comment>
    <comment ref="I7904" authorId="0">
      <text>
        <r>
          <rPr>
            <b/>
            <sz val="9"/>
            <color indexed="81"/>
            <rFont val="Tahoma"/>
            <family val="2"/>
          </rPr>
          <t>LPA:</t>
        </r>
        <r>
          <rPr>
            <sz val="9"/>
            <color indexed="81"/>
            <rFont val="Tahoma"/>
            <family val="2"/>
          </rPr>
          <t xml:space="preserve">
проверити збир!
</t>
        </r>
      </text>
    </comment>
    <comment ref="I7905" authorId="0">
      <text>
        <r>
          <rPr>
            <b/>
            <sz val="9"/>
            <color indexed="81"/>
            <rFont val="Tahoma"/>
            <family val="2"/>
          </rPr>
          <t>LPA:</t>
        </r>
        <r>
          <rPr>
            <sz val="9"/>
            <color indexed="81"/>
            <rFont val="Tahoma"/>
            <family val="2"/>
          </rPr>
          <t xml:space="preserve">
проверити збир!
</t>
        </r>
      </text>
    </comment>
    <comment ref="I7906" authorId="0">
      <text>
        <r>
          <rPr>
            <b/>
            <sz val="9"/>
            <color indexed="81"/>
            <rFont val="Tahoma"/>
            <family val="2"/>
          </rPr>
          <t>LPA:</t>
        </r>
        <r>
          <rPr>
            <sz val="9"/>
            <color indexed="81"/>
            <rFont val="Tahoma"/>
            <family val="2"/>
          </rPr>
          <t xml:space="preserve">
проверити збир!
</t>
        </r>
      </text>
    </comment>
    <comment ref="I7907" authorId="0">
      <text>
        <r>
          <rPr>
            <b/>
            <sz val="9"/>
            <color indexed="81"/>
            <rFont val="Tahoma"/>
            <family val="2"/>
          </rPr>
          <t>LPA:</t>
        </r>
        <r>
          <rPr>
            <sz val="9"/>
            <color indexed="81"/>
            <rFont val="Tahoma"/>
            <family val="2"/>
          </rPr>
          <t xml:space="preserve">
проверити збир!
</t>
        </r>
      </text>
    </comment>
    <comment ref="I7908" authorId="0">
      <text>
        <r>
          <rPr>
            <b/>
            <sz val="9"/>
            <color indexed="81"/>
            <rFont val="Tahoma"/>
            <family val="2"/>
          </rPr>
          <t>LPA:</t>
        </r>
        <r>
          <rPr>
            <sz val="9"/>
            <color indexed="81"/>
            <rFont val="Tahoma"/>
            <family val="2"/>
          </rPr>
          <t xml:space="preserve">
проверити збир!
</t>
        </r>
      </text>
    </comment>
    <comment ref="I7909" authorId="0">
      <text>
        <r>
          <rPr>
            <b/>
            <sz val="9"/>
            <color indexed="81"/>
            <rFont val="Tahoma"/>
            <family val="2"/>
          </rPr>
          <t>LPA:</t>
        </r>
        <r>
          <rPr>
            <sz val="9"/>
            <color indexed="81"/>
            <rFont val="Tahoma"/>
            <family val="2"/>
          </rPr>
          <t xml:space="preserve">
проверити збир!
</t>
        </r>
      </text>
    </comment>
    <comment ref="I7910" authorId="0">
      <text>
        <r>
          <rPr>
            <b/>
            <sz val="9"/>
            <color indexed="81"/>
            <rFont val="Tahoma"/>
            <family val="2"/>
          </rPr>
          <t>LPA:</t>
        </r>
        <r>
          <rPr>
            <sz val="9"/>
            <color indexed="81"/>
            <rFont val="Tahoma"/>
            <family val="2"/>
          </rPr>
          <t xml:space="preserve">
проверити збир!
</t>
        </r>
      </text>
    </comment>
    <comment ref="I7911" authorId="0">
      <text>
        <r>
          <rPr>
            <b/>
            <sz val="9"/>
            <color indexed="81"/>
            <rFont val="Tahoma"/>
            <family val="2"/>
          </rPr>
          <t>LPA:</t>
        </r>
        <r>
          <rPr>
            <sz val="9"/>
            <color indexed="81"/>
            <rFont val="Tahoma"/>
            <family val="2"/>
          </rPr>
          <t xml:space="preserve">
проверити збир!
</t>
        </r>
      </text>
    </comment>
    <comment ref="I7912" authorId="0">
      <text>
        <r>
          <rPr>
            <b/>
            <sz val="9"/>
            <color indexed="81"/>
            <rFont val="Tahoma"/>
            <family val="2"/>
          </rPr>
          <t>LPA:</t>
        </r>
        <r>
          <rPr>
            <sz val="9"/>
            <color indexed="81"/>
            <rFont val="Tahoma"/>
            <family val="2"/>
          </rPr>
          <t xml:space="preserve">
проверити збир!
</t>
        </r>
      </text>
    </comment>
    <comment ref="I7913" authorId="0">
      <text>
        <r>
          <rPr>
            <b/>
            <sz val="9"/>
            <color indexed="81"/>
            <rFont val="Tahoma"/>
            <family val="2"/>
          </rPr>
          <t>LPA:</t>
        </r>
        <r>
          <rPr>
            <sz val="9"/>
            <color indexed="81"/>
            <rFont val="Tahoma"/>
            <family val="2"/>
          </rPr>
          <t xml:space="preserve">
проверити збир!
</t>
        </r>
      </text>
    </comment>
    <comment ref="I7914" authorId="0">
      <text>
        <r>
          <rPr>
            <b/>
            <sz val="9"/>
            <color indexed="81"/>
            <rFont val="Tahoma"/>
            <family val="2"/>
          </rPr>
          <t>LPA:</t>
        </r>
        <r>
          <rPr>
            <sz val="9"/>
            <color indexed="81"/>
            <rFont val="Tahoma"/>
            <family val="2"/>
          </rPr>
          <t xml:space="preserve">
проверити збир!
</t>
        </r>
      </text>
    </comment>
    <comment ref="I7915" authorId="0">
      <text>
        <r>
          <rPr>
            <b/>
            <sz val="9"/>
            <color indexed="81"/>
            <rFont val="Tahoma"/>
            <family val="2"/>
          </rPr>
          <t>LPA:</t>
        </r>
        <r>
          <rPr>
            <sz val="9"/>
            <color indexed="81"/>
            <rFont val="Tahoma"/>
            <family val="2"/>
          </rPr>
          <t xml:space="preserve">
проверити збир!
</t>
        </r>
      </text>
    </comment>
    <comment ref="I7916" authorId="0">
      <text>
        <r>
          <rPr>
            <b/>
            <sz val="9"/>
            <color indexed="81"/>
            <rFont val="Tahoma"/>
            <family val="2"/>
          </rPr>
          <t>LPA:</t>
        </r>
        <r>
          <rPr>
            <sz val="9"/>
            <color indexed="81"/>
            <rFont val="Tahoma"/>
            <family val="2"/>
          </rPr>
          <t xml:space="preserve">
проверити збир!
</t>
        </r>
      </text>
    </comment>
    <comment ref="I7917" authorId="0">
      <text>
        <r>
          <rPr>
            <b/>
            <sz val="9"/>
            <color indexed="81"/>
            <rFont val="Tahoma"/>
            <family val="2"/>
          </rPr>
          <t>LPA:</t>
        </r>
        <r>
          <rPr>
            <sz val="9"/>
            <color indexed="81"/>
            <rFont val="Tahoma"/>
            <family val="2"/>
          </rPr>
          <t xml:space="preserve">
проверити збир!
</t>
        </r>
      </text>
    </comment>
    <comment ref="I7918" authorId="0">
      <text>
        <r>
          <rPr>
            <b/>
            <sz val="9"/>
            <color indexed="81"/>
            <rFont val="Tahoma"/>
            <family val="2"/>
          </rPr>
          <t>LPA:</t>
        </r>
        <r>
          <rPr>
            <sz val="9"/>
            <color indexed="81"/>
            <rFont val="Tahoma"/>
            <family val="2"/>
          </rPr>
          <t xml:space="preserve">
проверити збир!
</t>
        </r>
      </text>
    </comment>
    <comment ref="H7922" authorId="0">
      <text>
        <r>
          <rPr>
            <b/>
            <sz val="9"/>
            <color indexed="81"/>
            <rFont val="Tahoma"/>
            <family val="2"/>
          </rPr>
          <t>LPA:</t>
        </r>
        <r>
          <rPr>
            <sz val="9"/>
            <color indexed="81"/>
            <rFont val="Tahoma"/>
            <family val="2"/>
          </rPr>
          <t xml:space="preserve">
проверити збир!</t>
        </r>
      </text>
    </comment>
    <comment ref="I7922" authorId="0">
      <text>
        <r>
          <rPr>
            <b/>
            <sz val="9"/>
            <color indexed="81"/>
            <rFont val="Tahoma"/>
            <family val="2"/>
          </rPr>
          <t>LPA:</t>
        </r>
        <r>
          <rPr>
            <sz val="9"/>
            <color indexed="81"/>
            <rFont val="Tahoma"/>
            <family val="2"/>
          </rPr>
          <t xml:space="preserve">
проверити збир!
</t>
        </r>
      </text>
    </comment>
    <comment ref="I7923" authorId="0">
      <text>
        <r>
          <rPr>
            <b/>
            <sz val="9"/>
            <color indexed="81"/>
            <rFont val="Tahoma"/>
            <family val="2"/>
          </rPr>
          <t>LPA:</t>
        </r>
        <r>
          <rPr>
            <sz val="9"/>
            <color indexed="81"/>
            <rFont val="Tahoma"/>
            <family val="2"/>
          </rPr>
          <t xml:space="preserve">
проверити збир!
</t>
        </r>
      </text>
    </comment>
    <comment ref="I7924" authorId="0">
      <text>
        <r>
          <rPr>
            <b/>
            <sz val="9"/>
            <color indexed="81"/>
            <rFont val="Tahoma"/>
            <family val="2"/>
          </rPr>
          <t>LPA:</t>
        </r>
        <r>
          <rPr>
            <sz val="9"/>
            <color indexed="81"/>
            <rFont val="Tahoma"/>
            <family val="2"/>
          </rPr>
          <t xml:space="preserve">
проверити збир!
</t>
        </r>
      </text>
    </comment>
    <comment ref="I7925" authorId="0">
      <text>
        <r>
          <rPr>
            <b/>
            <sz val="9"/>
            <color indexed="81"/>
            <rFont val="Tahoma"/>
            <family val="2"/>
          </rPr>
          <t>LPA:</t>
        </r>
        <r>
          <rPr>
            <sz val="9"/>
            <color indexed="81"/>
            <rFont val="Tahoma"/>
            <family val="2"/>
          </rPr>
          <t xml:space="preserve">
проверити збир!
</t>
        </r>
      </text>
    </comment>
    <comment ref="I7926" authorId="0">
      <text>
        <r>
          <rPr>
            <b/>
            <sz val="9"/>
            <color indexed="81"/>
            <rFont val="Tahoma"/>
            <family val="2"/>
          </rPr>
          <t>LPA:</t>
        </r>
        <r>
          <rPr>
            <sz val="9"/>
            <color indexed="81"/>
            <rFont val="Tahoma"/>
            <family val="2"/>
          </rPr>
          <t xml:space="preserve">
проверити збир!
</t>
        </r>
      </text>
    </comment>
    <comment ref="I7927" authorId="0">
      <text>
        <r>
          <rPr>
            <b/>
            <sz val="9"/>
            <color indexed="81"/>
            <rFont val="Tahoma"/>
            <family val="2"/>
          </rPr>
          <t>LPA:</t>
        </r>
        <r>
          <rPr>
            <sz val="9"/>
            <color indexed="81"/>
            <rFont val="Tahoma"/>
            <family val="2"/>
          </rPr>
          <t xml:space="preserve">
проверити збир!
</t>
        </r>
      </text>
    </comment>
    <comment ref="I7928" authorId="0">
      <text>
        <r>
          <rPr>
            <b/>
            <sz val="9"/>
            <color indexed="81"/>
            <rFont val="Tahoma"/>
            <family val="2"/>
          </rPr>
          <t>LPA:</t>
        </r>
        <r>
          <rPr>
            <sz val="9"/>
            <color indexed="81"/>
            <rFont val="Tahoma"/>
            <family val="2"/>
          </rPr>
          <t xml:space="preserve">
проверити збир!
</t>
        </r>
      </text>
    </comment>
    <comment ref="I7929" authorId="0">
      <text>
        <r>
          <rPr>
            <b/>
            <sz val="9"/>
            <color indexed="81"/>
            <rFont val="Tahoma"/>
            <family val="2"/>
          </rPr>
          <t>LPA:</t>
        </r>
        <r>
          <rPr>
            <sz val="9"/>
            <color indexed="81"/>
            <rFont val="Tahoma"/>
            <family val="2"/>
          </rPr>
          <t xml:space="preserve">
проверити збир!
</t>
        </r>
      </text>
    </comment>
    <comment ref="I7930" authorId="0">
      <text>
        <r>
          <rPr>
            <b/>
            <sz val="9"/>
            <color indexed="81"/>
            <rFont val="Tahoma"/>
            <family val="2"/>
          </rPr>
          <t>LPA:</t>
        </r>
        <r>
          <rPr>
            <sz val="9"/>
            <color indexed="81"/>
            <rFont val="Tahoma"/>
            <family val="2"/>
          </rPr>
          <t xml:space="preserve">
проверити збир!
</t>
        </r>
      </text>
    </comment>
    <comment ref="I7931" authorId="0">
      <text>
        <r>
          <rPr>
            <b/>
            <sz val="9"/>
            <color indexed="81"/>
            <rFont val="Tahoma"/>
            <family val="2"/>
          </rPr>
          <t>LPA:</t>
        </r>
        <r>
          <rPr>
            <sz val="9"/>
            <color indexed="81"/>
            <rFont val="Tahoma"/>
            <family val="2"/>
          </rPr>
          <t xml:space="preserve">
проверити збир!
</t>
        </r>
      </text>
    </comment>
    <comment ref="I7932" authorId="0">
      <text>
        <r>
          <rPr>
            <b/>
            <sz val="9"/>
            <color indexed="81"/>
            <rFont val="Tahoma"/>
            <family val="2"/>
          </rPr>
          <t>LPA:</t>
        </r>
        <r>
          <rPr>
            <sz val="9"/>
            <color indexed="81"/>
            <rFont val="Tahoma"/>
            <family val="2"/>
          </rPr>
          <t xml:space="preserve">
проверити збир!
</t>
        </r>
      </text>
    </comment>
    <comment ref="I7933" authorId="0">
      <text>
        <r>
          <rPr>
            <b/>
            <sz val="9"/>
            <color indexed="81"/>
            <rFont val="Tahoma"/>
            <family val="2"/>
          </rPr>
          <t>LPA:</t>
        </r>
        <r>
          <rPr>
            <sz val="9"/>
            <color indexed="81"/>
            <rFont val="Tahoma"/>
            <family val="2"/>
          </rPr>
          <t xml:space="preserve">
проверити збир!
</t>
        </r>
      </text>
    </comment>
    <comment ref="I7934" authorId="0">
      <text>
        <r>
          <rPr>
            <b/>
            <sz val="9"/>
            <color indexed="81"/>
            <rFont val="Tahoma"/>
            <family val="2"/>
          </rPr>
          <t>LPA:</t>
        </r>
        <r>
          <rPr>
            <sz val="9"/>
            <color indexed="81"/>
            <rFont val="Tahoma"/>
            <family val="2"/>
          </rPr>
          <t xml:space="preserve">
проверити збир!
</t>
        </r>
      </text>
    </comment>
    <comment ref="I7935" authorId="0">
      <text>
        <r>
          <rPr>
            <b/>
            <sz val="9"/>
            <color indexed="81"/>
            <rFont val="Tahoma"/>
            <family val="2"/>
          </rPr>
          <t>LPA:</t>
        </r>
        <r>
          <rPr>
            <sz val="9"/>
            <color indexed="81"/>
            <rFont val="Tahoma"/>
            <family val="2"/>
          </rPr>
          <t xml:space="preserve">
проверити збир!
</t>
        </r>
      </text>
    </comment>
    <comment ref="I7936" authorId="0">
      <text>
        <r>
          <rPr>
            <b/>
            <sz val="9"/>
            <color indexed="81"/>
            <rFont val="Tahoma"/>
            <family val="2"/>
          </rPr>
          <t>LPA:</t>
        </r>
        <r>
          <rPr>
            <sz val="9"/>
            <color indexed="81"/>
            <rFont val="Tahoma"/>
            <family val="2"/>
          </rPr>
          <t xml:space="preserve">
проверити збир!
</t>
        </r>
      </text>
    </comment>
    <comment ref="I7937" authorId="0">
      <text>
        <r>
          <rPr>
            <b/>
            <sz val="9"/>
            <color indexed="81"/>
            <rFont val="Tahoma"/>
            <family val="2"/>
          </rPr>
          <t>LPA:</t>
        </r>
        <r>
          <rPr>
            <sz val="9"/>
            <color indexed="81"/>
            <rFont val="Tahoma"/>
            <family val="2"/>
          </rPr>
          <t xml:space="preserve">
проверити збир!
</t>
        </r>
      </text>
    </comment>
    <comment ref="I8206" authorId="0">
      <text>
        <r>
          <rPr>
            <b/>
            <sz val="9"/>
            <color indexed="81"/>
            <rFont val="Tahoma"/>
            <family val="2"/>
          </rPr>
          <t>LPA:</t>
        </r>
        <r>
          <rPr>
            <sz val="9"/>
            <color indexed="81"/>
            <rFont val="Tahoma"/>
            <family val="2"/>
          </rPr>
          <t xml:space="preserve">
проверити збир!
</t>
        </r>
      </text>
    </comment>
    <comment ref="I8207" authorId="0">
      <text>
        <r>
          <rPr>
            <b/>
            <sz val="9"/>
            <color indexed="81"/>
            <rFont val="Tahoma"/>
            <family val="2"/>
          </rPr>
          <t>LPA:</t>
        </r>
        <r>
          <rPr>
            <sz val="9"/>
            <color indexed="81"/>
            <rFont val="Tahoma"/>
            <family val="2"/>
          </rPr>
          <t xml:space="preserve">
проверити збир!
</t>
        </r>
      </text>
    </comment>
    <comment ref="I8208" authorId="0">
      <text>
        <r>
          <rPr>
            <b/>
            <sz val="9"/>
            <color indexed="81"/>
            <rFont val="Tahoma"/>
            <family val="2"/>
          </rPr>
          <t>LPA:</t>
        </r>
        <r>
          <rPr>
            <sz val="9"/>
            <color indexed="81"/>
            <rFont val="Tahoma"/>
            <family val="2"/>
          </rPr>
          <t xml:space="preserve">
проверити збир!
</t>
        </r>
      </text>
    </comment>
    <comment ref="I8209" authorId="0">
      <text>
        <r>
          <rPr>
            <b/>
            <sz val="9"/>
            <color indexed="81"/>
            <rFont val="Tahoma"/>
            <family val="2"/>
          </rPr>
          <t>LPA:</t>
        </r>
        <r>
          <rPr>
            <sz val="9"/>
            <color indexed="81"/>
            <rFont val="Tahoma"/>
            <family val="2"/>
          </rPr>
          <t xml:space="preserve">
проверити збир!
</t>
        </r>
      </text>
    </comment>
    <comment ref="I8210" authorId="0">
      <text>
        <r>
          <rPr>
            <b/>
            <sz val="9"/>
            <color indexed="81"/>
            <rFont val="Tahoma"/>
            <family val="2"/>
          </rPr>
          <t>LPA:</t>
        </r>
        <r>
          <rPr>
            <sz val="9"/>
            <color indexed="81"/>
            <rFont val="Tahoma"/>
            <family val="2"/>
          </rPr>
          <t xml:space="preserve">
проверити збир!
</t>
        </r>
      </text>
    </comment>
    <comment ref="I8211" authorId="0">
      <text>
        <r>
          <rPr>
            <b/>
            <sz val="9"/>
            <color indexed="81"/>
            <rFont val="Tahoma"/>
            <family val="2"/>
          </rPr>
          <t>LPA:</t>
        </r>
        <r>
          <rPr>
            <sz val="9"/>
            <color indexed="81"/>
            <rFont val="Tahoma"/>
            <family val="2"/>
          </rPr>
          <t xml:space="preserve">
проверити збир!
</t>
        </r>
      </text>
    </comment>
    <comment ref="I8212" authorId="0">
      <text>
        <r>
          <rPr>
            <b/>
            <sz val="9"/>
            <color indexed="81"/>
            <rFont val="Tahoma"/>
            <family val="2"/>
          </rPr>
          <t>LPA:</t>
        </r>
        <r>
          <rPr>
            <sz val="9"/>
            <color indexed="81"/>
            <rFont val="Tahoma"/>
            <family val="2"/>
          </rPr>
          <t xml:space="preserve">
проверити збир!
</t>
        </r>
      </text>
    </comment>
    <comment ref="I8213" authorId="0">
      <text>
        <r>
          <rPr>
            <b/>
            <sz val="9"/>
            <color indexed="81"/>
            <rFont val="Tahoma"/>
            <family val="2"/>
          </rPr>
          <t>LPA:</t>
        </r>
        <r>
          <rPr>
            <sz val="9"/>
            <color indexed="81"/>
            <rFont val="Tahoma"/>
            <family val="2"/>
          </rPr>
          <t xml:space="preserve">
проверити збир!
</t>
        </r>
      </text>
    </comment>
    <comment ref="I8214" authorId="0">
      <text>
        <r>
          <rPr>
            <b/>
            <sz val="9"/>
            <color indexed="81"/>
            <rFont val="Tahoma"/>
            <family val="2"/>
          </rPr>
          <t>LPA:</t>
        </r>
        <r>
          <rPr>
            <sz val="9"/>
            <color indexed="81"/>
            <rFont val="Tahoma"/>
            <family val="2"/>
          </rPr>
          <t xml:space="preserve">
проверити збир!
</t>
        </r>
      </text>
    </comment>
    <comment ref="I8215" authorId="0">
      <text>
        <r>
          <rPr>
            <b/>
            <sz val="9"/>
            <color indexed="81"/>
            <rFont val="Tahoma"/>
            <family val="2"/>
          </rPr>
          <t>LPA:</t>
        </r>
        <r>
          <rPr>
            <sz val="9"/>
            <color indexed="81"/>
            <rFont val="Tahoma"/>
            <family val="2"/>
          </rPr>
          <t xml:space="preserve">
проверити збир!
</t>
        </r>
      </text>
    </comment>
    <comment ref="I8216" authorId="0">
      <text>
        <r>
          <rPr>
            <b/>
            <sz val="9"/>
            <color indexed="81"/>
            <rFont val="Tahoma"/>
            <family val="2"/>
          </rPr>
          <t>LPA:</t>
        </r>
        <r>
          <rPr>
            <sz val="9"/>
            <color indexed="81"/>
            <rFont val="Tahoma"/>
            <family val="2"/>
          </rPr>
          <t xml:space="preserve">
проверити збир!
</t>
        </r>
      </text>
    </comment>
    <comment ref="I8217" authorId="0">
      <text>
        <r>
          <rPr>
            <b/>
            <sz val="9"/>
            <color indexed="81"/>
            <rFont val="Tahoma"/>
            <family val="2"/>
          </rPr>
          <t>LPA:</t>
        </r>
        <r>
          <rPr>
            <sz val="9"/>
            <color indexed="81"/>
            <rFont val="Tahoma"/>
            <family val="2"/>
          </rPr>
          <t xml:space="preserve">
проверити збир!
</t>
        </r>
      </text>
    </comment>
    <comment ref="I8218" authorId="0">
      <text>
        <r>
          <rPr>
            <b/>
            <sz val="9"/>
            <color indexed="81"/>
            <rFont val="Tahoma"/>
            <family val="2"/>
          </rPr>
          <t>LPA:</t>
        </r>
        <r>
          <rPr>
            <sz val="9"/>
            <color indexed="81"/>
            <rFont val="Tahoma"/>
            <family val="2"/>
          </rPr>
          <t xml:space="preserve">
проверити збир!
</t>
        </r>
      </text>
    </comment>
    <comment ref="H8221" authorId="0">
      <text>
        <r>
          <rPr>
            <b/>
            <sz val="9"/>
            <color indexed="81"/>
            <rFont val="Tahoma"/>
            <family val="2"/>
          </rPr>
          <t>LPA:</t>
        </r>
        <r>
          <rPr>
            <sz val="9"/>
            <color indexed="81"/>
            <rFont val="Tahoma"/>
            <family val="2"/>
          </rPr>
          <t xml:space="preserve">
проверити збир!</t>
        </r>
      </text>
    </comment>
    <comment ref="I8221" authorId="0">
      <text>
        <r>
          <rPr>
            <b/>
            <sz val="9"/>
            <color indexed="81"/>
            <rFont val="Tahoma"/>
            <family val="2"/>
          </rPr>
          <t>LPA:</t>
        </r>
        <r>
          <rPr>
            <sz val="9"/>
            <color indexed="81"/>
            <rFont val="Tahoma"/>
            <family val="2"/>
          </rPr>
          <t xml:space="preserve">
проверити збир!</t>
        </r>
      </text>
    </comment>
    <comment ref="I8222" authorId="0">
      <text>
        <r>
          <rPr>
            <b/>
            <sz val="9"/>
            <color indexed="81"/>
            <rFont val="Tahoma"/>
            <family val="2"/>
          </rPr>
          <t>LPA:</t>
        </r>
        <r>
          <rPr>
            <sz val="9"/>
            <color indexed="81"/>
            <rFont val="Tahoma"/>
            <family val="2"/>
          </rPr>
          <t xml:space="preserve">
проверити збир!
</t>
        </r>
      </text>
    </comment>
    <comment ref="I8223" authorId="0">
      <text>
        <r>
          <rPr>
            <b/>
            <sz val="9"/>
            <color indexed="81"/>
            <rFont val="Tahoma"/>
            <family val="2"/>
          </rPr>
          <t>LPA:</t>
        </r>
        <r>
          <rPr>
            <sz val="9"/>
            <color indexed="81"/>
            <rFont val="Tahoma"/>
            <family val="2"/>
          </rPr>
          <t xml:space="preserve">
проверити збир!
</t>
        </r>
      </text>
    </comment>
    <comment ref="I8224" authorId="0">
      <text>
        <r>
          <rPr>
            <b/>
            <sz val="9"/>
            <color indexed="81"/>
            <rFont val="Tahoma"/>
            <family val="2"/>
          </rPr>
          <t>LPA:</t>
        </r>
        <r>
          <rPr>
            <sz val="9"/>
            <color indexed="81"/>
            <rFont val="Tahoma"/>
            <family val="2"/>
          </rPr>
          <t xml:space="preserve">
проверити збир!
</t>
        </r>
      </text>
    </comment>
    <comment ref="I8225" authorId="0">
      <text>
        <r>
          <rPr>
            <b/>
            <sz val="9"/>
            <color indexed="81"/>
            <rFont val="Tahoma"/>
            <family val="2"/>
          </rPr>
          <t>LPA:</t>
        </r>
        <r>
          <rPr>
            <sz val="9"/>
            <color indexed="81"/>
            <rFont val="Tahoma"/>
            <family val="2"/>
          </rPr>
          <t xml:space="preserve">
проверити збир!
</t>
        </r>
      </text>
    </comment>
    <comment ref="I8226" authorId="0">
      <text>
        <r>
          <rPr>
            <b/>
            <sz val="9"/>
            <color indexed="81"/>
            <rFont val="Tahoma"/>
            <family val="2"/>
          </rPr>
          <t>LPA:</t>
        </r>
        <r>
          <rPr>
            <sz val="9"/>
            <color indexed="81"/>
            <rFont val="Tahoma"/>
            <family val="2"/>
          </rPr>
          <t xml:space="preserve">
проверити збир!
</t>
        </r>
      </text>
    </comment>
    <comment ref="I8227" authorId="0">
      <text>
        <r>
          <rPr>
            <b/>
            <sz val="9"/>
            <color indexed="81"/>
            <rFont val="Tahoma"/>
            <family val="2"/>
          </rPr>
          <t>LPA:</t>
        </r>
        <r>
          <rPr>
            <sz val="9"/>
            <color indexed="81"/>
            <rFont val="Tahoma"/>
            <family val="2"/>
          </rPr>
          <t xml:space="preserve">
проверити збир!
</t>
        </r>
      </text>
    </comment>
    <comment ref="I8228" authorId="0">
      <text>
        <r>
          <rPr>
            <b/>
            <sz val="9"/>
            <color indexed="81"/>
            <rFont val="Tahoma"/>
            <family val="2"/>
          </rPr>
          <t>LPA:</t>
        </r>
        <r>
          <rPr>
            <sz val="9"/>
            <color indexed="81"/>
            <rFont val="Tahoma"/>
            <family val="2"/>
          </rPr>
          <t xml:space="preserve">
проверити збир!
</t>
        </r>
      </text>
    </comment>
    <comment ref="I8229" authorId="0">
      <text>
        <r>
          <rPr>
            <b/>
            <sz val="9"/>
            <color indexed="81"/>
            <rFont val="Tahoma"/>
            <family val="2"/>
          </rPr>
          <t>LPA:</t>
        </r>
        <r>
          <rPr>
            <sz val="9"/>
            <color indexed="81"/>
            <rFont val="Tahoma"/>
            <family val="2"/>
          </rPr>
          <t xml:space="preserve">
проверити збир!
</t>
        </r>
      </text>
    </comment>
    <comment ref="I8230" authorId="0">
      <text>
        <r>
          <rPr>
            <b/>
            <sz val="9"/>
            <color indexed="81"/>
            <rFont val="Tahoma"/>
            <family val="2"/>
          </rPr>
          <t>LPA:</t>
        </r>
        <r>
          <rPr>
            <sz val="9"/>
            <color indexed="81"/>
            <rFont val="Tahoma"/>
            <family val="2"/>
          </rPr>
          <t xml:space="preserve">
проверити збир!
</t>
        </r>
      </text>
    </comment>
    <comment ref="I8231" authorId="0">
      <text>
        <r>
          <rPr>
            <b/>
            <sz val="9"/>
            <color indexed="81"/>
            <rFont val="Tahoma"/>
            <family val="2"/>
          </rPr>
          <t>LPA:</t>
        </r>
        <r>
          <rPr>
            <sz val="9"/>
            <color indexed="81"/>
            <rFont val="Tahoma"/>
            <family val="2"/>
          </rPr>
          <t xml:space="preserve">
проверити збир!
</t>
        </r>
      </text>
    </comment>
    <comment ref="I8232" authorId="0">
      <text>
        <r>
          <rPr>
            <b/>
            <sz val="9"/>
            <color indexed="81"/>
            <rFont val="Tahoma"/>
            <family val="2"/>
          </rPr>
          <t>LPA:</t>
        </r>
        <r>
          <rPr>
            <sz val="9"/>
            <color indexed="81"/>
            <rFont val="Tahoma"/>
            <family val="2"/>
          </rPr>
          <t xml:space="preserve">
проверити збир!
</t>
        </r>
      </text>
    </comment>
    <comment ref="I8233" authorId="0">
      <text>
        <r>
          <rPr>
            <b/>
            <sz val="9"/>
            <color indexed="81"/>
            <rFont val="Tahoma"/>
            <family val="2"/>
          </rPr>
          <t>LPA:</t>
        </r>
        <r>
          <rPr>
            <sz val="9"/>
            <color indexed="81"/>
            <rFont val="Tahoma"/>
            <family val="2"/>
          </rPr>
          <t xml:space="preserve">
проверити збир!
</t>
        </r>
      </text>
    </comment>
    <comment ref="I8234" authorId="0">
      <text>
        <r>
          <rPr>
            <b/>
            <sz val="9"/>
            <color indexed="81"/>
            <rFont val="Tahoma"/>
            <family val="2"/>
          </rPr>
          <t>LPA:</t>
        </r>
        <r>
          <rPr>
            <sz val="9"/>
            <color indexed="81"/>
            <rFont val="Tahoma"/>
            <family val="2"/>
          </rPr>
          <t xml:space="preserve">
проверити збир!
</t>
        </r>
      </text>
    </comment>
    <comment ref="I8235" authorId="0">
      <text>
        <r>
          <rPr>
            <b/>
            <sz val="9"/>
            <color indexed="81"/>
            <rFont val="Tahoma"/>
            <family val="2"/>
          </rPr>
          <t>LPA:</t>
        </r>
        <r>
          <rPr>
            <sz val="9"/>
            <color indexed="81"/>
            <rFont val="Tahoma"/>
            <family val="2"/>
          </rPr>
          <t xml:space="preserve">
проверити збир!
</t>
        </r>
      </text>
    </comment>
    <comment ref="I8236" authorId="0">
      <text>
        <r>
          <rPr>
            <b/>
            <sz val="9"/>
            <color indexed="81"/>
            <rFont val="Tahoma"/>
            <family val="2"/>
          </rPr>
          <t>LPA:</t>
        </r>
        <r>
          <rPr>
            <sz val="9"/>
            <color indexed="81"/>
            <rFont val="Tahoma"/>
            <family val="2"/>
          </rPr>
          <t xml:space="preserve">
проверити збир!
</t>
        </r>
      </text>
    </comment>
    <comment ref="I8305" authorId="0">
      <text>
        <r>
          <rPr>
            <b/>
            <sz val="9"/>
            <color indexed="81"/>
            <rFont val="Tahoma"/>
            <family val="2"/>
          </rPr>
          <t>LPA:</t>
        </r>
        <r>
          <rPr>
            <sz val="9"/>
            <color indexed="81"/>
            <rFont val="Tahoma"/>
            <family val="2"/>
          </rPr>
          <t xml:space="preserve">
проверити збир!
</t>
        </r>
      </text>
    </comment>
    <comment ref="I8306" authorId="0">
      <text>
        <r>
          <rPr>
            <b/>
            <sz val="9"/>
            <color indexed="81"/>
            <rFont val="Tahoma"/>
            <family val="2"/>
          </rPr>
          <t>LPA:</t>
        </r>
        <r>
          <rPr>
            <sz val="9"/>
            <color indexed="81"/>
            <rFont val="Tahoma"/>
            <family val="2"/>
          </rPr>
          <t xml:space="preserve">
проверити збир!
</t>
        </r>
      </text>
    </comment>
    <comment ref="I8307" authorId="0">
      <text>
        <r>
          <rPr>
            <b/>
            <sz val="9"/>
            <color indexed="81"/>
            <rFont val="Tahoma"/>
            <family val="2"/>
          </rPr>
          <t>LPA:</t>
        </r>
        <r>
          <rPr>
            <sz val="9"/>
            <color indexed="81"/>
            <rFont val="Tahoma"/>
            <family val="2"/>
          </rPr>
          <t xml:space="preserve">
проверити збир!
</t>
        </r>
      </text>
    </comment>
    <comment ref="I8308" authorId="0">
      <text>
        <r>
          <rPr>
            <b/>
            <sz val="9"/>
            <color indexed="81"/>
            <rFont val="Tahoma"/>
            <family val="2"/>
          </rPr>
          <t>LPA:</t>
        </r>
        <r>
          <rPr>
            <sz val="9"/>
            <color indexed="81"/>
            <rFont val="Tahoma"/>
            <family val="2"/>
          </rPr>
          <t xml:space="preserve">
проверити збир!
</t>
        </r>
      </text>
    </comment>
    <comment ref="I8309" authorId="0">
      <text>
        <r>
          <rPr>
            <b/>
            <sz val="9"/>
            <color indexed="81"/>
            <rFont val="Tahoma"/>
            <family val="2"/>
          </rPr>
          <t>LPA:</t>
        </r>
        <r>
          <rPr>
            <sz val="9"/>
            <color indexed="81"/>
            <rFont val="Tahoma"/>
            <family val="2"/>
          </rPr>
          <t xml:space="preserve">
проверити збир!
</t>
        </r>
      </text>
    </comment>
    <comment ref="I8310" authorId="0">
      <text>
        <r>
          <rPr>
            <b/>
            <sz val="9"/>
            <color indexed="81"/>
            <rFont val="Tahoma"/>
            <family val="2"/>
          </rPr>
          <t>LPA:</t>
        </r>
        <r>
          <rPr>
            <sz val="9"/>
            <color indexed="81"/>
            <rFont val="Tahoma"/>
            <family val="2"/>
          </rPr>
          <t xml:space="preserve">
проверити збир!
</t>
        </r>
      </text>
    </comment>
    <comment ref="I8311" authorId="0">
      <text>
        <r>
          <rPr>
            <b/>
            <sz val="9"/>
            <color indexed="81"/>
            <rFont val="Tahoma"/>
            <family val="2"/>
          </rPr>
          <t>LPA:</t>
        </r>
        <r>
          <rPr>
            <sz val="9"/>
            <color indexed="81"/>
            <rFont val="Tahoma"/>
            <family val="2"/>
          </rPr>
          <t xml:space="preserve">
проверити збир!
</t>
        </r>
      </text>
    </comment>
    <comment ref="I8312" authorId="0">
      <text>
        <r>
          <rPr>
            <b/>
            <sz val="9"/>
            <color indexed="81"/>
            <rFont val="Tahoma"/>
            <family val="2"/>
          </rPr>
          <t>LPA:</t>
        </r>
        <r>
          <rPr>
            <sz val="9"/>
            <color indexed="81"/>
            <rFont val="Tahoma"/>
            <family val="2"/>
          </rPr>
          <t xml:space="preserve">
проверити збир!
</t>
        </r>
      </text>
    </comment>
    <comment ref="I8313" authorId="0">
      <text>
        <r>
          <rPr>
            <b/>
            <sz val="9"/>
            <color indexed="81"/>
            <rFont val="Tahoma"/>
            <family val="2"/>
          </rPr>
          <t>LPA:</t>
        </r>
        <r>
          <rPr>
            <sz val="9"/>
            <color indexed="81"/>
            <rFont val="Tahoma"/>
            <family val="2"/>
          </rPr>
          <t xml:space="preserve">
проверити збир!
</t>
        </r>
      </text>
    </comment>
    <comment ref="I8314" authorId="0">
      <text>
        <r>
          <rPr>
            <b/>
            <sz val="9"/>
            <color indexed="81"/>
            <rFont val="Tahoma"/>
            <family val="2"/>
          </rPr>
          <t>LPA:</t>
        </r>
        <r>
          <rPr>
            <sz val="9"/>
            <color indexed="81"/>
            <rFont val="Tahoma"/>
            <family val="2"/>
          </rPr>
          <t xml:space="preserve">
проверити збир!
</t>
        </r>
      </text>
    </comment>
    <comment ref="I8315" authorId="0">
      <text>
        <r>
          <rPr>
            <b/>
            <sz val="9"/>
            <color indexed="81"/>
            <rFont val="Tahoma"/>
            <family val="2"/>
          </rPr>
          <t>LPA:</t>
        </r>
        <r>
          <rPr>
            <sz val="9"/>
            <color indexed="81"/>
            <rFont val="Tahoma"/>
            <family val="2"/>
          </rPr>
          <t xml:space="preserve">
проверити збир!
</t>
        </r>
      </text>
    </comment>
    <comment ref="I8316" authorId="0">
      <text>
        <r>
          <rPr>
            <b/>
            <sz val="9"/>
            <color indexed="81"/>
            <rFont val="Tahoma"/>
            <family val="2"/>
          </rPr>
          <t>LPA:</t>
        </r>
        <r>
          <rPr>
            <sz val="9"/>
            <color indexed="81"/>
            <rFont val="Tahoma"/>
            <family val="2"/>
          </rPr>
          <t xml:space="preserve">
проверити збир!
</t>
        </r>
      </text>
    </comment>
    <comment ref="I8317" authorId="0">
      <text>
        <r>
          <rPr>
            <b/>
            <sz val="9"/>
            <color indexed="81"/>
            <rFont val="Tahoma"/>
            <family val="2"/>
          </rPr>
          <t>LPA:</t>
        </r>
        <r>
          <rPr>
            <sz val="9"/>
            <color indexed="81"/>
            <rFont val="Tahoma"/>
            <family val="2"/>
          </rPr>
          <t xml:space="preserve">
проверити збир!
</t>
        </r>
      </text>
    </comment>
    <comment ref="H8320" authorId="0">
      <text>
        <r>
          <rPr>
            <b/>
            <sz val="9"/>
            <color indexed="81"/>
            <rFont val="Tahoma"/>
            <family val="2"/>
          </rPr>
          <t>LPA:</t>
        </r>
        <r>
          <rPr>
            <sz val="9"/>
            <color indexed="81"/>
            <rFont val="Tahoma"/>
            <family val="2"/>
          </rPr>
          <t xml:space="preserve">
проверити збир!</t>
        </r>
      </text>
    </comment>
    <comment ref="I8320" authorId="0">
      <text>
        <r>
          <rPr>
            <b/>
            <sz val="9"/>
            <color indexed="81"/>
            <rFont val="Tahoma"/>
            <family val="2"/>
          </rPr>
          <t>LPA:</t>
        </r>
        <r>
          <rPr>
            <sz val="9"/>
            <color indexed="81"/>
            <rFont val="Tahoma"/>
            <family val="2"/>
          </rPr>
          <t xml:space="preserve">
проверити збир!</t>
        </r>
      </text>
    </comment>
    <comment ref="I8321" authorId="0">
      <text>
        <r>
          <rPr>
            <b/>
            <sz val="9"/>
            <color indexed="81"/>
            <rFont val="Tahoma"/>
            <family val="2"/>
          </rPr>
          <t>LPA:</t>
        </r>
        <r>
          <rPr>
            <sz val="9"/>
            <color indexed="81"/>
            <rFont val="Tahoma"/>
            <family val="2"/>
          </rPr>
          <t xml:space="preserve">
проверити збир!
</t>
        </r>
      </text>
    </comment>
    <comment ref="I8322" authorId="0">
      <text>
        <r>
          <rPr>
            <b/>
            <sz val="9"/>
            <color indexed="81"/>
            <rFont val="Tahoma"/>
            <family val="2"/>
          </rPr>
          <t>LPA:</t>
        </r>
        <r>
          <rPr>
            <sz val="9"/>
            <color indexed="81"/>
            <rFont val="Tahoma"/>
            <family val="2"/>
          </rPr>
          <t xml:space="preserve">
проверити збир!
</t>
        </r>
      </text>
    </comment>
    <comment ref="I8323" authorId="0">
      <text>
        <r>
          <rPr>
            <b/>
            <sz val="9"/>
            <color indexed="81"/>
            <rFont val="Tahoma"/>
            <family val="2"/>
          </rPr>
          <t>LPA:</t>
        </r>
        <r>
          <rPr>
            <sz val="9"/>
            <color indexed="81"/>
            <rFont val="Tahoma"/>
            <family val="2"/>
          </rPr>
          <t xml:space="preserve">
проверити збир!
</t>
        </r>
      </text>
    </comment>
    <comment ref="I8324" authorId="0">
      <text>
        <r>
          <rPr>
            <b/>
            <sz val="9"/>
            <color indexed="81"/>
            <rFont val="Tahoma"/>
            <family val="2"/>
          </rPr>
          <t>LPA:</t>
        </r>
        <r>
          <rPr>
            <sz val="9"/>
            <color indexed="81"/>
            <rFont val="Tahoma"/>
            <family val="2"/>
          </rPr>
          <t xml:space="preserve">
проверити збир!
</t>
        </r>
      </text>
    </comment>
    <comment ref="I8325" authorId="0">
      <text>
        <r>
          <rPr>
            <b/>
            <sz val="9"/>
            <color indexed="81"/>
            <rFont val="Tahoma"/>
            <family val="2"/>
          </rPr>
          <t>LPA:</t>
        </r>
        <r>
          <rPr>
            <sz val="9"/>
            <color indexed="81"/>
            <rFont val="Tahoma"/>
            <family val="2"/>
          </rPr>
          <t xml:space="preserve">
проверити збир!
</t>
        </r>
      </text>
    </comment>
    <comment ref="I8326" authorId="0">
      <text>
        <r>
          <rPr>
            <b/>
            <sz val="9"/>
            <color indexed="81"/>
            <rFont val="Tahoma"/>
            <family val="2"/>
          </rPr>
          <t>LPA:</t>
        </r>
        <r>
          <rPr>
            <sz val="9"/>
            <color indexed="81"/>
            <rFont val="Tahoma"/>
            <family val="2"/>
          </rPr>
          <t xml:space="preserve">
проверити збир!
</t>
        </r>
      </text>
    </comment>
    <comment ref="I8327" authorId="0">
      <text>
        <r>
          <rPr>
            <b/>
            <sz val="9"/>
            <color indexed="81"/>
            <rFont val="Tahoma"/>
            <family val="2"/>
          </rPr>
          <t>LPA:</t>
        </r>
        <r>
          <rPr>
            <sz val="9"/>
            <color indexed="81"/>
            <rFont val="Tahoma"/>
            <family val="2"/>
          </rPr>
          <t xml:space="preserve">
проверити збир!
</t>
        </r>
      </text>
    </comment>
    <comment ref="I8328" authorId="0">
      <text>
        <r>
          <rPr>
            <b/>
            <sz val="9"/>
            <color indexed="81"/>
            <rFont val="Tahoma"/>
            <family val="2"/>
          </rPr>
          <t>LPA:</t>
        </r>
        <r>
          <rPr>
            <sz val="9"/>
            <color indexed="81"/>
            <rFont val="Tahoma"/>
            <family val="2"/>
          </rPr>
          <t xml:space="preserve">
проверити збир!
</t>
        </r>
      </text>
    </comment>
    <comment ref="I8329" authorId="0">
      <text>
        <r>
          <rPr>
            <b/>
            <sz val="9"/>
            <color indexed="81"/>
            <rFont val="Tahoma"/>
            <family val="2"/>
          </rPr>
          <t>LPA:</t>
        </r>
        <r>
          <rPr>
            <sz val="9"/>
            <color indexed="81"/>
            <rFont val="Tahoma"/>
            <family val="2"/>
          </rPr>
          <t xml:space="preserve">
проверити збир!
</t>
        </r>
      </text>
    </comment>
    <comment ref="I8330" authorId="0">
      <text>
        <r>
          <rPr>
            <b/>
            <sz val="9"/>
            <color indexed="81"/>
            <rFont val="Tahoma"/>
            <family val="2"/>
          </rPr>
          <t>LPA:</t>
        </r>
        <r>
          <rPr>
            <sz val="9"/>
            <color indexed="81"/>
            <rFont val="Tahoma"/>
            <family val="2"/>
          </rPr>
          <t xml:space="preserve">
проверити збир!
</t>
        </r>
      </text>
    </comment>
    <comment ref="I8331" authorId="0">
      <text>
        <r>
          <rPr>
            <b/>
            <sz val="9"/>
            <color indexed="81"/>
            <rFont val="Tahoma"/>
            <family val="2"/>
          </rPr>
          <t>LPA:</t>
        </r>
        <r>
          <rPr>
            <sz val="9"/>
            <color indexed="81"/>
            <rFont val="Tahoma"/>
            <family val="2"/>
          </rPr>
          <t xml:space="preserve">
проверити збир!
</t>
        </r>
      </text>
    </comment>
    <comment ref="I8332" authorId="0">
      <text>
        <r>
          <rPr>
            <b/>
            <sz val="9"/>
            <color indexed="81"/>
            <rFont val="Tahoma"/>
            <family val="2"/>
          </rPr>
          <t>LPA:</t>
        </r>
        <r>
          <rPr>
            <sz val="9"/>
            <color indexed="81"/>
            <rFont val="Tahoma"/>
            <family val="2"/>
          </rPr>
          <t xml:space="preserve">
проверити збир!
</t>
        </r>
      </text>
    </comment>
    <comment ref="I8333" authorId="0">
      <text>
        <r>
          <rPr>
            <b/>
            <sz val="9"/>
            <color indexed="81"/>
            <rFont val="Tahoma"/>
            <family val="2"/>
          </rPr>
          <t>LPA:</t>
        </r>
        <r>
          <rPr>
            <sz val="9"/>
            <color indexed="81"/>
            <rFont val="Tahoma"/>
            <family val="2"/>
          </rPr>
          <t xml:space="preserve">
проверити збир!
</t>
        </r>
      </text>
    </comment>
    <comment ref="I8334" authorId="0">
      <text>
        <r>
          <rPr>
            <b/>
            <sz val="9"/>
            <color indexed="81"/>
            <rFont val="Tahoma"/>
            <family val="2"/>
          </rPr>
          <t>LPA:</t>
        </r>
        <r>
          <rPr>
            <sz val="9"/>
            <color indexed="81"/>
            <rFont val="Tahoma"/>
            <family val="2"/>
          </rPr>
          <t xml:space="preserve">
проверити збир!
</t>
        </r>
      </text>
    </comment>
    <comment ref="I8335" authorId="0">
      <text>
        <r>
          <rPr>
            <b/>
            <sz val="9"/>
            <color indexed="81"/>
            <rFont val="Tahoma"/>
            <family val="2"/>
          </rPr>
          <t>LPA:</t>
        </r>
        <r>
          <rPr>
            <sz val="9"/>
            <color indexed="81"/>
            <rFont val="Tahoma"/>
            <family val="2"/>
          </rPr>
          <t xml:space="preserve">
проверити збир!
</t>
        </r>
      </text>
    </comment>
    <comment ref="I8602" authorId="0">
      <text>
        <r>
          <rPr>
            <b/>
            <sz val="9"/>
            <color indexed="81"/>
            <rFont val="Tahoma"/>
            <family val="2"/>
          </rPr>
          <t>LPA:</t>
        </r>
        <r>
          <rPr>
            <sz val="9"/>
            <color indexed="81"/>
            <rFont val="Tahoma"/>
            <family val="2"/>
          </rPr>
          <t xml:space="preserve">
проверити збир!
</t>
        </r>
      </text>
    </comment>
    <comment ref="I8603" authorId="0">
      <text>
        <r>
          <rPr>
            <b/>
            <sz val="9"/>
            <color indexed="81"/>
            <rFont val="Tahoma"/>
            <family val="2"/>
          </rPr>
          <t>LPA:</t>
        </r>
        <r>
          <rPr>
            <sz val="9"/>
            <color indexed="81"/>
            <rFont val="Tahoma"/>
            <family val="2"/>
          </rPr>
          <t xml:space="preserve">
проверити збир!
</t>
        </r>
      </text>
    </comment>
    <comment ref="I8604" authorId="0">
      <text>
        <r>
          <rPr>
            <b/>
            <sz val="9"/>
            <color indexed="81"/>
            <rFont val="Tahoma"/>
            <family val="2"/>
          </rPr>
          <t>LPA:</t>
        </r>
        <r>
          <rPr>
            <sz val="9"/>
            <color indexed="81"/>
            <rFont val="Tahoma"/>
            <family val="2"/>
          </rPr>
          <t xml:space="preserve">
проверити збир!
</t>
        </r>
      </text>
    </comment>
    <comment ref="I8605" authorId="0">
      <text>
        <r>
          <rPr>
            <b/>
            <sz val="9"/>
            <color indexed="81"/>
            <rFont val="Tahoma"/>
            <family val="2"/>
          </rPr>
          <t>LPA:</t>
        </r>
        <r>
          <rPr>
            <sz val="9"/>
            <color indexed="81"/>
            <rFont val="Tahoma"/>
            <family val="2"/>
          </rPr>
          <t xml:space="preserve">
проверити збир!
</t>
        </r>
      </text>
    </comment>
    <comment ref="I8606" authorId="0">
      <text>
        <r>
          <rPr>
            <b/>
            <sz val="9"/>
            <color indexed="81"/>
            <rFont val="Tahoma"/>
            <family val="2"/>
          </rPr>
          <t>LPA:</t>
        </r>
        <r>
          <rPr>
            <sz val="9"/>
            <color indexed="81"/>
            <rFont val="Tahoma"/>
            <family val="2"/>
          </rPr>
          <t xml:space="preserve">
проверити збир!
</t>
        </r>
      </text>
    </comment>
    <comment ref="I8607" authorId="0">
      <text>
        <r>
          <rPr>
            <b/>
            <sz val="9"/>
            <color indexed="81"/>
            <rFont val="Tahoma"/>
            <family val="2"/>
          </rPr>
          <t>LPA:</t>
        </r>
        <r>
          <rPr>
            <sz val="9"/>
            <color indexed="81"/>
            <rFont val="Tahoma"/>
            <family val="2"/>
          </rPr>
          <t xml:space="preserve">
проверити збир!
</t>
        </r>
      </text>
    </comment>
    <comment ref="I8608" authorId="0">
      <text>
        <r>
          <rPr>
            <b/>
            <sz val="9"/>
            <color indexed="81"/>
            <rFont val="Tahoma"/>
            <family val="2"/>
          </rPr>
          <t>LPA:</t>
        </r>
        <r>
          <rPr>
            <sz val="9"/>
            <color indexed="81"/>
            <rFont val="Tahoma"/>
            <family val="2"/>
          </rPr>
          <t xml:space="preserve">
проверити збир!
</t>
        </r>
      </text>
    </comment>
    <comment ref="I8609" authorId="0">
      <text>
        <r>
          <rPr>
            <b/>
            <sz val="9"/>
            <color indexed="81"/>
            <rFont val="Tahoma"/>
            <family val="2"/>
          </rPr>
          <t>LPA:</t>
        </r>
        <r>
          <rPr>
            <sz val="9"/>
            <color indexed="81"/>
            <rFont val="Tahoma"/>
            <family val="2"/>
          </rPr>
          <t xml:space="preserve">
проверити збир!
</t>
        </r>
      </text>
    </comment>
    <comment ref="I8610" authorId="0">
      <text>
        <r>
          <rPr>
            <b/>
            <sz val="9"/>
            <color indexed="81"/>
            <rFont val="Tahoma"/>
            <family val="2"/>
          </rPr>
          <t>LPA:</t>
        </r>
        <r>
          <rPr>
            <sz val="9"/>
            <color indexed="81"/>
            <rFont val="Tahoma"/>
            <family val="2"/>
          </rPr>
          <t xml:space="preserve">
проверити збир!
</t>
        </r>
      </text>
    </comment>
    <comment ref="I8611" authorId="0">
      <text>
        <r>
          <rPr>
            <b/>
            <sz val="9"/>
            <color indexed="81"/>
            <rFont val="Tahoma"/>
            <family val="2"/>
          </rPr>
          <t>LPA:</t>
        </r>
        <r>
          <rPr>
            <sz val="9"/>
            <color indexed="81"/>
            <rFont val="Tahoma"/>
            <family val="2"/>
          </rPr>
          <t xml:space="preserve">
проверити збир!
</t>
        </r>
      </text>
    </comment>
    <comment ref="I8612" authorId="0">
      <text>
        <r>
          <rPr>
            <b/>
            <sz val="9"/>
            <color indexed="81"/>
            <rFont val="Tahoma"/>
            <family val="2"/>
          </rPr>
          <t>LPA:</t>
        </r>
        <r>
          <rPr>
            <sz val="9"/>
            <color indexed="81"/>
            <rFont val="Tahoma"/>
            <family val="2"/>
          </rPr>
          <t xml:space="preserve">
проверити збир!
</t>
        </r>
      </text>
    </comment>
    <comment ref="I8613" authorId="0">
      <text>
        <r>
          <rPr>
            <b/>
            <sz val="9"/>
            <color indexed="81"/>
            <rFont val="Tahoma"/>
            <family val="2"/>
          </rPr>
          <t>LPA:</t>
        </r>
        <r>
          <rPr>
            <sz val="9"/>
            <color indexed="81"/>
            <rFont val="Tahoma"/>
            <family val="2"/>
          </rPr>
          <t xml:space="preserve">
проверити збир!
</t>
        </r>
      </text>
    </comment>
    <comment ref="I8614" authorId="0">
      <text>
        <r>
          <rPr>
            <b/>
            <sz val="9"/>
            <color indexed="81"/>
            <rFont val="Tahoma"/>
            <family val="2"/>
          </rPr>
          <t>LPA:</t>
        </r>
        <r>
          <rPr>
            <sz val="9"/>
            <color indexed="81"/>
            <rFont val="Tahoma"/>
            <family val="2"/>
          </rPr>
          <t xml:space="preserve">
проверити збир!
</t>
        </r>
      </text>
    </comment>
    <comment ref="H8617" authorId="0">
      <text>
        <r>
          <rPr>
            <b/>
            <sz val="9"/>
            <color indexed="81"/>
            <rFont val="Tahoma"/>
            <family val="2"/>
          </rPr>
          <t>LPA:</t>
        </r>
        <r>
          <rPr>
            <sz val="9"/>
            <color indexed="81"/>
            <rFont val="Tahoma"/>
            <family val="2"/>
          </rPr>
          <t xml:space="preserve">
проверити збир!</t>
        </r>
      </text>
    </comment>
    <comment ref="I8617" authorId="0">
      <text>
        <r>
          <rPr>
            <b/>
            <sz val="9"/>
            <color indexed="81"/>
            <rFont val="Tahoma"/>
            <family val="2"/>
          </rPr>
          <t>LPA:</t>
        </r>
        <r>
          <rPr>
            <sz val="9"/>
            <color indexed="81"/>
            <rFont val="Tahoma"/>
            <family val="2"/>
          </rPr>
          <t xml:space="preserve">
проверити збир!</t>
        </r>
      </text>
    </comment>
    <comment ref="I8618" authorId="0">
      <text>
        <r>
          <rPr>
            <b/>
            <sz val="9"/>
            <color indexed="81"/>
            <rFont val="Tahoma"/>
            <family val="2"/>
          </rPr>
          <t>LPA:</t>
        </r>
        <r>
          <rPr>
            <sz val="9"/>
            <color indexed="81"/>
            <rFont val="Tahoma"/>
            <family val="2"/>
          </rPr>
          <t xml:space="preserve">
проверити збир!
</t>
        </r>
      </text>
    </comment>
    <comment ref="I8619" authorId="0">
      <text>
        <r>
          <rPr>
            <b/>
            <sz val="9"/>
            <color indexed="81"/>
            <rFont val="Tahoma"/>
            <family val="2"/>
          </rPr>
          <t>LPA:</t>
        </r>
        <r>
          <rPr>
            <sz val="9"/>
            <color indexed="81"/>
            <rFont val="Tahoma"/>
            <family val="2"/>
          </rPr>
          <t xml:space="preserve">
проверити збир!
</t>
        </r>
      </text>
    </comment>
    <comment ref="I8620" authorId="0">
      <text>
        <r>
          <rPr>
            <b/>
            <sz val="9"/>
            <color indexed="81"/>
            <rFont val="Tahoma"/>
            <family val="2"/>
          </rPr>
          <t>LPA:</t>
        </r>
        <r>
          <rPr>
            <sz val="9"/>
            <color indexed="81"/>
            <rFont val="Tahoma"/>
            <family val="2"/>
          </rPr>
          <t xml:space="preserve">
проверити збир!
</t>
        </r>
      </text>
    </comment>
    <comment ref="I8621" authorId="0">
      <text>
        <r>
          <rPr>
            <b/>
            <sz val="9"/>
            <color indexed="81"/>
            <rFont val="Tahoma"/>
            <family val="2"/>
          </rPr>
          <t>LPA:</t>
        </r>
        <r>
          <rPr>
            <sz val="9"/>
            <color indexed="81"/>
            <rFont val="Tahoma"/>
            <family val="2"/>
          </rPr>
          <t xml:space="preserve">
проверити збир!
</t>
        </r>
      </text>
    </comment>
    <comment ref="I8622" authorId="0">
      <text>
        <r>
          <rPr>
            <b/>
            <sz val="9"/>
            <color indexed="81"/>
            <rFont val="Tahoma"/>
            <family val="2"/>
          </rPr>
          <t>LPA:</t>
        </r>
        <r>
          <rPr>
            <sz val="9"/>
            <color indexed="81"/>
            <rFont val="Tahoma"/>
            <family val="2"/>
          </rPr>
          <t xml:space="preserve">
проверити збир!
</t>
        </r>
      </text>
    </comment>
    <comment ref="I8623" authorId="0">
      <text>
        <r>
          <rPr>
            <b/>
            <sz val="9"/>
            <color indexed="81"/>
            <rFont val="Tahoma"/>
            <family val="2"/>
          </rPr>
          <t>LPA:</t>
        </r>
        <r>
          <rPr>
            <sz val="9"/>
            <color indexed="81"/>
            <rFont val="Tahoma"/>
            <family val="2"/>
          </rPr>
          <t xml:space="preserve">
проверити збир!
</t>
        </r>
      </text>
    </comment>
    <comment ref="I8624" authorId="0">
      <text>
        <r>
          <rPr>
            <b/>
            <sz val="9"/>
            <color indexed="81"/>
            <rFont val="Tahoma"/>
            <family val="2"/>
          </rPr>
          <t>LPA:</t>
        </r>
        <r>
          <rPr>
            <sz val="9"/>
            <color indexed="81"/>
            <rFont val="Tahoma"/>
            <family val="2"/>
          </rPr>
          <t xml:space="preserve">
проверити збир!
</t>
        </r>
      </text>
    </comment>
    <comment ref="I8625" authorId="0">
      <text>
        <r>
          <rPr>
            <b/>
            <sz val="9"/>
            <color indexed="81"/>
            <rFont val="Tahoma"/>
            <family val="2"/>
          </rPr>
          <t>LPA:</t>
        </r>
        <r>
          <rPr>
            <sz val="9"/>
            <color indexed="81"/>
            <rFont val="Tahoma"/>
            <family val="2"/>
          </rPr>
          <t xml:space="preserve">
проверити збир!
</t>
        </r>
      </text>
    </comment>
    <comment ref="I8626" authorId="0">
      <text>
        <r>
          <rPr>
            <b/>
            <sz val="9"/>
            <color indexed="81"/>
            <rFont val="Tahoma"/>
            <family val="2"/>
          </rPr>
          <t>LPA:</t>
        </r>
        <r>
          <rPr>
            <sz val="9"/>
            <color indexed="81"/>
            <rFont val="Tahoma"/>
            <family val="2"/>
          </rPr>
          <t xml:space="preserve">
проверити збир!
</t>
        </r>
      </text>
    </comment>
    <comment ref="I8627" authorId="0">
      <text>
        <r>
          <rPr>
            <b/>
            <sz val="9"/>
            <color indexed="81"/>
            <rFont val="Tahoma"/>
            <family val="2"/>
          </rPr>
          <t>LPA:</t>
        </r>
        <r>
          <rPr>
            <sz val="9"/>
            <color indexed="81"/>
            <rFont val="Tahoma"/>
            <family val="2"/>
          </rPr>
          <t xml:space="preserve">
проверити збир!
</t>
        </r>
      </text>
    </comment>
    <comment ref="I8628" authorId="0">
      <text>
        <r>
          <rPr>
            <b/>
            <sz val="9"/>
            <color indexed="81"/>
            <rFont val="Tahoma"/>
            <family val="2"/>
          </rPr>
          <t>LPA:</t>
        </r>
        <r>
          <rPr>
            <sz val="9"/>
            <color indexed="81"/>
            <rFont val="Tahoma"/>
            <family val="2"/>
          </rPr>
          <t xml:space="preserve">
проверити збир!
</t>
        </r>
      </text>
    </comment>
    <comment ref="I8629" authorId="0">
      <text>
        <r>
          <rPr>
            <b/>
            <sz val="9"/>
            <color indexed="81"/>
            <rFont val="Tahoma"/>
            <family val="2"/>
          </rPr>
          <t>LPA:</t>
        </r>
        <r>
          <rPr>
            <sz val="9"/>
            <color indexed="81"/>
            <rFont val="Tahoma"/>
            <family val="2"/>
          </rPr>
          <t xml:space="preserve">
проверити збир!
</t>
        </r>
      </text>
    </comment>
    <comment ref="I8630" authorId="0">
      <text>
        <r>
          <rPr>
            <b/>
            <sz val="9"/>
            <color indexed="81"/>
            <rFont val="Tahoma"/>
            <family val="2"/>
          </rPr>
          <t>LPA:</t>
        </r>
        <r>
          <rPr>
            <sz val="9"/>
            <color indexed="81"/>
            <rFont val="Tahoma"/>
            <family val="2"/>
          </rPr>
          <t xml:space="preserve">
проверити збир!
</t>
        </r>
      </text>
    </comment>
    <comment ref="I8631" authorId="0">
      <text>
        <r>
          <rPr>
            <b/>
            <sz val="9"/>
            <color indexed="81"/>
            <rFont val="Tahoma"/>
            <family val="2"/>
          </rPr>
          <t>LPA:</t>
        </r>
        <r>
          <rPr>
            <sz val="9"/>
            <color indexed="81"/>
            <rFont val="Tahoma"/>
            <family val="2"/>
          </rPr>
          <t xml:space="preserve">
проверити збир!
</t>
        </r>
      </text>
    </comment>
    <comment ref="I8632" authorId="0">
      <text>
        <r>
          <rPr>
            <b/>
            <sz val="9"/>
            <color indexed="81"/>
            <rFont val="Tahoma"/>
            <family val="2"/>
          </rPr>
          <t>LPA:</t>
        </r>
        <r>
          <rPr>
            <sz val="9"/>
            <color indexed="81"/>
            <rFont val="Tahoma"/>
            <family val="2"/>
          </rPr>
          <t xml:space="preserve">
проверити збир!
</t>
        </r>
      </text>
    </comment>
    <comment ref="I8701" authorId="0">
      <text>
        <r>
          <rPr>
            <b/>
            <sz val="9"/>
            <color indexed="81"/>
            <rFont val="Tahoma"/>
            <family val="2"/>
          </rPr>
          <t>LPA:</t>
        </r>
        <r>
          <rPr>
            <sz val="9"/>
            <color indexed="81"/>
            <rFont val="Tahoma"/>
            <family val="2"/>
          </rPr>
          <t xml:space="preserve">
проверити збир!
</t>
        </r>
      </text>
    </comment>
    <comment ref="I8702" authorId="0">
      <text>
        <r>
          <rPr>
            <b/>
            <sz val="9"/>
            <color indexed="81"/>
            <rFont val="Tahoma"/>
            <family val="2"/>
          </rPr>
          <t>LPA:</t>
        </r>
        <r>
          <rPr>
            <sz val="9"/>
            <color indexed="81"/>
            <rFont val="Tahoma"/>
            <family val="2"/>
          </rPr>
          <t xml:space="preserve">
проверити збир!
</t>
        </r>
      </text>
    </comment>
    <comment ref="I8703" authorId="0">
      <text>
        <r>
          <rPr>
            <b/>
            <sz val="9"/>
            <color indexed="81"/>
            <rFont val="Tahoma"/>
            <family val="2"/>
          </rPr>
          <t>LPA:</t>
        </r>
        <r>
          <rPr>
            <sz val="9"/>
            <color indexed="81"/>
            <rFont val="Tahoma"/>
            <family val="2"/>
          </rPr>
          <t xml:space="preserve">
проверити збир!
</t>
        </r>
      </text>
    </comment>
    <comment ref="I8704" authorId="0">
      <text>
        <r>
          <rPr>
            <b/>
            <sz val="9"/>
            <color indexed="81"/>
            <rFont val="Tahoma"/>
            <family val="2"/>
          </rPr>
          <t>LPA:</t>
        </r>
        <r>
          <rPr>
            <sz val="9"/>
            <color indexed="81"/>
            <rFont val="Tahoma"/>
            <family val="2"/>
          </rPr>
          <t xml:space="preserve">
проверити збир!
</t>
        </r>
      </text>
    </comment>
    <comment ref="I8705" authorId="0">
      <text>
        <r>
          <rPr>
            <b/>
            <sz val="9"/>
            <color indexed="81"/>
            <rFont val="Tahoma"/>
            <family val="2"/>
          </rPr>
          <t>LPA:</t>
        </r>
        <r>
          <rPr>
            <sz val="9"/>
            <color indexed="81"/>
            <rFont val="Tahoma"/>
            <family val="2"/>
          </rPr>
          <t xml:space="preserve">
проверити збир!
</t>
        </r>
      </text>
    </comment>
    <comment ref="I8706" authorId="0">
      <text>
        <r>
          <rPr>
            <b/>
            <sz val="9"/>
            <color indexed="81"/>
            <rFont val="Tahoma"/>
            <family val="2"/>
          </rPr>
          <t>LPA:</t>
        </r>
        <r>
          <rPr>
            <sz val="9"/>
            <color indexed="81"/>
            <rFont val="Tahoma"/>
            <family val="2"/>
          </rPr>
          <t xml:space="preserve">
проверити збир!
</t>
        </r>
      </text>
    </comment>
    <comment ref="I8707" authorId="0">
      <text>
        <r>
          <rPr>
            <b/>
            <sz val="9"/>
            <color indexed="81"/>
            <rFont val="Tahoma"/>
            <family val="2"/>
          </rPr>
          <t>LPA:</t>
        </r>
        <r>
          <rPr>
            <sz val="9"/>
            <color indexed="81"/>
            <rFont val="Tahoma"/>
            <family val="2"/>
          </rPr>
          <t xml:space="preserve">
проверити збир!
</t>
        </r>
      </text>
    </comment>
    <comment ref="I8708" authorId="0">
      <text>
        <r>
          <rPr>
            <b/>
            <sz val="9"/>
            <color indexed="81"/>
            <rFont val="Tahoma"/>
            <family val="2"/>
          </rPr>
          <t>LPA:</t>
        </r>
        <r>
          <rPr>
            <sz val="9"/>
            <color indexed="81"/>
            <rFont val="Tahoma"/>
            <family val="2"/>
          </rPr>
          <t xml:space="preserve">
проверити збир!
</t>
        </r>
      </text>
    </comment>
    <comment ref="I8709" authorId="0">
      <text>
        <r>
          <rPr>
            <b/>
            <sz val="9"/>
            <color indexed="81"/>
            <rFont val="Tahoma"/>
            <family val="2"/>
          </rPr>
          <t>LPA:</t>
        </r>
        <r>
          <rPr>
            <sz val="9"/>
            <color indexed="81"/>
            <rFont val="Tahoma"/>
            <family val="2"/>
          </rPr>
          <t xml:space="preserve">
проверити збир!
</t>
        </r>
      </text>
    </comment>
    <comment ref="I8710" authorId="0">
      <text>
        <r>
          <rPr>
            <b/>
            <sz val="9"/>
            <color indexed="81"/>
            <rFont val="Tahoma"/>
            <family val="2"/>
          </rPr>
          <t>LPA:</t>
        </r>
        <r>
          <rPr>
            <sz val="9"/>
            <color indexed="81"/>
            <rFont val="Tahoma"/>
            <family val="2"/>
          </rPr>
          <t xml:space="preserve">
проверити збир!
</t>
        </r>
      </text>
    </comment>
    <comment ref="I8711" authorId="0">
      <text>
        <r>
          <rPr>
            <b/>
            <sz val="9"/>
            <color indexed="81"/>
            <rFont val="Tahoma"/>
            <family val="2"/>
          </rPr>
          <t>LPA:</t>
        </r>
        <r>
          <rPr>
            <sz val="9"/>
            <color indexed="81"/>
            <rFont val="Tahoma"/>
            <family val="2"/>
          </rPr>
          <t xml:space="preserve">
проверити збир!
</t>
        </r>
      </text>
    </comment>
    <comment ref="I8712" authorId="0">
      <text>
        <r>
          <rPr>
            <b/>
            <sz val="9"/>
            <color indexed="81"/>
            <rFont val="Tahoma"/>
            <family val="2"/>
          </rPr>
          <t>LPA:</t>
        </r>
        <r>
          <rPr>
            <sz val="9"/>
            <color indexed="81"/>
            <rFont val="Tahoma"/>
            <family val="2"/>
          </rPr>
          <t xml:space="preserve">
проверити збир!
</t>
        </r>
      </text>
    </comment>
    <comment ref="I8713" authorId="0">
      <text>
        <r>
          <rPr>
            <b/>
            <sz val="9"/>
            <color indexed="81"/>
            <rFont val="Tahoma"/>
            <family val="2"/>
          </rPr>
          <t>LPA:</t>
        </r>
        <r>
          <rPr>
            <sz val="9"/>
            <color indexed="81"/>
            <rFont val="Tahoma"/>
            <family val="2"/>
          </rPr>
          <t xml:space="preserve">
проверити збир!
</t>
        </r>
      </text>
    </comment>
    <comment ref="H8716" authorId="0">
      <text>
        <r>
          <rPr>
            <b/>
            <sz val="9"/>
            <color indexed="81"/>
            <rFont val="Tahoma"/>
            <family val="2"/>
          </rPr>
          <t>LPA:</t>
        </r>
        <r>
          <rPr>
            <sz val="9"/>
            <color indexed="81"/>
            <rFont val="Tahoma"/>
            <family val="2"/>
          </rPr>
          <t xml:space="preserve">
проверити збир!</t>
        </r>
      </text>
    </comment>
    <comment ref="I8716" authorId="0">
      <text>
        <r>
          <rPr>
            <b/>
            <sz val="9"/>
            <color indexed="81"/>
            <rFont val="Tahoma"/>
            <family val="2"/>
          </rPr>
          <t>LPA:</t>
        </r>
        <r>
          <rPr>
            <sz val="9"/>
            <color indexed="81"/>
            <rFont val="Tahoma"/>
            <family val="2"/>
          </rPr>
          <t xml:space="preserve">
проверити збир!</t>
        </r>
      </text>
    </comment>
    <comment ref="I8717" authorId="0">
      <text>
        <r>
          <rPr>
            <b/>
            <sz val="9"/>
            <color indexed="81"/>
            <rFont val="Tahoma"/>
            <family val="2"/>
          </rPr>
          <t>LPA:</t>
        </r>
        <r>
          <rPr>
            <sz val="9"/>
            <color indexed="81"/>
            <rFont val="Tahoma"/>
            <family val="2"/>
          </rPr>
          <t xml:space="preserve">
проверити збир!
</t>
        </r>
      </text>
    </comment>
    <comment ref="I8718" authorId="0">
      <text>
        <r>
          <rPr>
            <b/>
            <sz val="9"/>
            <color indexed="81"/>
            <rFont val="Tahoma"/>
            <family val="2"/>
          </rPr>
          <t>LPA:</t>
        </r>
        <r>
          <rPr>
            <sz val="9"/>
            <color indexed="81"/>
            <rFont val="Tahoma"/>
            <family val="2"/>
          </rPr>
          <t xml:space="preserve">
проверити збир!
</t>
        </r>
      </text>
    </comment>
    <comment ref="I8719" authorId="0">
      <text>
        <r>
          <rPr>
            <b/>
            <sz val="9"/>
            <color indexed="81"/>
            <rFont val="Tahoma"/>
            <family val="2"/>
          </rPr>
          <t>LPA:</t>
        </r>
        <r>
          <rPr>
            <sz val="9"/>
            <color indexed="81"/>
            <rFont val="Tahoma"/>
            <family val="2"/>
          </rPr>
          <t xml:space="preserve">
проверити збир!
</t>
        </r>
      </text>
    </comment>
    <comment ref="I8720" authorId="0">
      <text>
        <r>
          <rPr>
            <b/>
            <sz val="9"/>
            <color indexed="81"/>
            <rFont val="Tahoma"/>
            <family val="2"/>
          </rPr>
          <t>LPA:</t>
        </r>
        <r>
          <rPr>
            <sz val="9"/>
            <color indexed="81"/>
            <rFont val="Tahoma"/>
            <family val="2"/>
          </rPr>
          <t xml:space="preserve">
проверити збир!
</t>
        </r>
      </text>
    </comment>
    <comment ref="I8721" authorId="0">
      <text>
        <r>
          <rPr>
            <b/>
            <sz val="9"/>
            <color indexed="81"/>
            <rFont val="Tahoma"/>
            <family val="2"/>
          </rPr>
          <t>LPA:</t>
        </r>
        <r>
          <rPr>
            <sz val="9"/>
            <color indexed="81"/>
            <rFont val="Tahoma"/>
            <family val="2"/>
          </rPr>
          <t xml:space="preserve">
проверити збир!
</t>
        </r>
      </text>
    </comment>
    <comment ref="I8722" authorId="0">
      <text>
        <r>
          <rPr>
            <b/>
            <sz val="9"/>
            <color indexed="81"/>
            <rFont val="Tahoma"/>
            <family val="2"/>
          </rPr>
          <t>LPA:</t>
        </r>
        <r>
          <rPr>
            <sz val="9"/>
            <color indexed="81"/>
            <rFont val="Tahoma"/>
            <family val="2"/>
          </rPr>
          <t xml:space="preserve">
проверити збир!
</t>
        </r>
      </text>
    </comment>
    <comment ref="I8723" authorId="0">
      <text>
        <r>
          <rPr>
            <b/>
            <sz val="9"/>
            <color indexed="81"/>
            <rFont val="Tahoma"/>
            <family val="2"/>
          </rPr>
          <t>LPA:</t>
        </r>
        <r>
          <rPr>
            <sz val="9"/>
            <color indexed="81"/>
            <rFont val="Tahoma"/>
            <family val="2"/>
          </rPr>
          <t xml:space="preserve">
проверити збир!
</t>
        </r>
      </text>
    </comment>
    <comment ref="I8724" authorId="0">
      <text>
        <r>
          <rPr>
            <b/>
            <sz val="9"/>
            <color indexed="81"/>
            <rFont val="Tahoma"/>
            <family val="2"/>
          </rPr>
          <t>LPA:</t>
        </r>
        <r>
          <rPr>
            <sz val="9"/>
            <color indexed="81"/>
            <rFont val="Tahoma"/>
            <family val="2"/>
          </rPr>
          <t xml:space="preserve">
проверити збир!
</t>
        </r>
      </text>
    </comment>
    <comment ref="I8725" authorId="0">
      <text>
        <r>
          <rPr>
            <b/>
            <sz val="9"/>
            <color indexed="81"/>
            <rFont val="Tahoma"/>
            <family val="2"/>
          </rPr>
          <t>LPA:</t>
        </r>
        <r>
          <rPr>
            <sz val="9"/>
            <color indexed="81"/>
            <rFont val="Tahoma"/>
            <family val="2"/>
          </rPr>
          <t xml:space="preserve">
проверити збир!
</t>
        </r>
      </text>
    </comment>
    <comment ref="I8726" authorId="0">
      <text>
        <r>
          <rPr>
            <b/>
            <sz val="9"/>
            <color indexed="81"/>
            <rFont val="Tahoma"/>
            <family val="2"/>
          </rPr>
          <t>LPA:</t>
        </r>
        <r>
          <rPr>
            <sz val="9"/>
            <color indexed="81"/>
            <rFont val="Tahoma"/>
            <family val="2"/>
          </rPr>
          <t xml:space="preserve">
проверити збир!
</t>
        </r>
      </text>
    </comment>
    <comment ref="I8727" authorId="0">
      <text>
        <r>
          <rPr>
            <b/>
            <sz val="9"/>
            <color indexed="81"/>
            <rFont val="Tahoma"/>
            <family val="2"/>
          </rPr>
          <t>LPA:</t>
        </r>
        <r>
          <rPr>
            <sz val="9"/>
            <color indexed="81"/>
            <rFont val="Tahoma"/>
            <family val="2"/>
          </rPr>
          <t xml:space="preserve">
проверити збир!
</t>
        </r>
      </text>
    </comment>
    <comment ref="I8728" authorId="0">
      <text>
        <r>
          <rPr>
            <b/>
            <sz val="9"/>
            <color indexed="81"/>
            <rFont val="Tahoma"/>
            <family val="2"/>
          </rPr>
          <t>LPA:</t>
        </r>
        <r>
          <rPr>
            <sz val="9"/>
            <color indexed="81"/>
            <rFont val="Tahoma"/>
            <family val="2"/>
          </rPr>
          <t xml:space="preserve">
проверити збир!
</t>
        </r>
      </text>
    </comment>
    <comment ref="I8729" authorId="0">
      <text>
        <r>
          <rPr>
            <b/>
            <sz val="9"/>
            <color indexed="81"/>
            <rFont val="Tahoma"/>
            <family val="2"/>
          </rPr>
          <t>LPA:</t>
        </r>
        <r>
          <rPr>
            <sz val="9"/>
            <color indexed="81"/>
            <rFont val="Tahoma"/>
            <family val="2"/>
          </rPr>
          <t xml:space="preserve">
проверити збир!
</t>
        </r>
      </text>
    </comment>
    <comment ref="I8730" authorId="0">
      <text>
        <r>
          <rPr>
            <b/>
            <sz val="9"/>
            <color indexed="81"/>
            <rFont val="Tahoma"/>
            <family val="2"/>
          </rPr>
          <t>LPA:</t>
        </r>
        <r>
          <rPr>
            <sz val="9"/>
            <color indexed="81"/>
            <rFont val="Tahoma"/>
            <family val="2"/>
          </rPr>
          <t xml:space="preserve">
проверити збир!
</t>
        </r>
      </text>
    </comment>
    <comment ref="I8731" authorId="0">
      <text>
        <r>
          <rPr>
            <b/>
            <sz val="9"/>
            <color indexed="81"/>
            <rFont val="Tahoma"/>
            <family val="2"/>
          </rPr>
          <t>LPA:</t>
        </r>
        <r>
          <rPr>
            <sz val="9"/>
            <color indexed="81"/>
            <rFont val="Tahoma"/>
            <family val="2"/>
          </rPr>
          <t xml:space="preserve">
проверити збир!
</t>
        </r>
      </text>
    </comment>
    <comment ref="H8736" authorId="0">
      <text>
        <r>
          <rPr>
            <b/>
            <sz val="9"/>
            <color indexed="81"/>
            <rFont val="Tahoma"/>
            <family val="2"/>
          </rPr>
          <t>LPA:</t>
        </r>
        <r>
          <rPr>
            <sz val="9"/>
            <color indexed="81"/>
            <rFont val="Tahoma"/>
            <family val="2"/>
          </rPr>
          <t xml:space="preserve">
проверити збир!</t>
        </r>
      </text>
    </comment>
    <comment ref="I8736" authorId="0">
      <text>
        <r>
          <rPr>
            <b/>
            <sz val="9"/>
            <color indexed="81"/>
            <rFont val="Tahoma"/>
            <family val="2"/>
          </rPr>
          <t>LPA:</t>
        </r>
        <r>
          <rPr>
            <sz val="9"/>
            <color indexed="81"/>
            <rFont val="Tahoma"/>
            <family val="2"/>
          </rPr>
          <t xml:space="preserve">
проверити збир!
</t>
        </r>
      </text>
    </comment>
    <comment ref="I8737" authorId="0">
      <text>
        <r>
          <rPr>
            <b/>
            <sz val="9"/>
            <color indexed="81"/>
            <rFont val="Tahoma"/>
            <family val="2"/>
          </rPr>
          <t>LPA:</t>
        </r>
        <r>
          <rPr>
            <sz val="9"/>
            <color indexed="81"/>
            <rFont val="Tahoma"/>
            <family val="2"/>
          </rPr>
          <t xml:space="preserve">
проверити збир!
</t>
        </r>
      </text>
    </comment>
    <comment ref="I8738" authorId="0">
      <text>
        <r>
          <rPr>
            <b/>
            <sz val="9"/>
            <color indexed="81"/>
            <rFont val="Tahoma"/>
            <family val="2"/>
          </rPr>
          <t>LPA:</t>
        </r>
        <r>
          <rPr>
            <sz val="9"/>
            <color indexed="81"/>
            <rFont val="Tahoma"/>
            <family val="2"/>
          </rPr>
          <t xml:space="preserve">
проверити збир!
</t>
        </r>
      </text>
    </comment>
    <comment ref="I8739" authorId="0">
      <text>
        <r>
          <rPr>
            <b/>
            <sz val="9"/>
            <color indexed="81"/>
            <rFont val="Tahoma"/>
            <family val="2"/>
          </rPr>
          <t>LPA:</t>
        </r>
        <r>
          <rPr>
            <sz val="9"/>
            <color indexed="81"/>
            <rFont val="Tahoma"/>
            <family val="2"/>
          </rPr>
          <t xml:space="preserve">
проверити збир!
</t>
        </r>
      </text>
    </comment>
    <comment ref="I8740" authorId="0">
      <text>
        <r>
          <rPr>
            <b/>
            <sz val="9"/>
            <color indexed="81"/>
            <rFont val="Tahoma"/>
            <family val="2"/>
          </rPr>
          <t>LPA:</t>
        </r>
        <r>
          <rPr>
            <sz val="9"/>
            <color indexed="81"/>
            <rFont val="Tahoma"/>
            <family val="2"/>
          </rPr>
          <t xml:space="preserve">
проверити збир!
</t>
        </r>
      </text>
    </comment>
    <comment ref="I8741" authorId="0">
      <text>
        <r>
          <rPr>
            <b/>
            <sz val="9"/>
            <color indexed="81"/>
            <rFont val="Tahoma"/>
            <family val="2"/>
          </rPr>
          <t>LPA:</t>
        </r>
        <r>
          <rPr>
            <sz val="9"/>
            <color indexed="81"/>
            <rFont val="Tahoma"/>
            <family val="2"/>
          </rPr>
          <t xml:space="preserve">
проверити збир!
</t>
        </r>
      </text>
    </comment>
    <comment ref="I8742" authorId="0">
      <text>
        <r>
          <rPr>
            <b/>
            <sz val="9"/>
            <color indexed="81"/>
            <rFont val="Tahoma"/>
            <family val="2"/>
          </rPr>
          <t>LPA:</t>
        </r>
        <r>
          <rPr>
            <sz val="9"/>
            <color indexed="81"/>
            <rFont val="Tahoma"/>
            <family val="2"/>
          </rPr>
          <t xml:space="preserve">
проверити збир!
</t>
        </r>
      </text>
    </comment>
    <comment ref="I8743" authorId="0">
      <text>
        <r>
          <rPr>
            <b/>
            <sz val="9"/>
            <color indexed="81"/>
            <rFont val="Tahoma"/>
            <family val="2"/>
          </rPr>
          <t>LPA:</t>
        </r>
        <r>
          <rPr>
            <sz val="9"/>
            <color indexed="81"/>
            <rFont val="Tahoma"/>
            <family val="2"/>
          </rPr>
          <t xml:space="preserve">
проверити збир!
</t>
        </r>
      </text>
    </comment>
    <comment ref="I8744" authorId="0">
      <text>
        <r>
          <rPr>
            <b/>
            <sz val="9"/>
            <color indexed="81"/>
            <rFont val="Tahoma"/>
            <family val="2"/>
          </rPr>
          <t>LPA:</t>
        </r>
        <r>
          <rPr>
            <sz val="9"/>
            <color indexed="81"/>
            <rFont val="Tahoma"/>
            <family val="2"/>
          </rPr>
          <t xml:space="preserve">
проверити збир!
</t>
        </r>
      </text>
    </comment>
    <comment ref="I8745" authorId="0">
      <text>
        <r>
          <rPr>
            <b/>
            <sz val="9"/>
            <color indexed="81"/>
            <rFont val="Tahoma"/>
            <family val="2"/>
          </rPr>
          <t>LPA:</t>
        </r>
        <r>
          <rPr>
            <sz val="9"/>
            <color indexed="81"/>
            <rFont val="Tahoma"/>
            <family val="2"/>
          </rPr>
          <t xml:space="preserve">
проверити збир!
</t>
        </r>
      </text>
    </comment>
    <comment ref="I8746" authorId="0">
      <text>
        <r>
          <rPr>
            <b/>
            <sz val="9"/>
            <color indexed="81"/>
            <rFont val="Tahoma"/>
            <family val="2"/>
          </rPr>
          <t>LPA:</t>
        </r>
        <r>
          <rPr>
            <sz val="9"/>
            <color indexed="81"/>
            <rFont val="Tahoma"/>
            <family val="2"/>
          </rPr>
          <t xml:space="preserve">
проверити збир!
</t>
        </r>
      </text>
    </comment>
    <comment ref="I8747" authorId="0">
      <text>
        <r>
          <rPr>
            <b/>
            <sz val="9"/>
            <color indexed="81"/>
            <rFont val="Tahoma"/>
            <family val="2"/>
          </rPr>
          <t>LPA:</t>
        </r>
        <r>
          <rPr>
            <sz val="9"/>
            <color indexed="81"/>
            <rFont val="Tahoma"/>
            <family val="2"/>
          </rPr>
          <t xml:space="preserve">
проверити збир!
</t>
        </r>
      </text>
    </comment>
    <comment ref="I8748" authorId="0">
      <text>
        <r>
          <rPr>
            <b/>
            <sz val="9"/>
            <color indexed="81"/>
            <rFont val="Tahoma"/>
            <family val="2"/>
          </rPr>
          <t>LPA:</t>
        </r>
        <r>
          <rPr>
            <sz val="9"/>
            <color indexed="81"/>
            <rFont val="Tahoma"/>
            <family val="2"/>
          </rPr>
          <t xml:space="preserve">
проверити збир!
</t>
        </r>
      </text>
    </comment>
    <comment ref="I8749" authorId="0">
      <text>
        <r>
          <rPr>
            <b/>
            <sz val="9"/>
            <color indexed="81"/>
            <rFont val="Tahoma"/>
            <family val="2"/>
          </rPr>
          <t>LPA:</t>
        </r>
        <r>
          <rPr>
            <sz val="9"/>
            <color indexed="81"/>
            <rFont val="Tahoma"/>
            <family val="2"/>
          </rPr>
          <t xml:space="preserve">
проверити збир!
</t>
        </r>
      </text>
    </comment>
    <comment ref="I8750" authorId="0">
      <text>
        <r>
          <rPr>
            <b/>
            <sz val="9"/>
            <color indexed="81"/>
            <rFont val="Tahoma"/>
            <family val="2"/>
          </rPr>
          <t>LPA:</t>
        </r>
        <r>
          <rPr>
            <sz val="9"/>
            <color indexed="81"/>
            <rFont val="Tahoma"/>
            <family val="2"/>
          </rPr>
          <t xml:space="preserve">
проверити збир!
</t>
        </r>
      </text>
    </comment>
    <comment ref="I8751" authorId="0">
      <text>
        <r>
          <rPr>
            <b/>
            <sz val="9"/>
            <color indexed="81"/>
            <rFont val="Tahoma"/>
            <family val="2"/>
          </rPr>
          <t>LPA:</t>
        </r>
        <r>
          <rPr>
            <sz val="9"/>
            <color indexed="81"/>
            <rFont val="Tahoma"/>
            <family val="2"/>
          </rPr>
          <t xml:space="preserve">
проверити збир!
</t>
        </r>
      </text>
    </comment>
    <comment ref="I8822" authorId="0">
      <text>
        <r>
          <rPr>
            <b/>
            <sz val="9"/>
            <color indexed="81"/>
            <rFont val="Tahoma"/>
            <family val="2"/>
          </rPr>
          <t>LPA:</t>
        </r>
        <r>
          <rPr>
            <sz val="9"/>
            <color indexed="81"/>
            <rFont val="Tahoma"/>
            <family val="2"/>
          </rPr>
          <t xml:space="preserve">
проверити збир!
</t>
        </r>
      </text>
    </comment>
    <comment ref="I8823" authorId="0">
      <text>
        <r>
          <rPr>
            <b/>
            <sz val="9"/>
            <color indexed="81"/>
            <rFont val="Tahoma"/>
            <family val="2"/>
          </rPr>
          <t>LPA:</t>
        </r>
        <r>
          <rPr>
            <sz val="9"/>
            <color indexed="81"/>
            <rFont val="Tahoma"/>
            <family val="2"/>
          </rPr>
          <t xml:space="preserve">
проверити збир!
</t>
        </r>
      </text>
    </comment>
    <comment ref="I8824" authorId="0">
      <text>
        <r>
          <rPr>
            <b/>
            <sz val="9"/>
            <color indexed="81"/>
            <rFont val="Tahoma"/>
            <family val="2"/>
          </rPr>
          <t>LPA:</t>
        </r>
        <r>
          <rPr>
            <sz val="9"/>
            <color indexed="81"/>
            <rFont val="Tahoma"/>
            <family val="2"/>
          </rPr>
          <t xml:space="preserve">
проверити збир!
</t>
        </r>
      </text>
    </comment>
    <comment ref="I8825" authorId="0">
      <text>
        <r>
          <rPr>
            <b/>
            <sz val="9"/>
            <color indexed="81"/>
            <rFont val="Tahoma"/>
            <family val="2"/>
          </rPr>
          <t>LPA:</t>
        </r>
        <r>
          <rPr>
            <sz val="9"/>
            <color indexed="81"/>
            <rFont val="Tahoma"/>
            <family val="2"/>
          </rPr>
          <t xml:space="preserve">
проверити збир!
</t>
        </r>
      </text>
    </comment>
    <comment ref="I8826" authorId="0">
      <text>
        <r>
          <rPr>
            <b/>
            <sz val="9"/>
            <color indexed="81"/>
            <rFont val="Tahoma"/>
            <family val="2"/>
          </rPr>
          <t>LPA:</t>
        </r>
        <r>
          <rPr>
            <sz val="9"/>
            <color indexed="81"/>
            <rFont val="Tahoma"/>
            <family val="2"/>
          </rPr>
          <t xml:space="preserve">
проверити збир!
</t>
        </r>
      </text>
    </comment>
    <comment ref="I8827" authorId="0">
      <text>
        <r>
          <rPr>
            <b/>
            <sz val="9"/>
            <color indexed="81"/>
            <rFont val="Tahoma"/>
            <family val="2"/>
          </rPr>
          <t>LPA:</t>
        </r>
        <r>
          <rPr>
            <sz val="9"/>
            <color indexed="81"/>
            <rFont val="Tahoma"/>
            <family val="2"/>
          </rPr>
          <t xml:space="preserve">
проверити збир!
</t>
        </r>
      </text>
    </comment>
    <comment ref="I8828" authorId="0">
      <text>
        <r>
          <rPr>
            <b/>
            <sz val="9"/>
            <color indexed="81"/>
            <rFont val="Tahoma"/>
            <family val="2"/>
          </rPr>
          <t>LPA:</t>
        </r>
        <r>
          <rPr>
            <sz val="9"/>
            <color indexed="81"/>
            <rFont val="Tahoma"/>
            <family val="2"/>
          </rPr>
          <t xml:space="preserve">
проверити збир!
</t>
        </r>
      </text>
    </comment>
    <comment ref="I8829" authorId="0">
      <text>
        <r>
          <rPr>
            <b/>
            <sz val="9"/>
            <color indexed="81"/>
            <rFont val="Tahoma"/>
            <family val="2"/>
          </rPr>
          <t>LPA:</t>
        </r>
        <r>
          <rPr>
            <sz val="9"/>
            <color indexed="81"/>
            <rFont val="Tahoma"/>
            <family val="2"/>
          </rPr>
          <t xml:space="preserve">
проверити збир!
</t>
        </r>
      </text>
    </comment>
    <comment ref="I8830" authorId="0">
      <text>
        <r>
          <rPr>
            <b/>
            <sz val="9"/>
            <color indexed="81"/>
            <rFont val="Tahoma"/>
            <family val="2"/>
          </rPr>
          <t>LPA:</t>
        </r>
        <r>
          <rPr>
            <sz val="9"/>
            <color indexed="81"/>
            <rFont val="Tahoma"/>
            <family val="2"/>
          </rPr>
          <t xml:space="preserve">
проверити збир!
</t>
        </r>
      </text>
    </comment>
    <comment ref="I8831" authorId="0">
      <text>
        <r>
          <rPr>
            <b/>
            <sz val="9"/>
            <color indexed="81"/>
            <rFont val="Tahoma"/>
            <family val="2"/>
          </rPr>
          <t>LPA:</t>
        </r>
        <r>
          <rPr>
            <sz val="9"/>
            <color indexed="81"/>
            <rFont val="Tahoma"/>
            <family val="2"/>
          </rPr>
          <t xml:space="preserve">
проверити збир!
</t>
        </r>
      </text>
    </comment>
    <comment ref="I8832" authorId="0">
      <text>
        <r>
          <rPr>
            <b/>
            <sz val="9"/>
            <color indexed="81"/>
            <rFont val="Tahoma"/>
            <family val="2"/>
          </rPr>
          <t>LPA:</t>
        </r>
        <r>
          <rPr>
            <sz val="9"/>
            <color indexed="81"/>
            <rFont val="Tahoma"/>
            <family val="2"/>
          </rPr>
          <t xml:space="preserve">
проверити збир!
</t>
        </r>
      </text>
    </comment>
    <comment ref="I8833" authorId="0">
      <text>
        <r>
          <rPr>
            <b/>
            <sz val="9"/>
            <color indexed="81"/>
            <rFont val="Tahoma"/>
            <family val="2"/>
          </rPr>
          <t>LPA:</t>
        </r>
        <r>
          <rPr>
            <sz val="9"/>
            <color indexed="81"/>
            <rFont val="Tahoma"/>
            <family val="2"/>
          </rPr>
          <t xml:space="preserve">
проверити збир!
</t>
        </r>
      </text>
    </comment>
    <comment ref="I8834" authorId="0">
      <text>
        <r>
          <rPr>
            <b/>
            <sz val="9"/>
            <color indexed="81"/>
            <rFont val="Tahoma"/>
            <family val="2"/>
          </rPr>
          <t>LPA:</t>
        </r>
        <r>
          <rPr>
            <sz val="9"/>
            <color indexed="81"/>
            <rFont val="Tahoma"/>
            <family val="2"/>
          </rPr>
          <t xml:space="preserve">
проверити збир!
</t>
        </r>
      </text>
    </comment>
    <comment ref="H8837" authorId="0">
      <text>
        <r>
          <rPr>
            <b/>
            <sz val="9"/>
            <color indexed="81"/>
            <rFont val="Tahoma"/>
            <family val="2"/>
          </rPr>
          <t>LPA:</t>
        </r>
        <r>
          <rPr>
            <sz val="9"/>
            <color indexed="81"/>
            <rFont val="Tahoma"/>
            <family val="2"/>
          </rPr>
          <t xml:space="preserve">
проверити збир!</t>
        </r>
      </text>
    </comment>
    <comment ref="I8837" authorId="0">
      <text>
        <r>
          <rPr>
            <b/>
            <sz val="9"/>
            <color indexed="81"/>
            <rFont val="Tahoma"/>
            <family val="2"/>
          </rPr>
          <t>LPA:</t>
        </r>
        <r>
          <rPr>
            <sz val="9"/>
            <color indexed="81"/>
            <rFont val="Tahoma"/>
            <family val="2"/>
          </rPr>
          <t xml:space="preserve">
проверити збир!</t>
        </r>
      </text>
    </comment>
    <comment ref="I8838" authorId="0">
      <text>
        <r>
          <rPr>
            <b/>
            <sz val="9"/>
            <color indexed="81"/>
            <rFont val="Tahoma"/>
            <family val="2"/>
          </rPr>
          <t>LPA:</t>
        </r>
        <r>
          <rPr>
            <sz val="9"/>
            <color indexed="81"/>
            <rFont val="Tahoma"/>
            <family val="2"/>
          </rPr>
          <t xml:space="preserve">
проверити збир!
</t>
        </r>
      </text>
    </comment>
    <comment ref="I8839" authorId="0">
      <text>
        <r>
          <rPr>
            <b/>
            <sz val="9"/>
            <color indexed="81"/>
            <rFont val="Tahoma"/>
            <family val="2"/>
          </rPr>
          <t>LPA:</t>
        </r>
        <r>
          <rPr>
            <sz val="9"/>
            <color indexed="81"/>
            <rFont val="Tahoma"/>
            <family val="2"/>
          </rPr>
          <t xml:space="preserve">
проверити збир!
</t>
        </r>
      </text>
    </comment>
    <comment ref="I8840" authorId="0">
      <text>
        <r>
          <rPr>
            <b/>
            <sz val="9"/>
            <color indexed="81"/>
            <rFont val="Tahoma"/>
            <family val="2"/>
          </rPr>
          <t>LPA:</t>
        </r>
        <r>
          <rPr>
            <sz val="9"/>
            <color indexed="81"/>
            <rFont val="Tahoma"/>
            <family val="2"/>
          </rPr>
          <t xml:space="preserve">
проверити збир!
</t>
        </r>
      </text>
    </comment>
    <comment ref="I8841" authorId="0">
      <text>
        <r>
          <rPr>
            <b/>
            <sz val="9"/>
            <color indexed="81"/>
            <rFont val="Tahoma"/>
            <family val="2"/>
          </rPr>
          <t>LPA:</t>
        </r>
        <r>
          <rPr>
            <sz val="9"/>
            <color indexed="81"/>
            <rFont val="Tahoma"/>
            <family val="2"/>
          </rPr>
          <t xml:space="preserve">
проверити збир!
</t>
        </r>
      </text>
    </comment>
    <comment ref="I8842" authorId="0">
      <text>
        <r>
          <rPr>
            <b/>
            <sz val="9"/>
            <color indexed="81"/>
            <rFont val="Tahoma"/>
            <family val="2"/>
          </rPr>
          <t>LPA:</t>
        </r>
        <r>
          <rPr>
            <sz val="9"/>
            <color indexed="81"/>
            <rFont val="Tahoma"/>
            <family val="2"/>
          </rPr>
          <t xml:space="preserve">
проверити збир!
</t>
        </r>
      </text>
    </comment>
    <comment ref="I8843" authorId="0">
      <text>
        <r>
          <rPr>
            <b/>
            <sz val="9"/>
            <color indexed="81"/>
            <rFont val="Tahoma"/>
            <family val="2"/>
          </rPr>
          <t>LPA:</t>
        </r>
        <r>
          <rPr>
            <sz val="9"/>
            <color indexed="81"/>
            <rFont val="Tahoma"/>
            <family val="2"/>
          </rPr>
          <t xml:space="preserve">
проверити збир!
</t>
        </r>
      </text>
    </comment>
    <comment ref="I8844" authorId="0">
      <text>
        <r>
          <rPr>
            <b/>
            <sz val="9"/>
            <color indexed="81"/>
            <rFont val="Tahoma"/>
            <family val="2"/>
          </rPr>
          <t>LPA:</t>
        </r>
        <r>
          <rPr>
            <sz val="9"/>
            <color indexed="81"/>
            <rFont val="Tahoma"/>
            <family val="2"/>
          </rPr>
          <t xml:space="preserve">
проверити збир!
</t>
        </r>
      </text>
    </comment>
    <comment ref="I8845" authorId="0">
      <text>
        <r>
          <rPr>
            <b/>
            <sz val="9"/>
            <color indexed="81"/>
            <rFont val="Tahoma"/>
            <family val="2"/>
          </rPr>
          <t>LPA:</t>
        </r>
        <r>
          <rPr>
            <sz val="9"/>
            <color indexed="81"/>
            <rFont val="Tahoma"/>
            <family val="2"/>
          </rPr>
          <t xml:space="preserve">
проверити збир!
</t>
        </r>
      </text>
    </comment>
    <comment ref="I8846" authorId="0">
      <text>
        <r>
          <rPr>
            <b/>
            <sz val="9"/>
            <color indexed="81"/>
            <rFont val="Tahoma"/>
            <family val="2"/>
          </rPr>
          <t>LPA:</t>
        </r>
        <r>
          <rPr>
            <sz val="9"/>
            <color indexed="81"/>
            <rFont val="Tahoma"/>
            <family val="2"/>
          </rPr>
          <t xml:space="preserve">
проверити збир!
</t>
        </r>
      </text>
    </comment>
    <comment ref="I8847" authorId="0">
      <text>
        <r>
          <rPr>
            <b/>
            <sz val="9"/>
            <color indexed="81"/>
            <rFont val="Tahoma"/>
            <family val="2"/>
          </rPr>
          <t>LPA:</t>
        </r>
        <r>
          <rPr>
            <sz val="9"/>
            <color indexed="81"/>
            <rFont val="Tahoma"/>
            <family val="2"/>
          </rPr>
          <t xml:space="preserve">
проверити збир!
</t>
        </r>
      </text>
    </comment>
    <comment ref="I8848" authorId="0">
      <text>
        <r>
          <rPr>
            <b/>
            <sz val="9"/>
            <color indexed="81"/>
            <rFont val="Tahoma"/>
            <family val="2"/>
          </rPr>
          <t>LPA:</t>
        </r>
        <r>
          <rPr>
            <sz val="9"/>
            <color indexed="81"/>
            <rFont val="Tahoma"/>
            <family val="2"/>
          </rPr>
          <t xml:space="preserve">
проверити збир!
</t>
        </r>
      </text>
    </comment>
    <comment ref="I8849" authorId="0">
      <text>
        <r>
          <rPr>
            <b/>
            <sz val="9"/>
            <color indexed="81"/>
            <rFont val="Tahoma"/>
            <family val="2"/>
          </rPr>
          <t>LPA:</t>
        </r>
        <r>
          <rPr>
            <sz val="9"/>
            <color indexed="81"/>
            <rFont val="Tahoma"/>
            <family val="2"/>
          </rPr>
          <t xml:space="preserve">
проверити збир!
</t>
        </r>
      </text>
    </comment>
    <comment ref="I8850" authorId="0">
      <text>
        <r>
          <rPr>
            <b/>
            <sz val="9"/>
            <color indexed="81"/>
            <rFont val="Tahoma"/>
            <family val="2"/>
          </rPr>
          <t>LPA:</t>
        </r>
        <r>
          <rPr>
            <sz val="9"/>
            <color indexed="81"/>
            <rFont val="Tahoma"/>
            <family val="2"/>
          </rPr>
          <t xml:space="preserve">
проверити збир!
</t>
        </r>
      </text>
    </comment>
    <comment ref="I8851" authorId="0">
      <text>
        <r>
          <rPr>
            <b/>
            <sz val="9"/>
            <color indexed="81"/>
            <rFont val="Tahoma"/>
            <family val="2"/>
          </rPr>
          <t>LPA:</t>
        </r>
        <r>
          <rPr>
            <sz val="9"/>
            <color indexed="81"/>
            <rFont val="Tahoma"/>
            <family val="2"/>
          </rPr>
          <t xml:space="preserve">
проверити збир!
</t>
        </r>
      </text>
    </comment>
    <comment ref="I8852" authorId="0">
      <text>
        <r>
          <rPr>
            <b/>
            <sz val="9"/>
            <color indexed="81"/>
            <rFont val="Tahoma"/>
            <family val="2"/>
          </rPr>
          <t>LPA:</t>
        </r>
        <r>
          <rPr>
            <sz val="9"/>
            <color indexed="81"/>
            <rFont val="Tahoma"/>
            <family val="2"/>
          </rPr>
          <t xml:space="preserve">
проверити збир!
</t>
        </r>
      </text>
    </comment>
    <comment ref="I8921" authorId="0">
      <text>
        <r>
          <rPr>
            <b/>
            <sz val="9"/>
            <color indexed="81"/>
            <rFont val="Tahoma"/>
            <family val="2"/>
          </rPr>
          <t>LPA:</t>
        </r>
        <r>
          <rPr>
            <sz val="9"/>
            <color indexed="81"/>
            <rFont val="Tahoma"/>
            <family val="2"/>
          </rPr>
          <t xml:space="preserve">
проверити збир!
</t>
        </r>
      </text>
    </comment>
    <comment ref="I8922" authorId="0">
      <text>
        <r>
          <rPr>
            <b/>
            <sz val="9"/>
            <color indexed="81"/>
            <rFont val="Tahoma"/>
            <family val="2"/>
          </rPr>
          <t>LPA:</t>
        </r>
        <r>
          <rPr>
            <sz val="9"/>
            <color indexed="81"/>
            <rFont val="Tahoma"/>
            <family val="2"/>
          </rPr>
          <t xml:space="preserve">
проверити збир!
</t>
        </r>
      </text>
    </comment>
    <comment ref="I8923" authorId="0">
      <text>
        <r>
          <rPr>
            <b/>
            <sz val="9"/>
            <color indexed="81"/>
            <rFont val="Tahoma"/>
            <family val="2"/>
          </rPr>
          <t>LPA:</t>
        </r>
        <r>
          <rPr>
            <sz val="9"/>
            <color indexed="81"/>
            <rFont val="Tahoma"/>
            <family val="2"/>
          </rPr>
          <t xml:space="preserve">
проверити збир!
</t>
        </r>
      </text>
    </comment>
    <comment ref="I8924" authorId="0">
      <text>
        <r>
          <rPr>
            <b/>
            <sz val="9"/>
            <color indexed="81"/>
            <rFont val="Tahoma"/>
            <family val="2"/>
          </rPr>
          <t>LPA:</t>
        </r>
        <r>
          <rPr>
            <sz val="9"/>
            <color indexed="81"/>
            <rFont val="Tahoma"/>
            <family val="2"/>
          </rPr>
          <t xml:space="preserve">
проверити збир!
</t>
        </r>
      </text>
    </comment>
    <comment ref="I8925" authorId="0">
      <text>
        <r>
          <rPr>
            <b/>
            <sz val="9"/>
            <color indexed="81"/>
            <rFont val="Tahoma"/>
            <family val="2"/>
          </rPr>
          <t>LPA:</t>
        </r>
        <r>
          <rPr>
            <sz val="9"/>
            <color indexed="81"/>
            <rFont val="Tahoma"/>
            <family val="2"/>
          </rPr>
          <t xml:space="preserve">
проверити збир!
</t>
        </r>
      </text>
    </comment>
    <comment ref="I8926" authorId="0">
      <text>
        <r>
          <rPr>
            <b/>
            <sz val="9"/>
            <color indexed="81"/>
            <rFont val="Tahoma"/>
            <family val="2"/>
          </rPr>
          <t>LPA:</t>
        </r>
        <r>
          <rPr>
            <sz val="9"/>
            <color indexed="81"/>
            <rFont val="Tahoma"/>
            <family val="2"/>
          </rPr>
          <t xml:space="preserve">
проверити збир!
</t>
        </r>
      </text>
    </comment>
    <comment ref="I8927" authorId="0">
      <text>
        <r>
          <rPr>
            <b/>
            <sz val="9"/>
            <color indexed="81"/>
            <rFont val="Tahoma"/>
            <family val="2"/>
          </rPr>
          <t>LPA:</t>
        </r>
        <r>
          <rPr>
            <sz val="9"/>
            <color indexed="81"/>
            <rFont val="Tahoma"/>
            <family val="2"/>
          </rPr>
          <t xml:space="preserve">
проверити збир!
</t>
        </r>
      </text>
    </comment>
    <comment ref="I8928" authorId="0">
      <text>
        <r>
          <rPr>
            <b/>
            <sz val="9"/>
            <color indexed="81"/>
            <rFont val="Tahoma"/>
            <family val="2"/>
          </rPr>
          <t>LPA:</t>
        </r>
        <r>
          <rPr>
            <sz val="9"/>
            <color indexed="81"/>
            <rFont val="Tahoma"/>
            <family val="2"/>
          </rPr>
          <t xml:space="preserve">
проверити збир!
</t>
        </r>
      </text>
    </comment>
    <comment ref="I8929" authorId="0">
      <text>
        <r>
          <rPr>
            <b/>
            <sz val="9"/>
            <color indexed="81"/>
            <rFont val="Tahoma"/>
            <family val="2"/>
          </rPr>
          <t>LPA:</t>
        </r>
        <r>
          <rPr>
            <sz val="9"/>
            <color indexed="81"/>
            <rFont val="Tahoma"/>
            <family val="2"/>
          </rPr>
          <t xml:space="preserve">
проверити збир!
</t>
        </r>
      </text>
    </comment>
    <comment ref="I8930" authorId="0">
      <text>
        <r>
          <rPr>
            <b/>
            <sz val="9"/>
            <color indexed="81"/>
            <rFont val="Tahoma"/>
            <family val="2"/>
          </rPr>
          <t>LPA:</t>
        </r>
        <r>
          <rPr>
            <sz val="9"/>
            <color indexed="81"/>
            <rFont val="Tahoma"/>
            <family val="2"/>
          </rPr>
          <t xml:space="preserve">
проверити збир!
</t>
        </r>
      </text>
    </comment>
    <comment ref="I8931" authorId="0">
      <text>
        <r>
          <rPr>
            <b/>
            <sz val="9"/>
            <color indexed="81"/>
            <rFont val="Tahoma"/>
            <family val="2"/>
          </rPr>
          <t>LPA:</t>
        </r>
        <r>
          <rPr>
            <sz val="9"/>
            <color indexed="81"/>
            <rFont val="Tahoma"/>
            <family val="2"/>
          </rPr>
          <t xml:space="preserve">
проверити збир!
</t>
        </r>
      </text>
    </comment>
    <comment ref="I8932" authorId="0">
      <text>
        <r>
          <rPr>
            <b/>
            <sz val="9"/>
            <color indexed="81"/>
            <rFont val="Tahoma"/>
            <family val="2"/>
          </rPr>
          <t>LPA:</t>
        </r>
        <r>
          <rPr>
            <sz val="9"/>
            <color indexed="81"/>
            <rFont val="Tahoma"/>
            <family val="2"/>
          </rPr>
          <t xml:space="preserve">
проверити збир!
</t>
        </r>
      </text>
    </comment>
    <comment ref="I8933" authorId="0">
      <text>
        <r>
          <rPr>
            <b/>
            <sz val="9"/>
            <color indexed="81"/>
            <rFont val="Tahoma"/>
            <family val="2"/>
          </rPr>
          <t>LPA:</t>
        </r>
        <r>
          <rPr>
            <sz val="9"/>
            <color indexed="81"/>
            <rFont val="Tahoma"/>
            <family val="2"/>
          </rPr>
          <t xml:space="preserve">
проверити збир!
</t>
        </r>
      </text>
    </comment>
    <comment ref="H8936" authorId="0">
      <text>
        <r>
          <rPr>
            <b/>
            <sz val="9"/>
            <color indexed="81"/>
            <rFont val="Tahoma"/>
            <family val="2"/>
          </rPr>
          <t>LPA:</t>
        </r>
        <r>
          <rPr>
            <sz val="9"/>
            <color indexed="81"/>
            <rFont val="Tahoma"/>
            <family val="2"/>
          </rPr>
          <t xml:space="preserve">
проверити збир!</t>
        </r>
      </text>
    </comment>
    <comment ref="I8936" authorId="0">
      <text>
        <r>
          <rPr>
            <b/>
            <sz val="9"/>
            <color indexed="81"/>
            <rFont val="Tahoma"/>
            <family val="2"/>
          </rPr>
          <t>LPA:</t>
        </r>
        <r>
          <rPr>
            <sz val="9"/>
            <color indexed="81"/>
            <rFont val="Tahoma"/>
            <family val="2"/>
          </rPr>
          <t xml:space="preserve">
проверити збир!</t>
        </r>
      </text>
    </comment>
    <comment ref="I8937" authorId="0">
      <text>
        <r>
          <rPr>
            <b/>
            <sz val="9"/>
            <color indexed="81"/>
            <rFont val="Tahoma"/>
            <family val="2"/>
          </rPr>
          <t>LPA:</t>
        </r>
        <r>
          <rPr>
            <sz val="9"/>
            <color indexed="81"/>
            <rFont val="Tahoma"/>
            <family val="2"/>
          </rPr>
          <t xml:space="preserve">
проверити збир!
</t>
        </r>
      </text>
    </comment>
    <comment ref="I8938" authorId="0">
      <text>
        <r>
          <rPr>
            <b/>
            <sz val="9"/>
            <color indexed="81"/>
            <rFont val="Tahoma"/>
            <family val="2"/>
          </rPr>
          <t>LPA:</t>
        </r>
        <r>
          <rPr>
            <sz val="9"/>
            <color indexed="81"/>
            <rFont val="Tahoma"/>
            <family val="2"/>
          </rPr>
          <t xml:space="preserve">
проверити збир!
</t>
        </r>
      </text>
    </comment>
    <comment ref="I8939" authorId="0">
      <text>
        <r>
          <rPr>
            <b/>
            <sz val="9"/>
            <color indexed="81"/>
            <rFont val="Tahoma"/>
            <family val="2"/>
          </rPr>
          <t>LPA:</t>
        </r>
        <r>
          <rPr>
            <sz val="9"/>
            <color indexed="81"/>
            <rFont val="Tahoma"/>
            <family val="2"/>
          </rPr>
          <t xml:space="preserve">
проверити збир!
</t>
        </r>
      </text>
    </comment>
    <comment ref="I8940" authorId="0">
      <text>
        <r>
          <rPr>
            <b/>
            <sz val="9"/>
            <color indexed="81"/>
            <rFont val="Tahoma"/>
            <family val="2"/>
          </rPr>
          <t>LPA:</t>
        </r>
        <r>
          <rPr>
            <sz val="9"/>
            <color indexed="81"/>
            <rFont val="Tahoma"/>
            <family val="2"/>
          </rPr>
          <t xml:space="preserve">
проверити збир!
</t>
        </r>
      </text>
    </comment>
    <comment ref="I8941" authorId="0">
      <text>
        <r>
          <rPr>
            <b/>
            <sz val="9"/>
            <color indexed="81"/>
            <rFont val="Tahoma"/>
            <family val="2"/>
          </rPr>
          <t>LPA:</t>
        </r>
        <r>
          <rPr>
            <sz val="9"/>
            <color indexed="81"/>
            <rFont val="Tahoma"/>
            <family val="2"/>
          </rPr>
          <t xml:space="preserve">
проверити збир!
</t>
        </r>
      </text>
    </comment>
    <comment ref="I8942" authorId="0">
      <text>
        <r>
          <rPr>
            <b/>
            <sz val="9"/>
            <color indexed="81"/>
            <rFont val="Tahoma"/>
            <family val="2"/>
          </rPr>
          <t>LPA:</t>
        </r>
        <r>
          <rPr>
            <sz val="9"/>
            <color indexed="81"/>
            <rFont val="Tahoma"/>
            <family val="2"/>
          </rPr>
          <t xml:space="preserve">
проверити збир!
</t>
        </r>
      </text>
    </comment>
    <comment ref="I8943" authorId="0">
      <text>
        <r>
          <rPr>
            <b/>
            <sz val="9"/>
            <color indexed="81"/>
            <rFont val="Tahoma"/>
            <family val="2"/>
          </rPr>
          <t>LPA:</t>
        </r>
        <r>
          <rPr>
            <sz val="9"/>
            <color indexed="81"/>
            <rFont val="Tahoma"/>
            <family val="2"/>
          </rPr>
          <t xml:space="preserve">
проверити збир!
</t>
        </r>
      </text>
    </comment>
    <comment ref="I8944" authorId="0">
      <text>
        <r>
          <rPr>
            <b/>
            <sz val="9"/>
            <color indexed="81"/>
            <rFont val="Tahoma"/>
            <family val="2"/>
          </rPr>
          <t>LPA:</t>
        </r>
        <r>
          <rPr>
            <sz val="9"/>
            <color indexed="81"/>
            <rFont val="Tahoma"/>
            <family val="2"/>
          </rPr>
          <t xml:space="preserve">
проверити збир!
</t>
        </r>
      </text>
    </comment>
    <comment ref="I8945" authorId="0">
      <text>
        <r>
          <rPr>
            <b/>
            <sz val="9"/>
            <color indexed="81"/>
            <rFont val="Tahoma"/>
            <family val="2"/>
          </rPr>
          <t>LPA:</t>
        </r>
        <r>
          <rPr>
            <sz val="9"/>
            <color indexed="81"/>
            <rFont val="Tahoma"/>
            <family val="2"/>
          </rPr>
          <t xml:space="preserve">
проверити збир!
</t>
        </r>
      </text>
    </comment>
    <comment ref="I8946" authorId="0">
      <text>
        <r>
          <rPr>
            <b/>
            <sz val="9"/>
            <color indexed="81"/>
            <rFont val="Tahoma"/>
            <family val="2"/>
          </rPr>
          <t>LPA:</t>
        </r>
        <r>
          <rPr>
            <sz val="9"/>
            <color indexed="81"/>
            <rFont val="Tahoma"/>
            <family val="2"/>
          </rPr>
          <t xml:space="preserve">
проверити збир!
</t>
        </r>
      </text>
    </comment>
    <comment ref="I8947" authorId="0">
      <text>
        <r>
          <rPr>
            <b/>
            <sz val="9"/>
            <color indexed="81"/>
            <rFont val="Tahoma"/>
            <family val="2"/>
          </rPr>
          <t>LPA:</t>
        </r>
        <r>
          <rPr>
            <sz val="9"/>
            <color indexed="81"/>
            <rFont val="Tahoma"/>
            <family val="2"/>
          </rPr>
          <t xml:space="preserve">
проверити збир!
</t>
        </r>
      </text>
    </comment>
    <comment ref="I8948" authorId="0">
      <text>
        <r>
          <rPr>
            <b/>
            <sz val="9"/>
            <color indexed="81"/>
            <rFont val="Tahoma"/>
            <family val="2"/>
          </rPr>
          <t>LPA:</t>
        </r>
        <r>
          <rPr>
            <sz val="9"/>
            <color indexed="81"/>
            <rFont val="Tahoma"/>
            <family val="2"/>
          </rPr>
          <t xml:space="preserve">
проверити збир!
</t>
        </r>
      </text>
    </comment>
    <comment ref="I8949" authorId="0">
      <text>
        <r>
          <rPr>
            <b/>
            <sz val="9"/>
            <color indexed="81"/>
            <rFont val="Tahoma"/>
            <family val="2"/>
          </rPr>
          <t>LPA:</t>
        </r>
        <r>
          <rPr>
            <sz val="9"/>
            <color indexed="81"/>
            <rFont val="Tahoma"/>
            <family val="2"/>
          </rPr>
          <t xml:space="preserve">
проверити збир!
</t>
        </r>
      </text>
    </comment>
    <comment ref="I8950" authorId="0">
      <text>
        <r>
          <rPr>
            <b/>
            <sz val="9"/>
            <color indexed="81"/>
            <rFont val="Tahoma"/>
            <family val="2"/>
          </rPr>
          <t>LPA:</t>
        </r>
        <r>
          <rPr>
            <sz val="9"/>
            <color indexed="81"/>
            <rFont val="Tahoma"/>
            <family val="2"/>
          </rPr>
          <t xml:space="preserve">
проверити збир!
</t>
        </r>
      </text>
    </comment>
    <comment ref="I8951" authorId="0">
      <text>
        <r>
          <rPr>
            <b/>
            <sz val="9"/>
            <color indexed="81"/>
            <rFont val="Tahoma"/>
            <family val="2"/>
          </rPr>
          <t>LPA:</t>
        </r>
        <r>
          <rPr>
            <sz val="9"/>
            <color indexed="81"/>
            <rFont val="Tahoma"/>
            <family val="2"/>
          </rPr>
          <t xml:space="preserve">
проверити збир!
</t>
        </r>
      </text>
    </comment>
    <comment ref="I9020" authorId="0">
      <text>
        <r>
          <rPr>
            <b/>
            <sz val="9"/>
            <color indexed="81"/>
            <rFont val="Tahoma"/>
            <family val="2"/>
          </rPr>
          <t>LPA:</t>
        </r>
        <r>
          <rPr>
            <sz val="9"/>
            <color indexed="81"/>
            <rFont val="Tahoma"/>
            <family val="2"/>
          </rPr>
          <t xml:space="preserve">
проверити збир!
</t>
        </r>
      </text>
    </comment>
    <comment ref="I9021" authorId="0">
      <text>
        <r>
          <rPr>
            <b/>
            <sz val="9"/>
            <color indexed="81"/>
            <rFont val="Tahoma"/>
            <family val="2"/>
          </rPr>
          <t>LPA:</t>
        </r>
        <r>
          <rPr>
            <sz val="9"/>
            <color indexed="81"/>
            <rFont val="Tahoma"/>
            <family val="2"/>
          </rPr>
          <t xml:space="preserve">
проверити збир!
</t>
        </r>
      </text>
    </comment>
    <comment ref="I9022" authorId="0">
      <text>
        <r>
          <rPr>
            <b/>
            <sz val="9"/>
            <color indexed="81"/>
            <rFont val="Tahoma"/>
            <family val="2"/>
          </rPr>
          <t>LPA:</t>
        </r>
        <r>
          <rPr>
            <sz val="9"/>
            <color indexed="81"/>
            <rFont val="Tahoma"/>
            <family val="2"/>
          </rPr>
          <t xml:space="preserve">
проверити збир!
</t>
        </r>
      </text>
    </comment>
    <comment ref="I9023" authorId="0">
      <text>
        <r>
          <rPr>
            <b/>
            <sz val="9"/>
            <color indexed="81"/>
            <rFont val="Tahoma"/>
            <family val="2"/>
          </rPr>
          <t>LPA:</t>
        </r>
        <r>
          <rPr>
            <sz val="9"/>
            <color indexed="81"/>
            <rFont val="Tahoma"/>
            <family val="2"/>
          </rPr>
          <t xml:space="preserve">
проверити збир!
</t>
        </r>
      </text>
    </comment>
    <comment ref="I9024" authorId="0">
      <text>
        <r>
          <rPr>
            <b/>
            <sz val="9"/>
            <color indexed="81"/>
            <rFont val="Tahoma"/>
            <family val="2"/>
          </rPr>
          <t>LPA:</t>
        </r>
        <r>
          <rPr>
            <sz val="9"/>
            <color indexed="81"/>
            <rFont val="Tahoma"/>
            <family val="2"/>
          </rPr>
          <t xml:space="preserve">
проверити збир!
</t>
        </r>
      </text>
    </comment>
    <comment ref="I9025" authorId="0">
      <text>
        <r>
          <rPr>
            <b/>
            <sz val="9"/>
            <color indexed="81"/>
            <rFont val="Tahoma"/>
            <family val="2"/>
          </rPr>
          <t>LPA:</t>
        </r>
        <r>
          <rPr>
            <sz val="9"/>
            <color indexed="81"/>
            <rFont val="Tahoma"/>
            <family val="2"/>
          </rPr>
          <t xml:space="preserve">
проверити збир!
</t>
        </r>
      </text>
    </comment>
    <comment ref="I9026" authorId="0">
      <text>
        <r>
          <rPr>
            <b/>
            <sz val="9"/>
            <color indexed="81"/>
            <rFont val="Tahoma"/>
            <family val="2"/>
          </rPr>
          <t>LPA:</t>
        </r>
        <r>
          <rPr>
            <sz val="9"/>
            <color indexed="81"/>
            <rFont val="Tahoma"/>
            <family val="2"/>
          </rPr>
          <t xml:space="preserve">
проверити збир!
</t>
        </r>
      </text>
    </comment>
    <comment ref="I9027" authorId="0">
      <text>
        <r>
          <rPr>
            <b/>
            <sz val="9"/>
            <color indexed="81"/>
            <rFont val="Tahoma"/>
            <family val="2"/>
          </rPr>
          <t>LPA:</t>
        </r>
        <r>
          <rPr>
            <sz val="9"/>
            <color indexed="81"/>
            <rFont val="Tahoma"/>
            <family val="2"/>
          </rPr>
          <t xml:space="preserve">
проверити збир!
</t>
        </r>
      </text>
    </comment>
    <comment ref="I9028" authorId="0">
      <text>
        <r>
          <rPr>
            <b/>
            <sz val="9"/>
            <color indexed="81"/>
            <rFont val="Tahoma"/>
            <family val="2"/>
          </rPr>
          <t>LPA:</t>
        </r>
        <r>
          <rPr>
            <sz val="9"/>
            <color indexed="81"/>
            <rFont val="Tahoma"/>
            <family val="2"/>
          </rPr>
          <t xml:space="preserve">
проверити збир!
</t>
        </r>
      </text>
    </comment>
    <comment ref="I9029" authorId="0">
      <text>
        <r>
          <rPr>
            <b/>
            <sz val="9"/>
            <color indexed="81"/>
            <rFont val="Tahoma"/>
            <family val="2"/>
          </rPr>
          <t>LPA:</t>
        </r>
        <r>
          <rPr>
            <sz val="9"/>
            <color indexed="81"/>
            <rFont val="Tahoma"/>
            <family val="2"/>
          </rPr>
          <t xml:space="preserve">
проверити збир!
</t>
        </r>
      </text>
    </comment>
    <comment ref="I9030" authorId="0">
      <text>
        <r>
          <rPr>
            <b/>
            <sz val="9"/>
            <color indexed="81"/>
            <rFont val="Tahoma"/>
            <family val="2"/>
          </rPr>
          <t>LPA:</t>
        </r>
        <r>
          <rPr>
            <sz val="9"/>
            <color indexed="81"/>
            <rFont val="Tahoma"/>
            <family val="2"/>
          </rPr>
          <t xml:space="preserve">
проверити збир!
</t>
        </r>
      </text>
    </comment>
    <comment ref="I9031" authorId="0">
      <text>
        <r>
          <rPr>
            <b/>
            <sz val="9"/>
            <color indexed="81"/>
            <rFont val="Tahoma"/>
            <family val="2"/>
          </rPr>
          <t>LPA:</t>
        </r>
        <r>
          <rPr>
            <sz val="9"/>
            <color indexed="81"/>
            <rFont val="Tahoma"/>
            <family val="2"/>
          </rPr>
          <t xml:space="preserve">
проверити збир!
</t>
        </r>
      </text>
    </comment>
    <comment ref="I9032" authorId="0">
      <text>
        <r>
          <rPr>
            <b/>
            <sz val="9"/>
            <color indexed="81"/>
            <rFont val="Tahoma"/>
            <family val="2"/>
          </rPr>
          <t>LPA:</t>
        </r>
        <r>
          <rPr>
            <sz val="9"/>
            <color indexed="81"/>
            <rFont val="Tahoma"/>
            <family val="2"/>
          </rPr>
          <t xml:space="preserve">
проверити збир!
</t>
        </r>
      </text>
    </comment>
    <comment ref="H9035" authorId="0">
      <text>
        <r>
          <rPr>
            <b/>
            <sz val="9"/>
            <color indexed="81"/>
            <rFont val="Tahoma"/>
            <family val="2"/>
          </rPr>
          <t>LPA:</t>
        </r>
        <r>
          <rPr>
            <sz val="9"/>
            <color indexed="81"/>
            <rFont val="Tahoma"/>
            <family val="2"/>
          </rPr>
          <t xml:space="preserve">
проверити збир!</t>
        </r>
      </text>
    </comment>
    <comment ref="I9035" authorId="0">
      <text>
        <r>
          <rPr>
            <b/>
            <sz val="9"/>
            <color indexed="81"/>
            <rFont val="Tahoma"/>
            <family val="2"/>
          </rPr>
          <t>LPA:</t>
        </r>
        <r>
          <rPr>
            <sz val="9"/>
            <color indexed="81"/>
            <rFont val="Tahoma"/>
            <family val="2"/>
          </rPr>
          <t xml:space="preserve">
проверити збир!</t>
        </r>
      </text>
    </comment>
    <comment ref="I9036" authorId="0">
      <text>
        <r>
          <rPr>
            <b/>
            <sz val="9"/>
            <color indexed="81"/>
            <rFont val="Tahoma"/>
            <family val="2"/>
          </rPr>
          <t>LPA:</t>
        </r>
        <r>
          <rPr>
            <sz val="9"/>
            <color indexed="81"/>
            <rFont val="Tahoma"/>
            <family val="2"/>
          </rPr>
          <t xml:space="preserve">
проверити збир!
</t>
        </r>
      </text>
    </comment>
    <comment ref="I9037" authorId="0">
      <text>
        <r>
          <rPr>
            <b/>
            <sz val="9"/>
            <color indexed="81"/>
            <rFont val="Tahoma"/>
            <family val="2"/>
          </rPr>
          <t>LPA:</t>
        </r>
        <r>
          <rPr>
            <sz val="9"/>
            <color indexed="81"/>
            <rFont val="Tahoma"/>
            <family val="2"/>
          </rPr>
          <t xml:space="preserve">
проверити збир!
</t>
        </r>
      </text>
    </comment>
    <comment ref="I9038" authorId="0">
      <text>
        <r>
          <rPr>
            <b/>
            <sz val="9"/>
            <color indexed="81"/>
            <rFont val="Tahoma"/>
            <family val="2"/>
          </rPr>
          <t>LPA:</t>
        </r>
        <r>
          <rPr>
            <sz val="9"/>
            <color indexed="81"/>
            <rFont val="Tahoma"/>
            <family val="2"/>
          </rPr>
          <t xml:space="preserve">
проверити збир!
</t>
        </r>
      </text>
    </comment>
    <comment ref="I9039" authorId="0">
      <text>
        <r>
          <rPr>
            <b/>
            <sz val="9"/>
            <color indexed="81"/>
            <rFont val="Tahoma"/>
            <family val="2"/>
          </rPr>
          <t>LPA:</t>
        </r>
        <r>
          <rPr>
            <sz val="9"/>
            <color indexed="81"/>
            <rFont val="Tahoma"/>
            <family val="2"/>
          </rPr>
          <t xml:space="preserve">
проверити збир!
</t>
        </r>
      </text>
    </comment>
    <comment ref="I9040" authorId="0">
      <text>
        <r>
          <rPr>
            <b/>
            <sz val="9"/>
            <color indexed="81"/>
            <rFont val="Tahoma"/>
            <family val="2"/>
          </rPr>
          <t>LPA:</t>
        </r>
        <r>
          <rPr>
            <sz val="9"/>
            <color indexed="81"/>
            <rFont val="Tahoma"/>
            <family val="2"/>
          </rPr>
          <t xml:space="preserve">
проверити збир!
</t>
        </r>
      </text>
    </comment>
    <comment ref="I9041" authorId="0">
      <text>
        <r>
          <rPr>
            <b/>
            <sz val="9"/>
            <color indexed="81"/>
            <rFont val="Tahoma"/>
            <family val="2"/>
          </rPr>
          <t>LPA:</t>
        </r>
        <r>
          <rPr>
            <sz val="9"/>
            <color indexed="81"/>
            <rFont val="Tahoma"/>
            <family val="2"/>
          </rPr>
          <t xml:space="preserve">
проверити збир!
</t>
        </r>
      </text>
    </comment>
    <comment ref="I9042" authorId="0">
      <text>
        <r>
          <rPr>
            <b/>
            <sz val="9"/>
            <color indexed="81"/>
            <rFont val="Tahoma"/>
            <family val="2"/>
          </rPr>
          <t>LPA:</t>
        </r>
        <r>
          <rPr>
            <sz val="9"/>
            <color indexed="81"/>
            <rFont val="Tahoma"/>
            <family val="2"/>
          </rPr>
          <t xml:space="preserve">
проверити збир!
</t>
        </r>
      </text>
    </comment>
    <comment ref="I9043" authorId="0">
      <text>
        <r>
          <rPr>
            <b/>
            <sz val="9"/>
            <color indexed="81"/>
            <rFont val="Tahoma"/>
            <family val="2"/>
          </rPr>
          <t>LPA:</t>
        </r>
        <r>
          <rPr>
            <sz val="9"/>
            <color indexed="81"/>
            <rFont val="Tahoma"/>
            <family val="2"/>
          </rPr>
          <t xml:space="preserve">
проверити збир!
</t>
        </r>
      </text>
    </comment>
    <comment ref="I9044" authorId="0">
      <text>
        <r>
          <rPr>
            <b/>
            <sz val="9"/>
            <color indexed="81"/>
            <rFont val="Tahoma"/>
            <family val="2"/>
          </rPr>
          <t>LPA:</t>
        </r>
        <r>
          <rPr>
            <sz val="9"/>
            <color indexed="81"/>
            <rFont val="Tahoma"/>
            <family val="2"/>
          </rPr>
          <t xml:space="preserve">
проверити збир!
</t>
        </r>
      </text>
    </comment>
    <comment ref="I9045" authorId="0">
      <text>
        <r>
          <rPr>
            <b/>
            <sz val="9"/>
            <color indexed="81"/>
            <rFont val="Tahoma"/>
            <family val="2"/>
          </rPr>
          <t>LPA:</t>
        </r>
        <r>
          <rPr>
            <sz val="9"/>
            <color indexed="81"/>
            <rFont val="Tahoma"/>
            <family val="2"/>
          </rPr>
          <t xml:space="preserve">
проверити збир!
</t>
        </r>
      </text>
    </comment>
    <comment ref="I9046" authorId="0">
      <text>
        <r>
          <rPr>
            <b/>
            <sz val="9"/>
            <color indexed="81"/>
            <rFont val="Tahoma"/>
            <family val="2"/>
          </rPr>
          <t>LPA:</t>
        </r>
        <r>
          <rPr>
            <sz val="9"/>
            <color indexed="81"/>
            <rFont val="Tahoma"/>
            <family val="2"/>
          </rPr>
          <t xml:space="preserve">
проверити збир!
</t>
        </r>
      </text>
    </comment>
    <comment ref="I9047" authorId="0">
      <text>
        <r>
          <rPr>
            <b/>
            <sz val="9"/>
            <color indexed="81"/>
            <rFont val="Tahoma"/>
            <family val="2"/>
          </rPr>
          <t>LPA:</t>
        </r>
        <r>
          <rPr>
            <sz val="9"/>
            <color indexed="81"/>
            <rFont val="Tahoma"/>
            <family val="2"/>
          </rPr>
          <t xml:space="preserve">
проверити збир!
</t>
        </r>
      </text>
    </comment>
    <comment ref="I9048" authorId="0">
      <text>
        <r>
          <rPr>
            <b/>
            <sz val="9"/>
            <color indexed="81"/>
            <rFont val="Tahoma"/>
            <family val="2"/>
          </rPr>
          <t>LPA:</t>
        </r>
        <r>
          <rPr>
            <sz val="9"/>
            <color indexed="81"/>
            <rFont val="Tahoma"/>
            <family val="2"/>
          </rPr>
          <t xml:space="preserve">
проверити збир!
</t>
        </r>
      </text>
    </comment>
    <comment ref="I9049" authorId="0">
      <text>
        <r>
          <rPr>
            <b/>
            <sz val="9"/>
            <color indexed="81"/>
            <rFont val="Tahoma"/>
            <family val="2"/>
          </rPr>
          <t>LPA:</t>
        </r>
        <r>
          <rPr>
            <sz val="9"/>
            <color indexed="81"/>
            <rFont val="Tahoma"/>
            <family val="2"/>
          </rPr>
          <t xml:space="preserve">
проверити збир!
</t>
        </r>
      </text>
    </comment>
    <comment ref="I9050" authorId="0">
      <text>
        <r>
          <rPr>
            <b/>
            <sz val="9"/>
            <color indexed="81"/>
            <rFont val="Tahoma"/>
            <family val="2"/>
          </rPr>
          <t>LPA:</t>
        </r>
        <r>
          <rPr>
            <sz val="9"/>
            <color indexed="81"/>
            <rFont val="Tahoma"/>
            <family val="2"/>
          </rPr>
          <t xml:space="preserve">
проверити збир!
</t>
        </r>
      </text>
    </comment>
    <comment ref="I9119" authorId="0">
      <text>
        <r>
          <rPr>
            <b/>
            <sz val="9"/>
            <color indexed="81"/>
            <rFont val="Tahoma"/>
            <family val="2"/>
          </rPr>
          <t>LPA:</t>
        </r>
        <r>
          <rPr>
            <sz val="9"/>
            <color indexed="81"/>
            <rFont val="Tahoma"/>
            <family val="2"/>
          </rPr>
          <t xml:space="preserve">
проверити збир!
</t>
        </r>
      </text>
    </comment>
    <comment ref="I9120" authorId="0">
      <text>
        <r>
          <rPr>
            <b/>
            <sz val="9"/>
            <color indexed="81"/>
            <rFont val="Tahoma"/>
            <family val="2"/>
          </rPr>
          <t>LPA:</t>
        </r>
        <r>
          <rPr>
            <sz val="9"/>
            <color indexed="81"/>
            <rFont val="Tahoma"/>
            <family val="2"/>
          </rPr>
          <t xml:space="preserve">
проверити збир!
</t>
        </r>
      </text>
    </comment>
    <comment ref="I9121" authorId="0">
      <text>
        <r>
          <rPr>
            <b/>
            <sz val="9"/>
            <color indexed="81"/>
            <rFont val="Tahoma"/>
            <family val="2"/>
          </rPr>
          <t>LPA:</t>
        </r>
        <r>
          <rPr>
            <sz val="9"/>
            <color indexed="81"/>
            <rFont val="Tahoma"/>
            <family val="2"/>
          </rPr>
          <t xml:space="preserve">
проверити збир!
</t>
        </r>
      </text>
    </comment>
    <comment ref="I9122" authorId="0">
      <text>
        <r>
          <rPr>
            <b/>
            <sz val="9"/>
            <color indexed="81"/>
            <rFont val="Tahoma"/>
            <family val="2"/>
          </rPr>
          <t>LPA:</t>
        </r>
        <r>
          <rPr>
            <sz val="9"/>
            <color indexed="81"/>
            <rFont val="Tahoma"/>
            <family val="2"/>
          </rPr>
          <t xml:space="preserve">
проверити збир!
</t>
        </r>
      </text>
    </comment>
    <comment ref="I9123" authorId="0">
      <text>
        <r>
          <rPr>
            <b/>
            <sz val="9"/>
            <color indexed="81"/>
            <rFont val="Tahoma"/>
            <family val="2"/>
          </rPr>
          <t>LPA:</t>
        </r>
        <r>
          <rPr>
            <sz val="9"/>
            <color indexed="81"/>
            <rFont val="Tahoma"/>
            <family val="2"/>
          </rPr>
          <t xml:space="preserve">
проверити збир!
</t>
        </r>
      </text>
    </comment>
    <comment ref="I9124" authorId="0">
      <text>
        <r>
          <rPr>
            <b/>
            <sz val="9"/>
            <color indexed="81"/>
            <rFont val="Tahoma"/>
            <family val="2"/>
          </rPr>
          <t>LPA:</t>
        </r>
        <r>
          <rPr>
            <sz val="9"/>
            <color indexed="81"/>
            <rFont val="Tahoma"/>
            <family val="2"/>
          </rPr>
          <t xml:space="preserve">
проверити збир!
</t>
        </r>
      </text>
    </comment>
    <comment ref="I9125" authorId="0">
      <text>
        <r>
          <rPr>
            <b/>
            <sz val="9"/>
            <color indexed="81"/>
            <rFont val="Tahoma"/>
            <family val="2"/>
          </rPr>
          <t>LPA:</t>
        </r>
        <r>
          <rPr>
            <sz val="9"/>
            <color indexed="81"/>
            <rFont val="Tahoma"/>
            <family val="2"/>
          </rPr>
          <t xml:space="preserve">
проверити збир!
</t>
        </r>
      </text>
    </comment>
    <comment ref="I9126" authorId="0">
      <text>
        <r>
          <rPr>
            <b/>
            <sz val="9"/>
            <color indexed="81"/>
            <rFont val="Tahoma"/>
            <family val="2"/>
          </rPr>
          <t>LPA:</t>
        </r>
        <r>
          <rPr>
            <sz val="9"/>
            <color indexed="81"/>
            <rFont val="Tahoma"/>
            <family val="2"/>
          </rPr>
          <t xml:space="preserve">
проверити збир!
</t>
        </r>
      </text>
    </comment>
    <comment ref="I9127" authorId="0">
      <text>
        <r>
          <rPr>
            <b/>
            <sz val="9"/>
            <color indexed="81"/>
            <rFont val="Tahoma"/>
            <family val="2"/>
          </rPr>
          <t>LPA:</t>
        </r>
        <r>
          <rPr>
            <sz val="9"/>
            <color indexed="81"/>
            <rFont val="Tahoma"/>
            <family val="2"/>
          </rPr>
          <t xml:space="preserve">
проверити збир!
</t>
        </r>
      </text>
    </comment>
    <comment ref="I9128" authorId="0">
      <text>
        <r>
          <rPr>
            <b/>
            <sz val="9"/>
            <color indexed="81"/>
            <rFont val="Tahoma"/>
            <family val="2"/>
          </rPr>
          <t>LPA:</t>
        </r>
        <r>
          <rPr>
            <sz val="9"/>
            <color indexed="81"/>
            <rFont val="Tahoma"/>
            <family val="2"/>
          </rPr>
          <t xml:space="preserve">
проверити збир!
</t>
        </r>
      </text>
    </comment>
    <comment ref="I9129" authorId="0">
      <text>
        <r>
          <rPr>
            <b/>
            <sz val="9"/>
            <color indexed="81"/>
            <rFont val="Tahoma"/>
            <family val="2"/>
          </rPr>
          <t>LPA:</t>
        </r>
        <r>
          <rPr>
            <sz val="9"/>
            <color indexed="81"/>
            <rFont val="Tahoma"/>
            <family val="2"/>
          </rPr>
          <t xml:space="preserve">
проверити збир!
</t>
        </r>
      </text>
    </comment>
    <comment ref="I9130" authorId="0">
      <text>
        <r>
          <rPr>
            <b/>
            <sz val="9"/>
            <color indexed="81"/>
            <rFont val="Tahoma"/>
            <family val="2"/>
          </rPr>
          <t>LPA:</t>
        </r>
        <r>
          <rPr>
            <sz val="9"/>
            <color indexed="81"/>
            <rFont val="Tahoma"/>
            <family val="2"/>
          </rPr>
          <t xml:space="preserve">
проверити збир!
</t>
        </r>
      </text>
    </comment>
    <comment ref="I9131" authorId="0">
      <text>
        <r>
          <rPr>
            <b/>
            <sz val="9"/>
            <color indexed="81"/>
            <rFont val="Tahoma"/>
            <family val="2"/>
          </rPr>
          <t>LPA:</t>
        </r>
        <r>
          <rPr>
            <sz val="9"/>
            <color indexed="81"/>
            <rFont val="Tahoma"/>
            <family val="2"/>
          </rPr>
          <t xml:space="preserve">
проверити збир!
</t>
        </r>
      </text>
    </comment>
    <comment ref="H9134" authorId="0">
      <text>
        <r>
          <rPr>
            <b/>
            <sz val="9"/>
            <color indexed="81"/>
            <rFont val="Tahoma"/>
            <family val="2"/>
          </rPr>
          <t>LPA:</t>
        </r>
        <r>
          <rPr>
            <sz val="9"/>
            <color indexed="81"/>
            <rFont val="Tahoma"/>
            <family val="2"/>
          </rPr>
          <t xml:space="preserve">
проверити збир!</t>
        </r>
      </text>
    </comment>
    <comment ref="I9134" authorId="0">
      <text>
        <r>
          <rPr>
            <b/>
            <sz val="9"/>
            <color indexed="81"/>
            <rFont val="Tahoma"/>
            <family val="2"/>
          </rPr>
          <t>LPA:</t>
        </r>
        <r>
          <rPr>
            <sz val="9"/>
            <color indexed="81"/>
            <rFont val="Tahoma"/>
            <family val="2"/>
          </rPr>
          <t xml:space="preserve">
проверити збир!</t>
        </r>
      </text>
    </comment>
    <comment ref="I9135" authorId="0">
      <text>
        <r>
          <rPr>
            <b/>
            <sz val="9"/>
            <color indexed="81"/>
            <rFont val="Tahoma"/>
            <family val="2"/>
          </rPr>
          <t>LPA:</t>
        </r>
        <r>
          <rPr>
            <sz val="9"/>
            <color indexed="81"/>
            <rFont val="Tahoma"/>
            <family val="2"/>
          </rPr>
          <t xml:space="preserve">
проверити збир!
</t>
        </r>
      </text>
    </comment>
    <comment ref="I9136" authorId="0">
      <text>
        <r>
          <rPr>
            <b/>
            <sz val="9"/>
            <color indexed="81"/>
            <rFont val="Tahoma"/>
            <family val="2"/>
          </rPr>
          <t>LPA:</t>
        </r>
        <r>
          <rPr>
            <sz val="9"/>
            <color indexed="81"/>
            <rFont val="Tahoma"/>
            <family val="2"/>
          </rPr>
          <t xml:space="preserve">
проверити збир!
</t>
        </r>
      </text>
    </comment>
    <comment ref="I9137" authorId="0">
      <text>
        <r>
          <rPr>
            <b/>
            <sz val="9"/>
            <color indexed="81"/>
            <rFont val="Tahoma"/>
            <family val="2"/>
          </rPr>
          <t>LPA:</t>
        </r>
        <r>
          <rPr>
            <sz val="9"/>
            <color indexed="81"/>
            <rFont val="Tahoma"/>
            <family val="2"/>
          </rPr>
          <t xml:space="preserve">
проверити збир!
</t>
        </r>
      </text>
    </comment>
    <comment ref="I9138" authorId="0">
      <text>
        <r>
          <rPr>
            <b/>
            <sz val="9"/>
            <color indexed="81"/>
            <rFont val="Tahoma"/>
            <family val="2"/>
          </rPr>
          <t>LPA:</t>
        </r>
        <r>
          <rPr>
            <sz val="9"/>
            <color indexed="81"/>
            <rFont val="Tahoma"/>
            <family val="2"/>
          </rPr>
          <t xml:space="preserve">
проверити збир!
</t>
        </r>
      </text>
    </comment>
    <comment ref="I9139" authorId="0">
      <text>
        <r>
          <rPr>
            <b/>
            <sz val="9"/>
            <color indexed="81"/>
            <rFont val="Tahoma"/>
            <family val="2"/>
          </rPr>
          <t>LPA:</t>
        </r>
        <r>
          <rPr>
            <sz val="9"/>
            <color indexed="81"/>
            <rFont val="Tahoma"/>
            <family val="2"/>
          </rPr>
          <t xml:space="preserve">
проверити збир!
</t>
        </r>
      </text>
    </comment>
    <comment ref="I9140" authorId="0">
      <text>
        <r>
          <rPr>
            <b/>
            <sz val="9"/>
            <color indexed="81"/>
            <rFont val="Tahoma"/>
            <family val="2"/>
          </rPr>
          <t>LPA:</t>
        </r>
        <r>
          <rPr>
            <sz val="9"/>
            <color indexed="81"/>
            <rFont val="Tahoma"/>
            <family val="2"/>
          </rPr>
          <t xml:space="preserve">
проверити збир!
</t>
        </r>
      </text>
    </comment>
    <comment ref="I9141" authorId="0">
      <text>
        <r>
          <rPr>
            <b/>
            <sz val="9"/>
            <color indexed="81"/>
            <rFont val="Tahoma"/>
            <family val="2"/>
          </rPr>
          <t>LPA:</t>
        </r>
        <r>
          <rPr>
            <sz val="9"/>
            <color indexed="81"/>
            <rFont val="Tahoma"/>
            <family val="2"/>
          </rPr>
          <t xml:space="preserve">
проверити збир!
</t>
        </r>
      </text>
    </comment>
    <comment ref="I9142" authorId="0">
      <text>
        <r>
          <rPr>
            <b/>
            <sz val="9"/>
            <color indexed="81"/>
            <rFont val="Tahoma"/>
            <family val="2"/>
          </rPr>
          <t>LPA:</t>
        </r>
        <r>
          <rPr>
            <sz val="9"/>
            <color indexed="81"/>
            <rFont val="Tahoma"/>
            <family val="2"/>
          </rPr>
          <t xml:space="preserve">
проверити збир!
</t>
        </r>
      </text>
    </comment>
    <comment ref="I9143" authorId="0">
      <text>
        <r>
          <rPr>
            <b/>
            <sz val="9"/>
            <color indexed="81"/>
            <rFont val="Tahoma"/>
            <family val="2"/>
          </rPr>
          <t>LPA:</t>
        </r>
        <r>
          <rPr>
            <sz val="9"/>
            <color indexed="81"/>
            <rFont val="Tahoma"/>
            <family val="2"/>
          </rPr>
          <t xml:space="preserve">
проверити збир!
</t>
        </r>
      </text>
    </comment>
    <comment ref="I9144" authorId="0">
      <text>
        <r>
          <rPr>
            <b/>
            <sz val="9"/>
            <color indexed="81"/>
            <rFont val="Tahoma"/>
            <family val="2"/>
          </rPr>
          <t>LPA:</t>
        </r>
        <r>
          <rPr>
            <sz val="9"/>
            <color indexed="81"/>
            <rFont val="Tahoma"/>
            <family val="2"/>
          </rPr>
          <t xml:space="preserve">
проверити збир!
</t>
        </r>
      </text>
    </comment>
    <comment ref="I9145" authorId="0">
      <text>
        <r>
          <rPr>
            <b/>
            <sz val="9"/>
            <color indexed="81"/>
            <rFont val="Tahoma"/>
            <family val="2"/>
          </rPr>
          <t>LPA:</t>
        </r>
        <r>
          <rPr>
            <sz val="9"/>
            <color indexed="81"/>
            <rFont val="Tahoma"/>
            <family val="2"/>
          </rPr>
          <t xml:space="preserve">
проверити збир!
</t>
        </r>
      </text>
    </comment>
    <comment ref="I9146" authorId="0">
      <text>
        <r>
          <rPr>
            <b/>
            <sz val="9"/>
            <color indexed="81"/>
            <rFont val="Tahoma"/>
            <family val="2"/>
          </rPr>
          <t>LPA:</t>
        </r>
        <r>
          <rPr>
            <sz val="9"/>
            <color indexed="81"/>
            <rFont val="Tahoma"/>
            <family val="2"/>
          </rPr>
          <t xml:space="preserve">
проверити збир!
</t>
        </r>
      </text>
    </comment>
    <comment ref="I9147" authorId="0">
      <text>
        <r>
          <rPr>
            <b/>
            <sz val="9"/>
            <color indexed="81"/>
            <rFont val="Tahoma"/>
            <family val="2"/>
          </rPr>
          <t>LPA:</t>
        </r>
        <r>
          <rPr>
            <sz val="9"/>
            <color indexed="81"/>
            <rFont val="Tahoma"/>
            <family val="2"/>
          </rPr>
          <t xml:space="preserve">
проверити збир!
</t>
        </r>
      </text>
    </comment>
    <comment ref="I9148" authorId="0">
      <text>
        <r>
          <rPr>
            <b/>
            <sz val="9"/>
            <color indexed="81"/>
            <rFont val="Tahoma"/>
            <family val="2"/>
          </rPr>
          <t>LPA:</t>
        </r>
        <r>
          <rPr>
            <sz val="9"/>
            <color indexed="81"/>
            <rFont val="Tahoma"/>
            <family val="2"/>
          </rPr>
          <t xml:space="preserve">
проверити збир!
</t>
        </r>
      </text>
    </comment>
    <comment ref="I9149" authorId="0">
      <text>
        <r>
          <rPr>
            <b/>
            <sz val="9"/>
            <color indexed="81"/>
            <rFont val="Tahoma"/>
            <family val="2"/>
          </rPr>
          <t>LPA:</t>
        </r>
        <r>
          <rPr>
            <sz val="9"/>
            <color indexed="81"/>
            <rFont val="Tahoma"/>
            <family val="2"/>
          </rPr>
          <t xml:space="preserve">
проверити збир!
</t>
        </r>
      </text>
    </comment>
    <comment ref="I9218" authorId="0">
      <text>
        <r>
          <rPr>
            <b/>
            <sz val="9"/>
            <color indexed="81"/>
            <rFont val="Tahoma"/>
            <family val="2"/>
          </rPr>
          <t>LPA:</t>
        </r>
        <r>
          <rPr>
            <sz val="9"/>
            <color indexed="81"/>
            <rFont val="Tahoma"/>
            <family val="2"/>
          </rPr>
          <t xml:space="preserve">
проверити збир!
</t>
        </r>
      </text>
    </comment>
    <comment ref="I9219" authorId="0">
      <text>
        <r>
          <rPr>
            <b/>
            <sz val="9"/>
            <color indexed="81"/>
            <rFont val="Tahoma"/>
            <family val="2"/>
          </rPr>
          <t>LPA:</t>
        </r>
        <r>
          <rPr>
            <sz val="9"/>
            <color indexed="81"/>
            <rFont val="Tahoma"/>
            <family val="2"/>
          </rPr>
          <t xml:space="preserve">
проверити збир!
</t>
        </r>
      </text>
    </comment>
    <comment ref="I9220" authorId="0">
      <text>
        <r>
          <rPr>
            <b/>
            <sz val="9"/>
            <color indexed="81"/>
            <rFont val="Tahoma"/>
            <family val="2"/>
          </rPr>
          <t>LPA:</t>
        </r>
        <r>
          <rPr>
            <sz val="9"/>
            <color indexed="81"/>
            <rFont val="Tahoma"/>
            <family val="2"/>
          </rPr>
          <t xml:space="preserve">
проверити збир!
</t>
        </r>
      </text>
    </comment>
    <comment ref="I9221" authorId="0">
      <text>
        <r>
          <rPr>
            <b/>
            <sz val="9"/>
            <color indexed="81"/>
            <rFont val="Tahoma"/>
            <family val="2"/>
          </rPr>
          <t>LPA:</t>
        </r>
        <r>
          <rPr>
            <sz val="9"/>
            <color indexed="81"/>
            <rFont val="Tahoma"/>
            <family val="2"/>
          </rPr>
          <t xml:space="preserve">
проверити збир!
</t>
        </r>
      </text>
    </comment>
    <comment ref="I9222" authorId="0">
      <text>
        <r>
          <rPr>
            <b/>
            <sz val="9"/>
            <color indexed="81"/>
            <rFont val="Tahoma"/>
            <family val="2"/>
          </rPr>
          <t>LPA:</t>
        </r>
        <r>
          <rPr>
            <sz val="9"/>
            <color indexed="81"/>
            <rFont val="Tahoma"/>
            <family val="2"/>
          </rPr>
          <t xml:space="preserve">
проверити збир!
</t>
        </r>
      </text>
    </comment>
    <comment ref="I9223" authorId="0">
      <text>
        <r>
          <rPr>
            <b/>
            <sz val="9"/>
            <color indexed="81"/>
            <rFont val="Tahoma"/>
            <family val="2"/>
          </rPr>
          <t>LPA:</t>
        </r>
        <r>
          <rPr>
            <sz val="9"/>
            <color indexed="81"/>
            <rFont val="Tahoma"/>
            <family val="2"/>
          </rPr>
          <t xml:space="preserve">
проверити збир!
</t>
        </r>
      </text>
    </comment>
    <comment ref="I9224" authorId="0">
      <text>
        <r>
          <rPr>
            <b/>
            <sz val="9"/>
            <color indexed="81"/>
            <rFont val="Tahoma"/>
            <family val="2"/>
          </rPr>
          <t>LPA:</t>
        </r>
        <r>
          <rPr>
            <sz val="9"/>
            <color indexed="81"/>
            <rFont val="Tahoma"/>
            <family val="2"/>
          </rPr>
          <t xml:space="preserve">
проверити збир!
</t>
        </r>
      </text>
    </comment>
    <comment ref="I9225" authorId="0">
      <text>
        <r>
          <rPr>
            <b/>
            <sz val="9"/>
            <color indexed="81"/>
            <rFont val="Tahoma"/>
            <family val="2"/>
          </rPr>
          <t>LPA:</t>
        </r>
        <r>
          <rPr>
            <sz val="9"/>
            <color indexed="81"/>
            <rFont val="Tahoma"/>
            <family val="2"/>
          </rPr>
          <t xml:space="preserve">
проверити збир!
</t>
        </r>
      </text>
    </comment>
    <comment ref="I9226" authorId="0">
      <text>
        <r>
          <rPr>
            <b/>
            <sz val="9"/>
            <color indexed="81"/>
            <rFont val="Tahoma"/>
            <family val="2"/>
          </rPr>
          <t>LPA:</t>
        </r>
        <r>
          <rPr>
            <sz val="9"/>
            <color indexed="81"/>
            <rFont val="Tahoma"/>
            <family val="2"/>
          </rPr>
          <t xml:space="preserve">
проверити збир!
</t>
        </r>
      </text>
    </comment>
    <comment ref="I9227" authorId="0">
      <text>
        <r>
          <rPr>
            <b/>
            <sz val="9"/>
            <color indexed="81"/>
            <rFont val="Tahoma"/>
            <family val="2"/>
          </rPr>
          <t>LPA:</t>
        </r>
        <r>
          <rPr>
            <sz val="9"/>
            <color indexed="81"/>
            <rFont val="Tahoma"/>
            <family val="2"/>
          </rPr>
          <t xml:space="preserve">
проверити збир!
</t>
        </r>
      </text>
    </comment>
    <comment ref="I9228" authorId="0">
      <text>
        <r>
          <rPr>
            <b/>
            <sz val="9"/>
            <color indexed="81"/>
            <rFont val="Tahoma"/>
            <family val="2"/>
          </rPr>
          <t>LPA:</t>
        </r>
        <r>
          <rPr>
            <sz val="9"/>
            <color indexed="81"/>
            <rFont val="Tahoma"/>
            <family val="2"/>
          </rPr>
          <t xml:space="preserve">
проверити збир!
</t>
        </r>
      </text>
    </comment>
    <comment ref="I9229" authorId="0">
      <text>
        <r>
          <rPr>
            <b/>
            <sz val="9"/>
            <color indexed="81"/>
            <rFont val="Tahoma"/>
            <family val="2"/>
          </rPr>
          <t>LPA:</t>
        </r>
        <r>
          <rPr>
            <sz val="9"/>
            <color indexed="81"/>
            <rFont val="Tahoma"/>
            <family val="2"/>
          </rPr>
          <t xml:space="preserve">
проверити збир!
</t>
        </r>
      </text>
    </comment>
    <comment ref="I9230" authorId="0">
      <text>
        <r>
          <rPr>
            <b/>
            <sz val="9"/>
            <color indexed="81"/>
            <rFont val="Tahoma"/>
            <family val="2"/>
          </rPr>
          <t>LPA:</t>
        </r>
        <r>
          <rPr>
            <sz val="9"/>
            <color indexed="81"/>
            <rFont val="Tahoma"/>
            <family val="2"/>
          </rPr>
          <t xml:space="preserve">
проверити збир!
</t>
        </r>
      </text>
    </comment>
    <comment ref="H9233" authorId="0">
      <text>
        <r>
          <rPr>
            <b/>
            <sz val="9"/>
            <color indexed="81"/>
            <rFont val="Tahoma"/>
            <family val="2"/>
          </rPr>
          <t>LPA:</t>
        </r>
        <r>
          <rPr>
            <sz val="9"/>
            <color indexed="81"/>
            <rFont val="Tahoma"/>
            <family val="2"/>
          </rPr>
          <t xml:space="preserve">
проверити збир!</t>
        </r>
      </text>
    </comment>
    <comment ref="I9233" authorId="0">
      <text>
        <r>
          <rPr>
            <b/>
            <sz val="9"/>
            <color indexed="81"/>
            <rFont val="Tahoma"/>
            <family val="2"/>
          </rPr>
          <t>LPA:</t>
        </r>
        <r>
          <rPr>
            <sz val="9"/>
            <color indexed="81"/>
            <rFont val="Tahoma"/>
            <family val="2"/>
          </rPr>
          <t xml:space="preserve">
проверити збир!</t>
        </r>
      </text>
    </comment>
    <comment ref="I9234" authorId="0">
      <text>
        <r>
          <rPr>
            <b/>
            <sz val="9"/>
            <color indexed="81"/>
            <rFont val="Tahoma"/>
            <family val="2"/>
          </rPr>
          <t>LPA:</t>
        </r>
        <r>
          <rPr>
            <sz val="9"/>
            <color indexed="81"/>
            <rFont val="Tahoma"/>
            <family val="2"/>
          </rPr>
          <t xml:space="preserve">
проверити збир!
</t>
        </r>
      </text>
    </comment>
    <comment ref="I9235" authorId="0">
      <text>
        <r>
          <rPr>
            <b/>
            <sz val="9"/>
            <color indexed="81"/>
            <rFont val="Tahoma"/>
            <family val="2"/>
          </rPr>
          <t>LPA:</t>
        </r>
        <r>
          <rPr>
            <sz val="9"/>
            <color indexed="81"/>
            <rFont val="Tahoma"/>
            <family val="2"/>
          </rPr>
          <t xml:space="preserve">
проверити збир!
</t>
        </r>
      </text>
    </comment>
    <comment ref="I9236" authorId="0">
      <text>
        <r>
          <rPr>
            <b/>
            <sz val="9"/>
            <color indexed="81"/>
            <rFont val="Tahoma"/>
            <family val="2"/>
          </rPr>
          <t>LPA:</t>
        </r>
        <r>
          <rPr>
            <sz val="9"/>
            <color indexed="81"/>
            <rFont val="Tahoma"/>
            <family val="2"/>
          </rPr>
          <t xml:space="preserve">
проверити збир!
</t>
        </r>
      </text>
    </comment>
    <comment ref="I9237" authorId="0">
      <text>
        <r>
          <rPr>
            <b/>
            <sz val="9"/>
            <color indexed="81"/>
            <rFont val="Tahoma"/>
            <family val="2"/>
          </rPr>
          <t>LPA:</t>
        </r>
        <r>
          <rPr>
            <sz val="9"/>
            <color indexed="81"/>
            <rFont val="Tahoma"/>
            <family val="2"/>
          </rPr>
          <t xml:space="preserve">
проверити збир!
</t>
        </r>
      </text>
    </comment>
    <comment ref="I9238" authorId="0">
      <text>
        <r>
          <rPr>
            <b/>
            <sz val="9"/>
            <color indexed="81"/>
            <rFont val="Tahoma"/>
            <family val="2"/>
          </rPr>
          <t>LPA:</t>
        </r>
        <r>
          <rPr>
            <sz val="9"/>
            <color indexed="81"/>
            <rFont val="Tahoma"/>
            <family val="2"/>
          </rPr>
          <t xml:space="preserve">
проверити збир!
</t>
        </r>
      </text>
    </comment>
    <comment ref="I9239" authorId="0">
      <text>
        <r>
          <rPr>
            <b/>
            <sz val="9"/>
            <color indexed="81"/>
            <rFont val="Tahoma"/>
            <family val="2"/>
          </rPr>
          <t>LPA:</t>
        </r>
        <r>
          <rPr>
            <sz val="9"/>
            <color indexed="81"/>
            <rFont val="Tahoma"/>
            <family val="2"/>
          </rPr>
          <t xml:space="preserve">
проверити збир!
</t>
        </r>
      </text>
    </comment>
    <comment ref="I9240" authorId="0">
      <text>
        <r>
          <rPr>
            <b/>
            <sz val="9"/>
            <color indexed="81"/>
            <rFont val="Tahoma"/>
            <family val="2"/>
          </rPr>
          <t>LPA:</t>
        </r>
        <r>
          <rPr>
            <sz val="9"/>
            <color indexed="81"/>
            <rFont val="Tahoma"/>
            <family val="2"/>
          </rPr>
          <t xml:space="preserve">
проверити збир!
</t>
        </r>
      </text>
    </comment>
    <comment ref="I9241" authorId="0">
      <text>
        <r>
          <rPr>
            <b/>
            <sz val="9"/>
            <color indexed="81"/>
            <rFont val="Tahoma"/>
            <family val="2"/>
          </rPr>
          <t>LPA:</t>
        </r>
        <r>
          <rPr>
            <sz val="9"/>
            <color indexed="81"/>
            <rFont val="Tahoma"/>
            <family val="2"/>
          </rPr>
          <t xml:space="preserve">
проверити збир!
</t>
        </r>
      </text>
    </comment>
    <comment ref="I9242" authorId="0">
      <text>
        <r>
          <rPr>
            <b/>
            <sz val="9"/>
            <color indexed="81"/>
            <rFont val="Tahoma"/>
            <family val="2"/>
          </rPr>
          <t>LPA:</t>
        </r>
        <r>
          <rPr>
            <sz val="9"/>
            <color indexed="81"/>
            <rFont val="Tahoma"/>
            <family val="2"/>
          </rPr>
          <t xml:space="preserve">
проверити збир!
</t>
        </r>
      </text>
    </comment>
    <comment ref="I9243" authorId="0">
      <text>
        <r>
          <rPr>
            <b/>
            <sz val="9"/>
            <color indexed="81"/>
            <rFont val="Tahoma"/>
            <family val="2"/>
          </rPr>
          <t>LPA:</t>
        </r>
        <r>
          <rPr>
            <sz val="9"/>
            <color indexed="81"/>
            <rFont val="Tahoma"/>
            <family val="2"/>
          </rPr>
          <t xml:space="preserve">
проверити збир!
</t>
        </r>
      </text>
    </comment>
    <comment ref="I9244" authorId="0">
      <text>
        <r>
          <rPr>
            <b/>
            <sz val="9"/>
            <color indexed="81"/>
            <rFont val="Tahoma"/>
            <family val="2"/>
          </rPr>
          <t>LPA:</t>
        </r>
        <r>
          <rPr>
            <sz val="9"/>
            <color indexed="81"/>
            <rFont val="Tahoma"/>
            <family val="2"/>
          </rPr>
          <t xml:space="preserve">
проверити збир!
</t>
        </r>
      </text>
    </comment>
    <comment ref="I9245" authorId="0">
      <text>
        <r>
          <rPr>
            <b/>
            <sz val="9"/>
            <color indexed="81"/>
            <rFont val="Tahoma"/>
            <family val="2"/>
          </rPr>
          <t>LPA:</t>
        </r>
        <r>
          <rPr>
            <sz val="9"/>
            <color indexed="81"/>
            <rFont val="Tahoma"/>
            <family val="2"/>
          </rPr>
          <t xml:space="preserve">
проверити збир!
</t>
        </r>
      </text>
    </comment>
    <comment ref="I9246" authorId="0">
      <text>
        <r>
          <rPr>
            <b/>
            <sz val="9"/>
            <color indexed="81"/>
            <rFont val="Tahoma"/>
            <family val="2"/>
          </rPr>
          <t>LPA:</t>
        </r>
        <r>
          <rPr>
            <sz val="9"/>
            <color indexed="81"/>
            <rFont val="Tahoma"/>
            <family val="2"/>
          </rPr>
          <t xml:space="preserve">
проверити збир!
</t>
        </r>
      </text>
    </comment>
    <comment ref="I9247" authorId="0">
      <text>
        <r>
          <rPr>
            <b/>
            <sz val="9"/>
            <color indexed="81"/>
            <rFont val="Tahoma"/>
            <family val="2"/>
          </rPr>
          <t>LPA:</t>
        </r>
        <r>
          <rPr>
            <sz val="9"/>
            <color indexed="81"/>
            <rFont val="Tahoma"/>
            <family val="2"/>
          </rPr>
          <t xml:space="preserve">
проверити збир!
</t>
        </r>
      </text>
    </comment>
    <comment ref="I9248" authorId="0">
      <text>
        <r>
          <rPr>
            <b/>
            <sz val="9"/>
            <color indexed="81"/>
            <rFont val="Tahoma"/>
            <family val="2"/>
          </rPr>
          <t>LPA:</t>
        </r>
        <r>
          <rPr>
            <sz val="9"/>
            <color indexed="81"/>
            <rFont val="Tahoma"/>
            <family val="2"/>
          </rPr>
          <t xml:space="preserve">
проверити збир!
</t>
        </r>
      </text>
    </comment>
    <comment ref="H9252" authorId="0">
      <text>
        <r>
          <rPr>
            <b/>
            <sz val="9"/>
            <color indexed="81"/>
            <rFont val="Tahoma"/>
            <family val="2"/>
          </rPr>
          <t>LPA:</t>
        </r>
        <r>
          <rPr>
            <sz val="9"/>
            <color indexed="81"/>
            <rFont val="Tahoma"/>
            <family val="2"/>
          </rPr>
          <t xml:space="preserve">
проверити збир!</t>
        </r>
      </text>
    </comment>
    <comment ref="I9252" authorId="0">
      <text>
        <r>
          <rPr>
            <b/>
            <sz val="9"/>
            <color indexed="81"/>
            <rFont val="Tahoma"/>
            <family val="2"/>
          </rPr>
          <t>LPA:</t>
        </r>
        <r>
          <rPr>
            <sz val="9"/>
            <color indexed="81"/>
            <rFont val="Tahoma"/>
            <family val="2"/>
          </rPr>
          <t xml:space="preserve">
проверити збир!
</t>
        </r>
      </text>
    </comment>
    <comment ref="I9253" authorId="0">
      <text>
        <r>
          <rPr>
            <b/>
            <sz val="9"/>
            <color indexed="81"/>
            <rFont val="Tahoma"/>
            <family val="2"/>
          </rPr>
          <t>LPA:</t>
        </r>
        <r>
          <rPr>
            <sz val="9"/>
            <color indexed="81"/>
            <rFont val="Tahoma"/>
            <family val="2"/>
          </rPr>
          <t xml:space="preserve">
проверити збир!
</t>
        </r>
      </text>
    </comment>
    <comment ref="I9254" authorId="0">
      <text>
        <r>
          <rPr>
            <b/>
            <sz val="9"/>
            <color indexed="81"/>
            <rFont val="Tahoma"/>
            <family val="2"/>
          </rPr>
          <t>LPA:</t>
        </r>
        <r>
          <rPr>
            <sz val="9"/>
            <color indexed="81"/>
            <rFont val="Tahoma"/>
            <family val="2"/>
          </rPr>
          <t xml:space="preserve">
проверити збир!
</t>
        </r>
      </text>
    </comment>
    <comment ref="I9255" authorId="0">
      <text>
        <r>
          <rPr>
            <b/>
            <sz val="9"/>
            <color indexed="81"/>
            <rFont val="Tahoma"/>
            <family val="2"/>
          </rPr>
          <t>LPA:</t>
        </r>
        <r>
          <rPr>
            <sz val="9"/>
            <color indexed="81"/>
            <rFont val="Tahoma"/>
            <family val="2"/>
          </rPr>
          <t xml:space="preserve">
проверити збир!
</t>
        </r>
      </text>
    </comment>
    <comment ref="I9256" authorId="0">
      <text>
        <r>
          <rPr>
            <b/>
            <sz val="9"/>
            <color indexed="81"/>
            <rFont val="Tahoma"/>
            <family val="2"/>
          </rPr>
          <t>LPA:</t>
        </r>
        <r>
          <rPr>
            <sz val="9"/>
            <color indexed="81"/>
            <rFont val="Tahoma"/>
            <family val="2"/>
          </rPr>
          <t xml:space="preserve">
проверити збир!
</t>
        </r>
      </text>
    </comment>
    <comment ref="I9257" authorId="0">
      <text>
        <r>
          <rPr>
            <b/>
            <sz val="9"/>
            <color indexed="81"/>
            <rFont val="Tahoma"/>
            <family val="2"/>
          </rPr>
          <t>LPA:</t>
        </r>
        <r>
          <rPr>
            <sz val="9"/>
            <color indexed="81"/>
            <rFont val="Tahoma"/>
            <family val="2"/>
          </rPr>
          <t xml:space="preserve">
проверити збир!
</t>
        </r>
      </text>
    </comment>
    <comment ref="I9258" authorId="0">
      <text>
        <r>
          <rPr>
            <b/>
            <sz val="9"/>
            <color indexed="81"/>
            <rFont val="Tahoma"/>
            <family val="2"/>
          </rPr>
          <t>LPA:</t>
        </r>
        <r>
          <rPr>
            <sz val="9"/>
            <color indexed="81"/>
            <rFont val="Tahoma"/>
            <family val="2"/>
          </rPr>
          <t xml:space="preserve">
проверити збир!
</t>
        </r>
      </text>
    </comment>
    <comment ref="I9259" authorId="0">
      <text>
        <r>
          <rPr>
            <b/>
            <sz val="9"/>
            <color indexed="81"/>
            <rFont val="Tahoma"/>
            <family val="2"/>
          </rPr>
          <t>LPA:</t>
        </r>
        <r>
          <rPr>
            <sz val="9"/>
            <color indexed="81"/>
            <rFont val="Tahoma"/>
            <family val="2"/>
          </rPr>
          <t xml:space="preserve">
проверити збир!
</t>
        </r>
      </text>
    </comment>
    <comment ref="I9260" authorId="0">
      <text>
        <r>
          <rPr>
            <b/>
            <sz val="9"/>
            <color indexed="81"/>
            <rFont val="Tahoma"/>
            <family val="2"/>
          </rPr>
          <t>LPA:</t>
        </r>
        <r>
          <rPr>
            <sz val="9"/>
            <color indexed="81"/>
            <rFont val="Tahoma"/>
            <family val="2"/>
          </rPr>
          <t xml:space="preserve">
проверити збир!
</t>
        </r>
      </text>
    </comment>
    <comment ref="I9261" authorId="0">
      <text>
        <r>
          <rPr>
            <b/>
            <sz val="9"/>
            <color indexed="81"/>
            <rFont val="Tahoma"/>
            <family val="2"/>
          </rPr>
          <t>LPA:</t>
        </r>
        <r>
          <rPr>
            <sz val="9"/>
            <color indexed="81"/>
            <rFont val="Tahoma"/>
            <family val="2"/>
          </rPr>
          <t xml:space="preserve">
проверити збир!
</t>
        </r>
      </text>
    </comment>
    <comment ref="I9262" authorId="0">
      <text>
        <r>
          <rPr>
            <b/>
            <sz val="9"/>
            <color indexed="81"/>
            <rFont val="Tahoma"/>
            <family val="2"/>
          </rPr>
          <t>LPA:</t>
        </r>
        <r>
          <rPr>
            <sz val="9"/>
            <color indexed="81"/>
            <rFont val="Tahoma"/>
            <family val="2"/>
          </rPr>
          <t xml:space="preserve">
проверити збир!
</t>
        </r>
      </text>
    </comment>
    <comment ref="I9263" authorId="0">
      <text>
        <r>
          <rPr>
            <b/>
            <sz val="9"/>
            <color indexed="81"/>
            <rFont val="Tahoma"/>
            <family val="2"/>
          </rPr>
          <t>LPA:</t>
        </r>
        <r>
          <rPr>
            <sz val="9"/>
            <color indexed="81"/>
            <rFont val="Tahoma"/>
            <family val="2"/>
          </rPr>
          <t xml:space="preserve">
проверити збир!
</t>
        </r>
      </text>
    </comment>
    <comment ref="I9264" authorId="0">
      <text>
        <r>
          <rPr>
            <b/>
            <sz val="9"/>
            <color indexed="81"/>
            <rFont val="Tahoma"/>
            <family val="2"/>
          </rPr>
          <t>LPA:</t>
        </r>
        <r>
          <rPr>
            <sz val="9"/>
            <color indexed="81"/>
            <rFont val="Tahoma"/>
            <family val="2"/>
          </rPr>
          <t xml:space="preserve">
проверити збир!
</t>
        </r>
      </text>
    </comment>
    <comment ref="I9265" authorId="0">
      <text>
        <r>
          <rPr>
            <b/>
            <sz val="9"/>
            <color indexed="81"/>
            <rFont val="Tahoma"/>
            <family val="2"/>
          </rPr>
          <t>LPA:</t>
        </r>
        <r>
          <rPr>
            <sz val="9"/>
            <color indexed="81"/>
            <rFont val="Tahoma"/>
            <family val="2"/>
          </rPr>
          <t xml:space="preserve">
проверити збир!
</t>
        </r>
      </text>
    </comment>
    <comment ref="I9266" authorId="0">
      <text>
        <r>
          <rPr>
            <b/>
            <sz val="9"/>
            <color indexed="81"/>
            <rFont val="Tahoma"/>
            <family val="2"/>
          </rPr>
          <t>LPA:</t>
        </r>
        <r>
          <rPr>
            <sz val="9"/>
            <color indexed="81"/>
            <rFont val="Tahoma"/>
            <family val="2"/>
          </rPr>
          <t xml:space="preserve">
проверити збир!
</t>
        </r>
      </text>
    </comment>
    <comment ref="I9267" authorId="0">
      <text>
        <r>
          <rPr>
            <b/>
            <sz val="9"/>
            <color indexed="81"/>
            <rFont val="Tahoma"/>
            <family val="2"/>
          </rPr>
          <t>LPA:</t>
        </r>
        <r>
          <rPr>
            <sz val="9"/>
            <color indexed="81"/>
            <rFont val="Tahoma"/>
            <family val="2"/>
          </rPr>
          <t xml:space="preserve">
проверити збир!
</t>
        </r>
      </text>
    </comment>
    <comment ref="H9271" authorId="0">
      <text>
        <r>
          <rPr>
            <b/>
            <sz val="9"/>
            <color indexed="81"/>
            <rFont val="Tahoma"/>
            <family val="2"/>
          </rPr>
          <t>LPA:</t>
        </r>
        <r>
          <rPr>
            <sz val="9"/>
            <color indexed="81"/>
            <rFont val="Tahoma"/>
            <family val="2"/>
          </rPr>
          <t xml:space="preserve">
провери збир!</t>
        </r>
      </text>
    </comment>
    <comment ref="I9271" authorId="0">
      <text>
        <r>
          <rPr>
            <b/>
            <sz val="9"/>
            <color indexed="81"/>
            <rFont val="Tahoma"/>
            <family val="2"/>
          </rPr>
          <t>LPA:</t>
        </r>
        <r>
          <rPr>
            <sz val="9"/>
            <color indexed="81"/>
            <rFont val="Tahoma"/>
            <family val="2"/>
          </rPr>
          <t xml:space="preserve">
проверити збир!
</t>
        </r>
      </text>
    </comment>
    <comment ref="I9272" authorId="0">
      <text>
        <r>
          <rPr>
            <b/>
            <sz val="9"/>
            <color indexed="81"/>
            <rFont val="Tahoma"/>
            <family val="2"/>
          </rPr>
          <t>LPA:</t>
        </r>
        <r>
          <rPr>
            <sz val="9"/>
            <color indexed="81"/>
            <rFont val="Tahoma"/>
            <family val="2"/>
          </rPr>
          <t xml:space="preserve">
проверити збир!
</t>
        </r>
      </text>
    </comment>
    <comment ref="I9273" authorId="0">
      <text>
        <r>
          <rPr>
            <b/>
            <sz val="9"/>
            <color indexed="81"/>
            <rFont val="Tahoma"/>
            <family val="2"/>
          </rPr>
          <t>LPA:</t>
        </r>
        <r>
          <rPr>
            <sz val="9"/>
            <color indexed="81"/>
            <rFont val="Tahoma"/>
            <family val="2"/>
          </rPr>
          <t xml:space="preserve">
проверити збир!
</t>
        </r>
      </text>
    </comment>
    <comment ref="I9274" authorId="0">
      <text>
        <r>
          <rPr>
            <b/>
            <sz val="9"/>
            <color indexed="81"/>
            <rFont val="Tahoma"/>
            <family val="2"/>
          </rPr>
          <t>LPA:</t>
        </r>
        <r>
          <rPr>
            <sz val="9"/>
            <color indexed="81"/>
            <rFont val="Tahoma"/>
            <family val="2"/>
          </rPr>
          <t xml:space="preserve">
проверити збир!
</t>
        </r>
      </text>
    </comment>
    <comment ref="I9275" authorId="0">
      <text>
        <r>
          <rPr>
            <b/>
            <sz val="9"/>
            <color indexed="81"/>
            <rFont val="Tahoma"/>
            <family val="2"/>
          </rPr>
          <t>LPA:</t>
        </r>
        <r>
          <rPr>
            <sz val="9"/>
            <color indexed="81"/>
            <rFont val="Tahoma"/>
            <family val="2"/>
          </rPr>
          <t xml:space="preserve">
проверити збир!
</t>
        </r>
      </text>
    </comment>
    <comment ref="I9276" authorId="0">
      <text>
        <r>
          <rPr>
            <b/>
            <sz val="9"/>
            <color indexed="81"/>
            <rFont val="Tahoma"/>
            <family val="2"/>
          </rPr>
          <t>LPA:</t>
        </r>
        <r>
          <rPr>
            <sz val="9"/>
            <color indexed="81"/>
            <rFont val="Tahoma"/>
            <family val="2"/>
          </rPr>
          <t xml:space="preserve">
проверити збир!
</t>
        </r>
      </text>
    </comment>
    <comment ref="I9277" authorId="0">
      <text>
        <r>
          <rPr>
            <b/>
            <sz val="9"/>
            <color indexed="81"/>
            <rFont val="Tahoma"/>
            <family val="2"/>
          </rPr>
          <t>LPA:</t>
        </r>
        <r>
          <rPr>
            <sz val="9"/>
            <color indexed="81"/>
            <rFont val="Tahoma"/>
            <family val="2"/>
          </rPr>
          <t xml:space="preserve">
проверити збир!
</t>
        </r>
      </text>
    </comment>
    <comment ref="I9278" authorId="0">
      <text>
        <r>
          <rPr>
            <b/>
            <sz val="9"/>
            <color indexed="81"/>
            <rFont val="Tahoma"/>
            <family val="2"/>
          </rPr>
          <t>LPA:</t>
        </r>
        <r>
          <rPr>
            <sz val="9"/>
            <color indexed="81"/>
            <rFont val="Tahoma"/>
            <family val="2"/>
          </rPr>
          <t xml:space="preserve">
проверити збир!
</t>
        </r>
      </text>
    </comment>
    <comment ref="I9279" authorId="0">
      <text>
        <r>
          <rPr>
            <b/>
            <sz val="9"/>
            <color indexed="81"/>
            <rFont val="Tahoma"/>
            <family val="2"/>
          </rPr>
          <t>LPA:</t>
        </r>
        <r>
          <rPr>
            <sz val="9"/>
            <color indexed="81"/>
            <rFont val="Tahoma"/>
            <family val="2"/>
          </rPr>
          <t xml:space="preserve">
проверити збир!
</t>
        </r>
      </text>
    </comment>
    <comment ref="I9280" authorId="0">
      <text>
        <r>
          <rPr>
            <b/>
            <sz val="9"/>
            <color indexed="81"/>
            <rFont val="Tahoma"/>
            <family val="2"/>
          </rPr>
          <t>LPA:</t>
        </r>
        <r>
          <rPr>
            <sz val="9"/>
            <color indexed="81"/>
            <rFont val="Tahoma"/>
            <family val="2"/>
          </rPr>
          <t xml:space="preserve">
проверити збир!
</t>
        </r>
      </text>
    </comment>
    <comment ref="I9281" authorId="0">
      <text>
        <r>
          <rPr>
            <b/>
            <sz val="9"/>
            <color indexed="81"/>
            <rFont val="Tahoma"/>
            <family val="2"/>
          </rPr>
          <t>LPA:</t>
        </r>
        <r>
          <rPr>
            <sz val="9"/>
            <color indexed="81"/>
            <rFont val="Tahoma"/>
            <family val="2"/>
          </rPr>
          <t xml:space="preserve">
проверити збир!
</t>
        </r>
      </text>
    </comment>
    <comment ref="I9282" authorId="0">
      <text>
        <r>
          <rPr>
            <b/>
            <sz val="9"/>
            <color indexed="81"/>
            <rFont val="Tahoma"/>
            <family val="2"/>
          </rPr>
          <t>LPA:</t>
        </r>
        <r>
          <rPr>
            <sz val="9"/>
            <color indexed="81"/>
            <rFont val="Tahoma"/>
            <family val="2"/>
          </rPr>
          <t xml:space="preserve">
проверити збир!
</t>
        </r>
      </text>
    </comment>
    <comment ref="I9283" authorId="0">
      <text>
        <r>
          <rPr>
            <b/>
            <sz val="9"/>
            <color indexed="81"/>
            <rFont val="Tahoma"/>
            <family val="2"/>
          </rPr>
          <t>LPA:</t>
        </r>
        <r>
          <rPr>
            <sz val="9"/>
            <color indexed="81"/>
            <rFont val="Tahoma"/>
            <family val="2"/>
          </rPr>
          <t xml:space="preserve">
проверити збир!
</t>
        </r>
      </text>
    </comment>
    <comment ref="I9284" authorId="0">
      <text>
        <r>
          <rPr>
            <b/>
            <sz val="9"/>
            <color indexed="81"/>
            <rFont val="Tahoma"/>
            <family val="2"/>
          </rPr>
          <t>LPA:</t>
        </r>
        <r>
          <rPr>
            <sz val="9"/>
            <color indexed="81"/>
            <rFont val="Tahoma"/>
            <family val="2"/>
          </rPr>
          <t xml:space="preserve">
проверити збир!
</t>
        </r>
      </text>
    </comment>
    <comment ref="I9285" authorId="0">
      <text>
        <r>
          <rPr>
            <b/>
            <sz val="9"/>
            <color indexed="81"/>
            <rFont val="Tahoma"/>
            <family val="2"/>
          </rPr>
          <t>LPA:</t>
        </r>
        <r>
          <rPr>
            <sz val="9"/>
            <color indexed="81"/>
            <rFont val="Tahoma"/>
            <family val="2"/>
          </rPr>
          <t xml:space="preserve">
проверити збир!
</t>
        </r>
      </text>
    </comment>
    <comment ref="I9286" authorId="0">
      <text>
        <r>
          <rPr>
            <b/>
            <sz val="9"/>
            <color indexed="81"/>
            <rFont val="Tahoma"/>
            <family val="2"/>
          </rPr>
          <t>LPA:</t>
        </r>
        <r>
          <rPr>
            <sz val="9"/>
            <color indexed="81"/>
            <rFont val="Tahoma"/>
            <family val="2"/>
          </rPr>
          <t xml:space="preserve">
проверити збир!
</t>
        </r>
      </text>
    </comment>
    <comment ref="I9358" authorId="0">
      <text>
        <r>
          <rPr>
            <b/>
            <sz val="9"/>
            <color indexed="81"/>
            <rFont val="Tahoma"/>
            <family val="2"/>
          </rPr>
          <t>LPA:</t>
        </r>
        <r>
          <rPr>
            <sz val="9"/>
            <color indexed="81"/>
            <rFont val="Tahoma"/>
            <family val="2"/>
          </rPr>
          <t xml:space="preserve">
проверити збир!
</t>
        </r>
      </text>
    </comment>
    <comment ref="I9359" authorId="0">
      <text>
        <r>
          <rPr>
            <b/>
            <sz val="9"/>
            <color indexed="81"/>
            <rFont val="Tahoma"/>
            <family val="2"/>
          </rPr>
          <t>LPA:</t>
        </r>
        <r>
          <rPr>
            <sz val="9"/>
            <color indexed="81"/>
            <rFont val="Tahoma"/>
            <family val="2"/>
          </rPr>
          <t xml:space="preserve">
проверити збир!
</t>
        </r>
      </text>
    </comment>
    <comment ref="I9360" authorId="0">
      <text>
        <r>
          <rPr>
            <b/>
            <sz val="9"/>
            <color indexed="81"/>
            <rFont val="Tahoma"/>
            <family val="2"/>
          </rPr>
          <t>LPA:</t>
        </r>
        <r>
          <rPr>
            <sz val="9"/>
            <color indexed="81"/>
            <rFont val="Tahoma"/>
            <family val="2"/>
          </rPr>
          <t xml:space="preserve">
проверити збир!
</t>
        </r>
      </text>
    </comment>
    <comment ref="I9361" authorId="0">
      <text>
        <r>
          <rPr>
            <b/>
            <sz val="9"/>
            <color indexed="81"/>
            <rFont val="Tahoma"/>
            <family val="2"/>
          </rPr>
          <t>LPA:</t>
        </r>
        <r>
          <rPr>
            <sz val="9"/>
            <color indexed="81"/>
            <rFont val="Tahoma"/>
            <family val="2"/>
          </rPr>
          <t xml:space="preserve">
проверити збир!
</t>
        </r>
      </text>
    </comment>
    <comment ref="I9362" authorId="0">
      <text>
        <r>
          <rPr>
            <b/>
            <sz val="9"/>
            <color indexed="81"/>
            <rFont val="Tahoma"/>
            <family val="2"/>
          </rPr>
          <t>LPA:</t>
        </r>
        <r>
          <rPr>
            <sz val="9"/>
            <color indexed="81"/>
            <rFont val="Tahoma"/>
            <family val="2"/>
          </rPr>
          <t xml:space="preserve">
проверити збир!
</t>
        </r>
      </text>
    </comment>
    <comment ref="I9363" authorId="0">
      <text>
        <r>
          <rPr>
            <b/>
            <sz val="9"/>
            <color indexed="81"/>
            <rFont val="Tahoma"/>
            <family val="2"/>
          </rPr>
          <t>LPA:</t>
        </r>
        <r>
          <rPr>
            <sz val="9"/>
            <color indexed="81"/>
            <rFont val="Tahoma"/>
            <family val="2"/>
          </rPr>
          <t xml:space="preserve">
проверити збир!
</t>
        </r>
      </text>
    </comment>
    <comment ref="I9364" authorId="0">
      <text>
        <r>
          <rPr>
            <b/>
            <sz val="9"/>
            <color indexed="81"/>
            <rFont val="Tahoma"/>
            <family val="2"/>
          </rPr>
          <t>LPA:</t>
        </r>
        <r>
          <rPr>
            <sz val="9"/>
            <color indexed="81"/>
            <rFont val="Tahoma"/>
            <family val="2"/>
          </rPr>
          <t xml:space="preserve">
проверити збир!
</t>
        </r>
      </text>
    </comment>
    <comment ref="I9365" authorId="0">
      <text>
        <r>
          <rPr>
            <b/>
            <sz val="9"/>
            <color indexed="81"/>
            <rFont val="Tahoma"/>
            <family val="2"/>
          </rPr>
          <t>LPA:</t>
        </r>
        <r>
          <rPr>
            <sz val="9"/>
            <color indexed="81"/>
            <rFont val="Tahoma"/>
            <family val="2"/>
          </rPr>
          <t xml:space="preserve">
проверити збир!
</t>
        </r>
      </text>
    </comment>
    <comment ref="I9366" authorId="0">
      <text>
        <r>
          <rPr>
            <b/>
            <sz val="9"/>
            <color indexed="81"/>
            <rFont val="Tahoma"/>
            <family val="2"/>
          </rPr>
          <t>LPA:</t>
        </r>
        <r>
          <rPr>
            <sz val="9"/>
            <color indexed="81"/>
            <rFont val="Tahoma"/>
            <family val="2"/>
          </rPr>
          <t xml:space="preserve">
проверити збир!
</t>
        </r>
      </text>
    </comment>
    <comment ref="I9367" authorId="0">
      <text>
        <r>
          <rPr>
            <b/>
            <sz val="9"/>
            <color indexed="81"/>
            <rFont val="Tahoma"/>
            <family val="2"/>
          </rPr>
          <t>LPA:</t>
        </r>
        <r>
          <rPr>
            <sz val="9"/>
            <color indexed="81"/>
            <rFont val="Tahoma"/>
            <family val="2"/>
          </rPr>
          <t xml:space="preserve">
проверити збир!
</t>
        </r>
      </text>
    </comment>
    <comment ref="I9368" authorId="0">
      <text>
        <r>
          <rPr>
            <b/>
            <sz val="9"/>
            <color indexed="81"/>
            <rFont val="Tahoma"/>
            <family val="2"/>
          </rPr>
          <t>LPA:</t>
        </r>
        <r>
          <rPr>
            <sz val="9"/>
            <color indexed="81"/>
            <rFont val="Tahoma"/>
            <family val="2"/>
          </rPr>
          <t xml:space="preserve">
проверити збир!
</t>
        </r>
      </text>
    </comment>
    <comment ref="I9369" authorId="0">
      <text>
        <r>
          <rPr>
            <b/>
            <sz val="9"/>
            <color indexed="81"/>
            <rFont val="Tahoma"/>
            <family val="2"/>
          </rPr>
          <t>LPA:</t>
        </r>
        <r>
          <rPr>
            <sz val="9"/>
            <color indexed="81"/>
            <rFont val="Tahoma"/>
            <family val="2"/>
          </rPr>
          <t xml:space="preserve">
проверити збир!
</t>
        </r>
      </text>
    </comment>
    <comment ref="I9370" authorId="0">
      <text>
        <r>
          <rPr>
            <b/>
            <sz val="9"/>
            <color indexed="81"/>
            <rFont val="Tahoma"/>
            <family val="2"/>
          </rPr>
          <t>LPA:</t>
        </r>
        <r>
          <rPr>
            <sz val="9"/>
            <color indexed="81"/>
            <rFont val="Tahoma"/>
            <family val="2"/>
          </rPr>
          <t xml:space="preserve">
проверити збир!
</t>
        </r>
      </text>
    </comment>
    <comment ref="H9373" authorId="0">
      <text>
        <r>
          <rPr>
            <b/>
            <sz val="9"/>
            <color indexed="81"/>
            <rFont val="Tahoma"/>
            <family val="2"/>
          </rPr>
          <t>LPA:</t>
        </r>
        <r>
          <rPr>
            <sz val="9"/>
            <color indexed="81"/>
            <rFont val="Tahoma"/>
            <family val="2"/>
          </rPr>
          <t xml:space="preserve">
проверити збир!</t>
        </r>
      </text>
    </comment>
    <comment ref="I9373" authorId="0">
      <text>
        <r>
          <rPr>
            <b/>
            <sz val="9"/>
            <color indexed="81"/>
            <rFont val="Tahoma"/>
            <family val="2"/>
          </rPr>
          <t>LPA:</t>
        </r>
        <r>
          <rPr>
            <sz val="9"/>
            <color indexed="81"/>
            <rFont val="Tahoma"/>
            <family val="2"/>
          </rPr>
          <t xml:space="preserve">
проверити збир!</t>
        </r>
      </text>
    </comment>
    <comment ref="I9374" authorId="0">
      <text>
        <r>
          <rPr>
            <b/>
            <sz val="9"/>
            <color indexed="81"/>
            <rFont val="Tahoma"/>
            <family val="2"/>
          </rPr>
          <t>LPA:</t>
        </r>
        <r>
          <rPr>
            <sz val="9"/>
            <color indexed="81"/>
            <rFont val="Tahoma"/>
            <family val="2"/>
          </rPr>
          <t xml:space="preserve">
проверити збир!
</t>
        </r>
      </text>
    </comment>
    <comment ref="I9375" authorId="0">
      <text>
        <r>
          <rPr>
            <b/>
            <sz val="9"/>
            <color indexed="81"/>
            <rFont val="Tahoma"/>
            <family val="2"/>
          </rPr>
          <t>LPA:</t>
        </r>
        <r>
          <rPr>
            <sz val="9"/>
            <color indexed="81"/>
            <rFont val="Tahoma"/>
            <family val="2"/>
          </rPr>
          <t xml:space="preserve">
проверити збир!
</t>
        </r>
      </text>
    </comment>
    <comment ref="I9376" authorId="0">
      <text>
        <r>
          <rPr>
            <b/>
            <sz val="9"/>
            <color indexed="81"/>
            <rFont val="Tahoma"/>
            <family val="2"/>
          </rPr>
          <t>LPA:</t>
        </r>
        <r>
          <rPr>
            <sz val="9"/>
            <color indexed="81"/>
            <rFont val="Tahoma"/>
            <family val="2"/>
          </rPr>
          <t xml:space="preserve">
проверити збир!
</t>
        </r>
      </text>
    </comment>
    <comment ref="I9377" authorId="0">
      <text>
        <r>
          <rPr>
            <b/>
            <sz val="9"/>
            <color indexed="81"/>
            <rFont val="Tahoma"/>
            <family val="2"/>
          </rPr>
          <t>LPA:</t>
        </r>
        <r>
          <rPr>
            <sz val="9"/>
            <color indexed="81"/>
            <rFont val="Tahoma"/>
            <family val="2"/>
          </rPr>
          <t xml:space="preserve">
проверити збир!
</t>
        </r>
      </text>
    </comment>
    <comment ref="I9378" authorId="0">
      <text>
        <r>
          <rPr>
            <b/>
            <sz val="9"/>
            <color indexed="81"/>
            <rFont val="Tahoma"/>
            <family val="2"/>
          </rPr>
          <t>LPA:</t>
        </r>
        <r>
          <rPr>
            <sz val="9"/>
            <color indexed="81"/>
            <rFont val="Tahoma"/>
            <family val="2"/>
          </rPr>
          <t xml:space="preserve">
проверити збир!
</t>
        </r>
      </text>
    </comment>
    <comment ref="I9379" authorId="0">
      <text>
        <r>
          <rPr>
            <b/>
            <sz val="9"/>
            <color indexed="81"/>
            <rFont val="Tahoma"/>
            <family val="2"/>
          </rPr>
          <t>LPA:</t>
        </r>
        <r>
          <rPr>
            <sz val="9"/>
            <color indexed="81"/>
            <rFont val="Tahoma"/>
            <family val="2"/>
          </rPr>
          <t xml:space="preserve">
проверити збир!
</t>
        </r>
      </text>
    </comment>
    <comment ref="I9380" authorId="0">
      <text>
        <r>
          <rPr>
            <b/>
            <sz val="9"/>
            <color indexed="81"/>
            <rFont val="Tahoma"/>
            <family val="2"/>
          </rPr>
          <t>LPA:</t>
        </r>
        <r>
          <rPr>
            <sz val="9"/>
            <color indexed="81"/>
            <rFont val="Tahoma"/>
            <family val="2"/>
          </rPr>
          <t xml:space="preserve">
проверити збир!
</t>
        </r>
      </text>
    </comment>
    <comment ref="I9381" authorId="0">
      <text>
        <r>
          <rPr>
            <b/>
            <sz val="9"/>
            <color indexed="81"/>
            <rFont val="Tahoma"/>
            <family val="2"/>
          </rPr>
          <t>LPA:</t>
        </r>
        <r>
          <rPr>
            <sz val="9"/>
            <color indexed="81"/>
            <rFont val="Tahoma"/>
            <family val="2"/>
          </rPr>
          <t xml:space="preserve">
проверити збир!
</t>
        </r>
      </text>
    </comment>
    <comment ref="I9382" authorId="0">
      <text>
        <r>
          <rPr>
            <b/>
            <sz val="9"/>
            <color indexed="81"/>
            <rFont val="Tahoma"/>
            <family val="2"/>
          </rPr>
          <t>LPA:</t>
        </r>
        <r>
          <rPr>
            <sz val="9"/>
            <color indexed="81"/>
            <rFont val="Tahoma"/>
            <family val="2"/>
          </rPr>
          <t xml:space="preserve">
проверити збир!
</t>
        </r>
      </text>
    </comment>
    <comment ref="I9383" authorId="0">
      <text>
        <r>
          <rPr>
            <b/>
            <sz val="9"/>
            <color indexed="81"/>
            <rFont val="Tahoma"/>
            <family val="2"/>
          </rPr>
          <t>LPA:</t>
        </r>
        <r>
          <rPr>
            <sz val="9"/>
            <color indexed="81"/>
            <rFont val="Tahoma"/>
            <family val="2"/>
          </rPr>
          <t xml:space="preserve">
проверити збир!
</t>
        </r>
      </text>
    </comment>
    <comment ref="I9384" authorId="0">
      <text>
        <r>
          <rPr>
            <b/>
            <sz val="9"/>
            <color indexed="81"/>
            <rFont val="Tahoma"/>
            <family val="2"/>
          </rPr>
          <t>LPA:</t>
        </r>
        <r>
          <rPr>
            <sz val="9"/>
            <color indexed="81"/>
            <rFont val="Tahoma"/>
            <family val="2"/>
          </rPr>
          <t xml:space="preserve">
проверити збир!
</t>
        </r>
      </text>
    </comment>
    <comment ref="I9385" authorId="0">
      <text>
        <r>
          <rPr>
            <b/>
            <sz val="9"/>
            <color indexed="81"/>
            <rFont val="Tahoma"/>
            <family val="2"/>
          </rPr>
          <t>LPA:</t>
        </r>
        <r>
          <rPr>
            <sz val="9"/>
            <color indexed="81"/>
            <rFont val="Tahoma"/>
            <family val="2"/>
          </rPr>
          <t xml:space="preserve">
проверити збир!
</t>
        </r>
      </text>
    </comment>
    <comment ref="I9386" authorId="0">
      <text>
        <r>
          <rPr>
            <b/>
            <sz val="9"/>
            <color indexed="81"/>
            <rFont val="Tahoma"/>
            <family val="2"/>
          </rPr>
          <t>LPA:</t>
        </r>
        <r>
          <rPr>
            <sz val="9"/>
            <color indexed="81"/>
            <rFont val="Tahoma"/>
            <family val="2"/>
          </rPr>
          <t xml:space="preserve">
проверити збир!
</t>
        </r>
      </text>
    </comment>
    <comment ref="I9387" authorId="0">
      <text>
        <r>
          <rPr>
            <b/>
            <sz val="9"/>
            <color indexed="81"/>
            <rFont val="Tahoma"/>
            <family val="2"/>
          </rPr>
          <t>LPA:</t>
        </r>
        <r>
          <rPr>
            <sz val="9"/>
            <color indexed="81"/>
            <rFont val="Tahoma"/>
            <family val="2"/>
          </rPr>
          <t xml:space="preserve">
проверити збир!
</t>
        </r>
      </text>
    </comment>
    <comment ref="I9388" authorId="0">
      <text>
        <r>
          <rPr>
            <b/>
            <sz val="9"/>
            <color indexed="81"/>
            <rFont val="Tahoma"/>
            <family val="2"/>
          </rPr>
          <t>LPA:</t>
        </r>
        <r>
          <rPr>
            <sz val="9"/>
            <color indexed="81"/>
            <rFont val="Tahoma"/>
            <family val="2"/>
          </rPr>
          <t xml:space="preserve">
проверити збир!
</t>
        </r>
      </text>
    </comment>
    <comment ref="I9457" authorId="0">
      <text>
        <r>
          <rPr>
            <b/>
            <sz val="9"/>
            <color indexed="81"/>
            <rFont val="Tahoma"/>
            <family val="2"/>
          </rPr>
          <t>LPA:</t>
        </r>
        <r>
          <rPr>
            <sz val="9"/>
            <color indexed="81"/>
            <rFont val="Tahoma"/>
            <family val="2"/>
          </rPr>
          <t xml:space="preserve">
проверити збир!
</t>
        </r>
      </text>
    </comment>
    <comment ref="I9458" authorId="0">
      <text>
        <r>
          <rPr>
            <b/>
            <sz val="9"/>
            <color indexed="81"/>
            <rFont val="Tahoma"/>
            <family val="2"/>
          </rPr>
          <t>LPA:</t>
        </r>
        <r>
          <rPr>
            <sz val="9"/>
            <color indexed="81"/>
            <rFont val="Tahoma"/>
            <family val="2"/>
          </rPr>
          <t xml:space="preserve">
проверити збир!
</t>
        </r>
      </text>
    </comment>
    <comment ref="I9459" authorId="0">
      <text>
        <r>
          <rPr>
            <b/>
            <sz val="9"/>
            <color indexed="81"/>
            <rFont val="Tahoma"/>
            <family val="2"/>
          </rPr>
          <t>LPA:</t>
        </r>
        <r>
          <rPr>
            <sz val="9"/>
            <color indexed="81"/>
            <rFont val="Tahoma"/>
            <family val="2"/>
          </rPr>
          <t xml:space="preserve">
проверити збир!
</t>
        </r>
      </text>
    </comment>
    <comment ref="I9460" authorId="0">
      <text>
        <r>
          <rPr>
            <b/>
            <sz val="9"/>
            <color indexed="81"/>
            <rFont val="Tahoma"/>
            <family val="2"/>
          </rPr>
          <t>LPA:</t>
        </r>
        <r>
          <rPr>
            <sz val="9"/>
            <color indexed="81"/>
            <rFont val="Tahoma"/>
            <family val="2"/>
          </rPr>
          <t xml:space="preserve">
проверити збир!
</t>
        </r>
      </text>
    </comment>
    <comment ref="I9461" authorId="0">
      <text>
        <r>
          <rPr>
            <b/>
            <sz val="9"/>
            <color indexed="81"/>
            <rFont val="Tahoma"/>
            <family val="2"/>
          </rPr>
          <t>LPA:</t>
        </r>
        <r>
          <rPr>
            <sz val="9"/>
            <color indexed="81"/>
            <rFont val="Tahoma"/>
            <family val="2"/>
          </rPr>
          <t xml:space="preserve">
проверити збир!
</t>
        </r>
      </text>
    </comment>
    <comment ref="I9462" authorId="0">
      <text>
        <r>
          <rPr>
            <b/>
            <sz val="9"/>
            <color indexed="81"/>
            <rFont val="Tahoma"/>
            <family val="2"/>
          </rPr>
          <t>LPA:</t>
        </r>
        <r>
          <rPr>
            <sz val="9"/>
            <color indexed="81"/>
            <rFont val="Tahoma"/>
            <family val="2"/>
          </rPr>
          <t xml:space="preserve">
проверити збир!
</t>
        </r>
      </text>
    </comment>
    <comment ref="I9463" authorId="0">
      <text>
        <r>
          <rPr>
            <b/>
            <sz val="9"/>
            <color indexed="81"/>
            <rFont val="Tahoma"/>
            <family val="2"/>
          </rPr>
          <t>LPA:</t>
        </r>
        <r>
          <rPr>
            <sz val="9"/>
            <color indexed="81"/>
            <rFont val="Tahoma"/>
            <family val="2"/>
          </rPr>
          <t xml:space="preserve">
проверити збир!
</t>
        </r>
      </text>
    </comment>
    <comment ref="I9464" authorId="0">
      <text>
        <r>
          <rPr>
            <b/>
            <sz val="9"/>
            <color indexed="81"/>
            <rFont val="Tahoma"/>
            <family val="2"/>
          </rPr>
          <t>LPA:</t>
        </r>
        <r>
          <rPr>
            <sz val="9"/>
            <color indexed="81"/>
            <rFont val="Tahoma"/>
            <family val="2"/>
          </rPr>
          <t xml:space="preserve">
проверити збир!
</t>
        </r>
      </text>
    </comment>
    <comment ref="I9465" authorId="0">
      <text>
        <r>
          <rPr>
            <b/>
            <sz val="9"/>
            <color indexed="81"/>
            <rFont val="Tahoma"/>
            <family val="2"/>
          </rPr>
          <t>LPA:</t>
        </r>
        <r>
          <rPr>
            <sz val="9"/>
            <color indexed="81"/>
            <rFont val="Tahoma"/>
            <family val="2"/>
          </rPr>
          <t xml:space="preserve">
проверити збир!
</t>
        </r>
      </text>
    </comment>
    <comment ref="I9466" authorId="0">
      <text>
        <r>
          <rPr>
            <b/>
            <sz val="9"/>
            <color indexed="81"/>
            <rFont val="Tahoma"/>
            <family val="2"/>
          </rPr>
          <t>LPA:</t>
        </r>
        <r>
          <rPr>
            <sz val="9"/>
            <color indexed="81"/>
            <rFont val="Tahoma"/>
            <family val="2"/>
          </rPr>
          <t xml:space="preserve">
проверити збир!
</t>
        </r>
      </text>
    </comment>
    <comment ref="I9467" authorId="0">
      <text>
        <r>
          <rPr>
            <b/>
            <sz val="9"/>
            <color indexed="81"/>
            <rFont val="Tahoma"/>
            <family val="2"/>
          </rPr>
          <t>LPA:</t>
        </r>
        <r>
          <rPr>
            <sz val="9"/>
            <color indexed="81"/>
            <rFont val="Tahoma"/>
            <family val="2"/>
          </rPr>
          <t xml:space="preserve">
проверити збир!
</t>
        </r>
      </text>
    </comment>
    <comment ref="I9468" authorId="0">
      <text>
        <r>
          <rPr>
            <b/>
            <sz val="9"/>
            <color indexed="81"/>
            <rFont val="Tahoma"/>
            <family val="2"/>
          </rPr>
          <t>LPA:</t>
        </r>
        <r>
          <rPr>
            <sz val="9"/>
            <color indexed="81"/>
            <rFont val="Tahoma"/>
            <family val="2"/>
          </rPr>
          <t xml:space="preserve">
проверити збир!
</t>
        </r>
      </text>
    </comment>
    <comment ref="I9469" authorId="0">
      <text>
        <r>
          <rPr>
            <b/>
            <sz val="9"/>
            <color indexed="81"/>
            <rFont val="Tahoma"/>
            <family val="2"/>
          </rPr>
          <t>LPA:</t>
        </r>
        <r>
          <rPr>
            <sz val="9"/>
            <color indexed="81"/>
            <rFont val="Tahoma"/>
            <family val="2"/>
          </rPr>
          <t xml:space="preserve">
проверити збир!
</t>
        </r>
      </text>
    </comment>
    <comment ref="H9472" authorId="0">
      <text>
        <r>
          <rPr>
            <b/>
            <sz val="9"/>
            <color indexed="81"/>
            <rFont val="Tahoma"/>
            <family val="2"/>
          </rPr>
          <t>LPA:</t>
        </r>
        <r>
          <rPr>
            <sz val="9"/>
            <color indexed="81"/>
            <rFont val="Tahoma"/>
            <family val="2"/>
          </rPr>
          <t xml:space="preserve">
проверити збир!</t>
        </r>
      </text>
    </comment>
    <comment ref="I9472" authorId="0">
      <text>
        <r>
          <rPr>
            <b/>
            <sz val="9"/>
            <color indexed="81"/>
            <rFont val="Tahoma"/>
            <family val="2"/>
          </rPr>
          <t>LPA:</t>
        </r>
        <r>
          <rPr>
            <sz val="9"/>
            <color indexed="81"/>
            <rFont val="Tahoma"/>
            <family val="2"/>
          </rPr>
          <t xml:space="preserve">
проверити збир!</t>
        </r>
      </text>
    </comment>
    <comment ref="I9473" authorId="0">
      <text>
        <r>
          <rPr>
            <b/>
            <sz val="9"/>
            <color indexed="81"/>
            <rFont val="Tahoma"/>
            <family val="2"/>
          </rPr>
          <t>LPA:</t>
        </r>
        <r>
          <rPr>
            <sz val="9"/>
            <color indexed="81"/>
            <rFont val="Tahoma"/>
            <family val="2"/>
          </rPr>
          <t xml:space="preserve">
проверити збир!
</t>
        </r>
      </text>
    </comment>
    <comment ref="I9474" authorId="0">
      <text>
        <r>
          <rPr>
            <b/>
            <sz val="9"/>
            <color indexed="81"/>
            <rFont val="Tahoma"/>
            <family val="2"/>
          </rPr>
          <t>LPA:</t>
        </r>
        <r>
          <rPr>
            <sz val="9"/>
            <color indexed="81"/>
            <rFont val="Tahoma"/>
            <family val="2"/>
          </rPr>
          <t xml:space="preserve">
проверити збир!
</t>
        </r>
      </text>
    </comment>
    <comment ref="I9475" authorId="0">
      <text>
        <r>
          <rPr>
            <b/>
            <sz val="9"/>
            <color indexed="81"/>
            <rFont val="Tahoma"/>
            <family val="2"/>
          </rPr>
          <t>LPA:</t>
        </r>
        <r>
          <rPr>
            <sz val="9"/>
            <color indexed="81"/>
            <rFont val="Tahoma"/>
            <family val="2"/>
          </rPr>
          <t xml:space="preserve">
проверити збир!
</t>
        </r>
      </text>
    </comment>
    <comment ref="I9476" authorId="0">
      <text>
        <r>
          <rPr>
            <b/>
            <sz val="9"/>
            <color indexed="81"/>
            <rFont val="Tahoma"/>
            <family val="2"/>
          </rPr>
          <t>LPA:</t>
        </r>
        <r>
          <rPr>
            <sz val="9"/>
            <color indexed="81"/>
            <rFont val="Tahoma"/>
            <family val="2"/>
          </rPr>
          <t xml:space="preserve">
проверити збир!
</t>
        </r>
      </text>
    </comment>
    <comment ref="I9477" authorId="0">
      <text>
        <r>
          <rPr>
            <b/>
            <sz val="9"/>
            <color indexed="81"/>
            <rFont val="Tahoma"/>
            <family val="2"/>
          </rPr>
          <t>LPA:</t>
        </r>
        <r>
          <rPr>
            <sz val="9"/>
            <color indexed="81"/>
            <rFont val="Tahoma"/>
            <family val="2"/>
          </rPr>
          <t xml:space="preserve">
проверити збир!
</t>
        </r>
      </text>
    </comment>
    <comment ref="I9478" authorId="0">
      <text>
        <r>
          <rPr>
            <b/>
            <sz val="9"/>
            <color indexed="81"/>
            <rFont val="Tahoma"/>
            <family val="2"/>
          </rPr>
          <t>LPA:</t>
        </r>
        <r>
          <rPr>
            <sz val="9"/>
            <color indexed="81"/>
            <rFont val="Tahoma"/>
            <family val="2"/>
          </rPr>
          <t xml:space="preserve">
проверити збир!
</t>
        </r>
      </text>
    </comment>
    <comment ref="I9479" authorId="0">
      <text>
        <r>
          <rPr>
            <b/>
            <sz val="9"/>
            <color indexed="81"/>
            <rFont val="Tahoma"/>
            <family val="2"/>
          </rPr>
          <t>LPA:</t>
        </r>
        <r>
          <rPr>
            <sz val="9"/>
            <color indexed="81"/>
            <rFont val="Tahoma"/>
            <family val="2"/>
          </rPr>
          <t xml:space="preserve">
проверити збир!
</t>
        </r>
      </text>
    </comment>
    <comment ref="I9480" authorId="0">
      <text>
        <r>
          <rPr>
            <b/>
            <sz val="9"/>
            <color indexed="81"/>
            <rFont val="Tahoma"/>
            <family val="2"/>
          </rPr>
          <t>LPA:</t>
        </r>
        <r>
          <rPr>
            <sz val="9"/>
            <color indexed="81"/>
            <rFont val="Tahoma"/>
            <family val="2"/>
          </rPr>
          <t xml:space="preserve">
проверити збир!
</t>
        </r>
      </text>
    </comment>
    <comment ref="I9481" authorId="0">
      <text>
        <r>
          <rPr>
            <b/>
            <sz val="9"/>
            <color indexed="81"/>
            <rFont val="Tahoma"/>
            <family val="2"/>
          </rPr>
          <t>LPA:</t>
        </r>
        <r>
          <rPr>
            <sz val="9"/>
            <color indexed="81"/>
            <rFont val="Tahoma"/>
            <family val="2"/>
          </rPr>
          <t xml:space="preserve">
проверити збир!
</t>
        </r>
      </text>
    </comment>
    <comment ref="I9482" authorId="0">
      <text>
        <r>
          <rPr>
            <b/>
            <sz val="9"/>
            <color indexed="81"/>
            <rFont val="Tahoma"/>
            <family val="2"/>
          </rPr>
          <t>LPA:</t>
        </r>
        <r>
          <rPr>
            <sz val="9"/>
            <color indexed="81"/>
            <rFont val="Tahoma"/>
            <family val="2"/>
          </rPr>
          <t xml:space="preserve">
проверити збир!
</t>
        </r>
      </text>
    </comment>
    <comment ref="I9483" authorId="0">
      <text>
        <r>
          <rPr>
            <b/>
            <sz val="9"/>
            <color indexed="81"/>
            <rFont val="Tahoma"/>
            <family val="2"/>
          </rPr>
          <t>LPA:</t>
        </r>
        <r>
          <rPr>
            <sz val="9"/>
            <color indexed="81"/>
            <rFont val="Tahoma"/>
            <family val="2"/>
          </rPr>
          <t xml:space="preserve">
проверити збир!
</t>
        </r>
      </text>
    </comment>
    <comment ref="I9484" authorId="0">
      <text>
        <r>
          <rPr>
            <b/>
            <sz val="9"/>
            <color indexed="81"/>
            <rFont val="Tahoma"/>
            <family val="2"/>
          </rPr>
          <t>LPA:</t>
        </r>
        <r>
          <rPr>
            <sz val="9"/>
            <color indexed="81"/>
            <rFont val="Tahoma"/>
            <family val="2"/>
          </rPr>
          <t xml:space="preserve">
проверити збир!
</t>
        </r>
      </text>
    </comment>
    <comment ref="I9485" authorId="0">
      <text>
        <r>
          <rPr>
            <b/>
            <sz val="9"/>
            <color indexed="81"/>
            <rFont val="Tahoma"/>
            <family val="2"/>
          </rPr>
          <t>LPA:</t>
        </r>
        <r>
          <rPr>
            <sz val="9"/>
            <color indexed="81"/>
            <rFont val="Tahoma"/>
            <family val="2"/>
          </rPr>
          <t xml:space="preserve">
проверити збир!
</t>
        </r>
      </text>
    </comment>
    <comment ref="I9486" authorId="0">
      <text>
        <r>
          <rPr>
            <b/>
            <sz val="9"/>
            <color indexed="81"/>
            <rFont val="Tahoma"/>
            <family val="2"/>
          </rPr>
          <t>LPA:</t>
        </r>
        <r>
          <rPr>
            <sz val="9"/>
            <color indexed="81"/>
            <rFont val="Tahoma"/>
            <family val="2"/>
          </rPr>
          <t xml:space="preserve">
проверити збир!
</t>
        </r>
      </text>
    </comment>
    <comment ref="I9487" authorId="0">
      <text>
        <r>
          <rPr>
            <b/>
            <sz val="9"/>
            <color indexed="81"/>
            <rFont val="Tahoma"/>
            <family val="2"/>
          </rPr>
          <t>LPA:</t>
        </r>
        <r>
          <rPr>
            <sz val="9"/>
            <color indexed="81"/>
            <rFont val="Tahoma"/>
            <family val="2"/>
          </rPr>
          <t xml:space="preserve">
проверити збир!
</t>
        </r>
      </text>
    </comment>
    <comment ref="I9556" authorId="0">
      <text>
        <r>
          <rPr>
            <b/>
            <sz val="9"/>
            <color indexed="81"/>
            <rFont val="Tahoma"/>
            <family val="2"/>
          </rPr>
          <t>LPA:</t>
        </r>
        <r>
          <rPr>
            <sz val="9"/>
            <color indexed="81"/>
            <rFont val="Tahoma"/>
            <family val="2"/>
          </rPr>
          <t xml:space="preserve">
проверити збир!
</t>
        </r>
      </text>
    </comment>
    <comment ref="I9557" authorId="0">
      <text>
        <r>
          <rPr>
            <b/>
            <sz val="9"/>
            <color indexed="81"/>
            <rFont val="Tahoma"/>
            <family val="2"/>
          </rPr>
          <t>LPA:</t>
        </r>
        <r>
          <rPr>
            <sz val="9"/>
            <color indexed="81"/>
            <rFont val="Tahoma"/>
            <family val="2"/>
          </rPr>
          <t xml:space="preserve">
проверити збир!
</t>
        </r>
      </text>
    </comment>
    <comment ref="I9558" authorId="0">
      <text>
        <r>
          <rPr>
            <b/>
            <sz val="9"/>
            <color indexed="81"/>
            <rFont val="Tahoma"/>
            <family val="2"/>
          </rPr>
          <t>LPA:</t>
        </r>
        <r>
          <rPr>
            <sz val="9"/>
            <color indexed="81"/>
            <rFont val="Tahoma"/>
            <family val="2"/>
          </rPr>
          <t xml:space="preserve">
проверити збир!
</t>
        </r>
      </text>
    </comment>
    <comment ref="I9559" authorId="0">
      <text>
        <r>
          <rPr>
            <b/>
            <sz val="9"/>
            <color indexed="81"/>
            <rFont val="Tahoma"/>
            <family val="2"/>
          </rPr>
          <t>LPA:</t>
        </r>
        <r>
          <rPr>
            <sz val="9"/>
            <color indexed="81"/>
            <rFont val="Tahoma"/>
            <family val="2"/>
          </rPr>
          <t xml:space="preserve">
проверити збир!
</t>
        </r>
      </text>
    </comment>
    <comment ref="I9560" authorId="0">
      <text>
        <r>
          <rPr>
            <b/>
            <sz val="9"/>
            <color indexed="81"/>
            <rFont val="Tahoma"/>
            <family val="2"/>
          </rPr>
          <t>LPA:</t>
        </r>
        <r>
          <rPr>
            <sz val="9"/>
            <color indexed="81"/>
            <rFont val="Tahoma"/>
            <family val="2"/>
          </rPr>
          <t xml:space="preserve">
проверити збир!
</t>
        </r>
      </text>
    </comment>
    <comment ref="I9561" authorId="0">
      <text>
        <r>
          <rPr>
            <b/>
            <sz val="9"/>
            <color indexed="81"/>
            <rFont val="Tahoma"/>
            <family val="2"/>
          </rPr>
          <t>LPA:</t>
        </r>
        <r>
          <rPr>
            <sz val="9"/>
            <color indexed="81"/>
            <rFont val="Tahoma"/>
            <family val="2"/>
          </rPr>
          <t xml:space="preserve">
проверити збир!
</t>
        </r>
      </text>
    </comment>
    <comment ref="I9562" authorId="0">
      <text>
        <r>
          <rPr>
            <b/>
            <sz val="9"/>
            <color indexed="81"/>
            <rFont val="Tahoma"/>
            <family val="2"/>
          </rPr>
          <t>LPA:</t>
        </r>
        <r>
          <rPr>
            <sz val="9"/>
            <color indexed="81"/>
            <rFont val="Tahoma"/>
            <family val="2"/>
          </rPr>
          <t xml:space="preserve">
проверити збир!
</t>
        </r>
      </text>
    </comment>
    <comment ref="I9563" authorId="0">
      <text>
        <r>
          <rPr>
            <b/>
            <sz val="9"/>
            <color indexed="81"/>
            <rFont val="Tahoma"/>
            <family val="2"/>
          </rPr>
          <t>LPA:</t>
        </r>
        <r>
          <rPr>
            <sz val="9"/>
            <color indexed="81"/>
            <rFont val="Tahoma"/>
            <family val="2"/>
          </rPr>
          <t xml:space="preserve">
проверити збир!
</t>
        </r>
      </text>
    </comment>
    <comment ref="I9564" authorId="0">
      <text>
        <r>
          <rPr>
            <b/>
            <sz val="9"/>
            <color indexed="81"/>
            <rFont val="Tahoma"/>
            <family val="2"/>
          </rPr>
          <t>LPA:</t>
        </r>
        <r>
          <rPr>
            <sz val="9"/>
            <color indexed="81"/>
            <rFont val="Tahoma"/>
            <family val="2"/>
          </rPr>
          <t xml:space="preserve">
проверити збир!
</t>
        </r>
      </text>
    </comment>
    <comment ref="I9565" authorId="0">
      <text>
        <r>
          <rPr>
            <b/>
            <sz val="9"/>
            <color indexed="81"/>
            <rFont val="Tahoma"/>
            <family val="2"/>
          </rPr>
          <t>LPA:</t>
        </r>
        <r>
          <rPr>
            <sz val="9"/>
            <color indexed="81"/>
            <rFont val="Tahoma"/>
            <family val="2"/>
          </rPr>
          <t xml:space="preserve">
проверити збир!
</t>
        </r>
      </text>
    </comment>
    <comment ref="I9566" authorId="0">
      <text>
        <r>
          <rPr>
            <b/>
            <sz val="9"/>
            <color indexed="81"/>
            <rFont val="Tahoma"/>
            <family val="2"/>
          </rPr>
          <t>LPA:</t>
        </r>
        <r>
          <rPr>
            <sz val="9"/>
            <color indexed="81"/>
            <rFont val="Tahoma"/>
            <family val="2"/>
          </rPr>
          <t xml:space="preserve">
проверити збир!
</t>
        </r>
      </text>
    </comment>
    <comment ref="I9567" authorId="0">
      <text>
        <r>
          <rPr>
            <b/>
            <sz val="9"/>
            <color indexed="81"/>
            <rFont val="Tahoma"/>
            <family val="2"/>
          </rPr>
          <t>LPA:</t>
        </r>
        <r>
          <rPr>
            <sz val="9"/>
            <color indexed="81"/>
            <rFont val="Tahoma"/>
            <family val="2"/>
          </rPr>
          <t xml:space="preserve">
проверити збир!
</t>
        </r>
      </text>
    </comment>
    <comment ref="I9568" authorId="0">
      <text>
        <r>
          <rPr>
            <b/>
            <sz val="9"/>
            <color indexed="81"/>
            <rFont val="Tahoma"/>
            <family val="2"/>
          </rPr>
          <t>LPA:</t>
        </r>
        <r>
          <rPr>
            <sz val="9"/>
            <color indexed="81"/>
            <rFont val="Tahoma"/>
            <family val="2"/>
          </rPr>
          <t xml:space="preserve">
проверити збир!
</t>
        </r>
      </text>
    </comment>
    <comment ref="H9571" authorId="0">
      <text>
        <r>
          <rPr>
            <b/>
            <sz val="9"/>
            <color indexed="81"/>
            <rFont val="Tahoma"/>
            <family val="2"/>
          </rPr>
          <t>LPA:</t>
        </r>
        <r>
          <rPr>
            <sz val="9"/>
            <color indexed="81"/>
            <rFont val="Tahoma"/>
            <family val="2"/>
          </rPr>
          <t xml:space="preserve">
проверити збир!</t>
        </r>
      </text>
    </comment>
    <comment ref="I9571" authorId="0">
      <text>
        <r>
          <rPr>
            <b/>
            <sz val="9"/>
            <color indexed="81"/>
            <rFont val="Tahoma"/>
            <family val="2"/>
          </rPr>
          <t>LPA:</t>
        </r>
        <r>
          <rPr>
            <sz val="9"/>
            <color indexed="81"/>
            <rFont val="Tahoma"/>
            <family val="2"/>
          </rPr>
          <t xml:space="preserve">
проверити збир!</t>
        </r>
      </text>
    </comment>
    <comment ref="I9572" authorId="0">
      <text>
        <r>
          <rPr>
            <b/>
            <sz val="9"/>
            <color indexed="81"/>
            <rFont val="Tahoma"/>
            <family val="2"/>
          </rPr>
          <t>LPA:</t>
        </r>
        <r>
          <rPr>
            <sz val="9"/>
            <color indexed="81"/>
            <rFont val="Tahoma"/>
            <family val="2"/>
          </rPr>
          <t xml:space="preserve">
проверити збир!
</t>
        </r>
      </text>
    </comment>
    <comment ref="I9573" authorId="0">
      <text>
        <r>
          <rPr>
            <b/>
            <sz val="9"/>
            <color indexed="81"/>
            <rFont val="Tahoma"/>
            <family val="2"/>
          </rPr>
          <t>LPA:</t>
        </r>
        <r>
          <rPr>
            <sz val="9"/>
            <color indexed="81"/>
            <rFont val="Tahoma"/>
            <family val="2"/>
          </rPr>
          <t xml:space="preserve">
проверити збир!
</t>
        </r>
      </text>
    </comment>
    <comment ref="I9574" authorId="0">
      <text>
        <r>
          <rPr>
            <b/>
            <sz val="9"/>
            <color indexed="81"/>
            <rFont val="Tahoma"/>
            <family val="2"/>
          </rPr>
          <t>LPA:</t>
        </r>
        <r>
          <rPr>
            <sz val="9"/>
            <color indexed="81"/>
            <rFont val="Tahoma"/>
            <family val="2"/>
          </rPr>
          <t xml:space="preserve">
проверити збир!
</t>
        </r>
      </text>
    </comment>
    <comment ref="I9575" authorId="0">
      <text>
        <r>
          <rPr>
            <b/>
            <sz val="9"/>
            <color indexed="81"/>
            <rFont val="Tahoma"/>
            <family val="2"/>
          </rPr>
          <t>LPA:</t>
        </r>
        <r>
          <rPr>
            <sz val="9"/>
            <color indexed="81"/>
            <rFont val="Tahoma"/>
            <family val="2"/>
          </rPr>
          <t xml:space="preserve">
проверити збир!
</t>
        </r>
      </text>
    </comment>
    <comment ref="I9576" authorId="0">
      <text>
        <r>
          <rPr>
            <b/>
            <sz val="9"/>
            <color indexed="81"/>
            <rFont val="Tahoma"/>
            <family val="2"/>
          </rPr>
          <t>LPA:</t>
        </r>
        <r>
          <rPr>
            <sz val="9"/>
            <color indexed="81"/>
            <rFont val="Tahoma"/>
            <family val="2"/>
          </rPr>
          <t xml:space="preserve">
проверити збир!
</t>
        </r>
      </text>
    </comment>
    <comment ref="I9577" authorId="0">
      <text>
        <r>
          <rPr>
            <b/>
            <sz val="9"/>
            <color indexed="81"/>
            <rFont val="Tahoma"/>
            <family val="2"/>
          </rPr>
          <t>LPA:</t>
        </r>
        <r>
          <rPr>
            <sz val="9"/>
            <color indexed="81"/>
            <rFont val="Tahoma"/>
            <family val="2"/>
          </rPr>
          <t xml:space="preserve">
проверити збир!
</t>
        </r>
      </text>
    </comment>
    <comment ref="I9578" authorId="0">
      <text>
        <r>
          <rPr>
            <b/>
            <sz val="9"/>
            <color indexed="81"/>
            <rFont val="Tahoma"/>
            <family val="2"/>
          </rPr>
          <t>LPA:</t>
        </r>
        <r>
          <rPr>
            <sz val="9"/>
            <color indexed="81"/>
            <rFont val="Tahoma"/>
            <family val="2"/>
          </rPr>
          <t xml:space="preserve">
проверити збир!
</t>
        </r>
      </text>
    </comment>
    <comment ref="I9579" authorId="0">
      <text>
        <r>
          <rPr>
            <b/>
            <sz val="9"/>
            <color indexed="81"/>
            <rFont val="Tahoma"/>
            <family val="2"/>
          </rPr>
          <t>LPA:</t>
        </r>
        <r>
          <rPr>
            <sz val="9"/>
            <color indexed="81"/>
            <rFont val="Tahoma"/>
            <family val="2"/>
          </rPr>
          <t xml:space="preserve">
проверити збир!
</t>
        </r>
      </text>
    </comment>
    <comment ref="I9580" authorId="0">
      <text>
        <r>
          <rPr>
            <b/>
            <sz val="9"/>
            <color indexed="81"/>
            <rFont val="Tahoma"/>
            <family val="2"/>
          </rPr>
          <t>LPA:</t>
        </r>
        <r>
          <rPr>
            <sz val="9"/>
            <color indexed="81"/>
            <rFont val="Tahoma"/>
            <family val="2"/>
          </rPr>
          <t xml:space="preserve">
проверити збир!
</t>
        </r>
      </text>
    </comment>
    <comment ref="I9581" authorId="0">
      <text>
        <r>
          <rPr>
            <b/>
            <sz val="9"/>
            <color indexed="81"/>
            <rFont val="Tahoma"/>
            <family val="2"/>
          </rPr>
          <t>LPA:</t>
        </r>
        <r>
          <rPr>
            <sz val="9"/>
            <color indexed="81"/>
            <rFont val="Tahoma"/>
            <family val="2"/>
          </rPr>
          <t xml:space="preserve">
проверити збир!
</t>
        </r>
      </text>
    </comment>
    <comment ref="I9582" authorId="0">
      <text>
        <r>
          <rPr>
            <b/>
            <sz val="9"/>
            <color indexed="81"/>
            <rFont val="Tahoma"/>
            <family val="2"/>
          </rPr>
          <t>LPA:</t>
        </r>
        <r>
          <rPr>
            <sz val="9"/>
            <color indexed="81"/>
            <rFont val="Tahoma"/>
            <family val="2"/>
          </rPr>
          <t xml:space="preserve">
проверити збир!
</t>
        </r>
      </text>
    </comment>
    <comment ref="I9583" authorId="0">
      <text>
        <r>
          <rPr>
            <b/>
            <sz val="9"/>
            <color indexed="81"/>
            <rFont val="Tahoma"/>
            <family val="2"/>
          </rPr>
          <t>LPA:</t>
        </r>
        <r>
          <rPr>
            <sz val="9"/>
            <color indexed="81"/>
            <rFont val="Tahoma"/>
            <family val="2"/>
          </rPr>
          <t xml:space="preserve">
проверити збир!
</t>
        </r>
      </text>
    </comment>
    <comment ref="I9584" authorId="0">
      <text>
        <r>
          <rPr>
            <b/>
            <sz val="9"/>
            <color indexed="81"/>
            <rFont val="Tahoma"/>
            <family val="2"/>
          </rPr>
          <t>LPA:</t>
        </r>
        <r>
          <rPr>
            <sz val="9"/>
            <color indexed="81"/>
            <rFont val="Tahoma"/>
            <family val="2"/>
          </rPr>
          <t xml:space="preserve">
проверити збир!
</t>
        </r>
      </text>
    </comment>
    <comment ref="I9585" authorId="0">
      <text>
        <r>
          <rPr>
            <b/>
            <sz val="9"/>
            <color indexed="81"/>
            <rFont val="Tahoma"/>
            <family val="2"/>
          </rPr>
          <t>LPA:</t>
        </r>
        <r>
          <rPr>
            <sz val="9"/>
            <color indexed="81"/>
            <rFont val="Tahoma"/>
            <family val="2"/>
          </rPr>
          <t xml:space="preserve">
проверити збир!
</t>
        </r>
      </text>
    </comment>
    <comment ref="I9586" authorId="0">
      <text>
        <r>
          <rPr>
            <b/>
            <sz val="9"/>
            <color indexed="81"/>
            <rFont val="Tahoma"/>
            <family val="2"/>
          </rPr>
          <t>LPA:</t>
        </r>
        <r>
          <rPr>
            <sz val="9"/>
            <color indexed="81"/>
            <rFont val="Tahoma"/>
            <family val="2"/>
          </rPr>
          <t xml:space="preserve">
проверити збир!
</t>
        </r>
      </text>
    </comment>
    <comment ref="I9655" authorId="0">
      <text>
        <r>
          <rPr>
            <b/>
            <sz val="9"/>
            <color indexed="81"/>
            <rFont val="Tahoma"/>
            <family val="2"/>
          </rPr>
          <t>LPA:</t>
        </r>
        <r>
          <rPr>
            <sz val="9"/>
            <color indexed="81"/>
            <rFont val="Tahoma"/>
            <family val="2"/>
          </rPr>
          <t xml:space="preserve">
проверити збир!
</t>
        </r>
      </text>
    </comment>
    <comment ref="I9656" authorId="0">
      <text>
        <r>
          <rPr>
            <b/>
            <sz val="9"/>
            <color indexed="81"/>
            <rFont val="Tahoma"/>
            <family val="2"/>
          </rPr>
          <t>LPA:</t>
        </r>
        <r>
          <rPr>
            <sz val="9"/>
            <color indexed="81"/>
            <rFont val="Tahoma"/>
            <family val="2"/>
          </rPr>
          <t xml:space="preserve">
проверити збир!
</t>
        </r>
      </text>
    </comment>
    <comment ref="I9657" authorId="0">
      <text>
        <r>
          <rPr>
            <b/>
            <sz val="9"/>
            <color indexed="81"/>
            <rFont val="Tahoma"/>
            <family val="2"/>
          </rPr>
          <t>LPA:</t>
        </r>
        <r>
          <rPr>
            <sz val="9"/>
            <color indexed="81"/>
            <rFont val="Tahoma"/>
            <family val="2"/>
          </rPr>
          <t xml:space="preserve">
проверити збир!
</t>
        </r>
      </text>
    </comment>
    <comment ref="I9658" authorId="0">
      <text>
        <r>
          <rPr>
            <b/>
            <sz val="9"/>
            <color indexed="81"/>
            <rFont val="Tahoma"/>
            <family val="2"/>
          </rPr>
          <t>LPA:</t>
        </r>
        <r>
          <rPr>
            <sz val="9"/>
            <color indexed="81"/>
            <rFont val="Tahoma"/>
            <family val="2"/>
          </rPr>
          <t xml:space="preserve">
проверити збир!
</t>
        </r>
      </text>
    </comment>
    <comment ref="I9659" authorId="0">
      <text>
        <r>
          <rPr>
            <b/>
            <sz val="9"/>
            <color indexed="81"/>
            <rFont val="Tahoma"/>
            <family val="2"/>
          </rPr>
          <t>LPA:</t>
        </r>
        <r>
          <rPr>
            <sz val="9"/>
            <color indexed="81"/>
            <rFont val="Tahoma"/>
            <family val="2"/>
          </rPr>
          <t xml:space="preserve">
проверити збир!
</t>
        </r>
      </text>
    </comment>
    <comment ref="I9660" authorId="0">
      <text>
        <r>
          <rPr>
            <b/>
            <sz val="9"/>
            <color indexed="81"/>
            <rFont val="Tahoma"/>
            <family val="2"/>
          </rPr>
          <t>LPA:</t>
        </r>
        <r>
          <rPr>
            <sz val="9"/>
            <color indexed="81"/>
            <rFont val="Tahoma"/>
            <family val="2"/>
          </rPr>
          <t xml:space="preserve">
проверити збир!
</t>
        </r>
      </text>
    </comment>
    <comment ref="I9661" authorId="0">
      <text>
        <r>
          <rPr>
            <b/>
            <sz val="9"/>
            <color indexed="81"/>
            <rFont val="Tahoma"/>
            <family val="2"/>
          </rPr>
          <t>LPA:</t>
        </r>
        <r>
          <rPr>
            <sz val="9"/>
            <color indexed="81"/>
            <rFont val="Tahoma"/>
            <family val="2"/>
          </rPr>
          <t xml:space="preserve">
проверити збир!
</t>
        </r>
      </text>
    </comment>
    <comment ref="I9662" authorId="0">
      <text>
        <r>
          <rPr>
            <b/>
            <sz val="9"/>
            <color indexed="81"/>
            <rFont val="Tahoma"/>
            <family val="2"/>
          </rPr>
          <t>LPA:</t>
        </r>
        <r>
          <rPr>
            <sz val="9"/>
            <color indexed="81"/>
            <rFont val="Tahoma"/>
            <family val="2"/>
          </rPr>
          <t xml:space="preserve">
проверити збир!
</t>
        </r>
      </text>
    </comment>
    <comment ref="I9663" authorId="0">
      <text>
        <r>
          <rPr>
            <b/>
            <sz val="9"/>
            <color indexed="81"/>
            <rFont val="Tahoma"/>
            <family val="2"/>
          </rPr>
          <t>LPA:</t>
        </r>
        <r>
          <rPr>
            <sz val="9"/>
            <color indexed="81"/>
            <rFont val="Tahoma"/>
            <family val="2"/>
          </rPr>
          <t xml:space="preserve">
проверити збир!
</t>
        </r>
      </text>
    </comment>
    <comment ref="I9664" authorId="0">
      <text>
        <r>
          <rPr>
            <b/>
            <sz val="9"/>
            <color indexed="81"/>
            <rFont val="Tahoma"/>
            <family val="2"/>
          </rPr>
          <t>LPA:</t>
        </r>
        <r>
          <rPr>
            <sz val="9"/>
            <color indexed="81"/>
            <rFont val="Tahoma"/>
            <family val="2"/>
          </rPr>
          <t xml:space="preserve">
проверити збир!
</t>
        </r>
      </text>
    </comment>
    <comment ref="I9665" authorId="0">
      <text>
        <r>
          <rPr>
            <b/>
            <sz val="9"/>
            <color indexed="81"/>
            <rFont val="Tahoma"/>
            <family val="2"/>
          </rPr>
          <t>LPA:</t>
        </r>
        <r>
          <rPr>
            <sz val="9"/>
            <color indexed="81"/>
            <rFont val="Tahoma"/>
            <family val="2"/>
          </rPr>
          <t xml:space="preserve">
проверити збир!
</t>
        </r>
      </text>
    </comment>
    <comment ref="I9666" authorId="0">
      <text>
        <r>
          <rPr>
            <b/>
            <sz val="9"/>
            <color indexed="81"/>
            <rFont val="Tahoma"/>
            <family val="2"/>
          </rPr>
          <t>LPA:</t>
        </r>
        <r>
          <rPr>
            <sz val="9"/>
            <color indexed="81"/>
            <rFont val="Tahoma"/>
            <family val="2"/>
          </rPr>
          <t xml:space="preserve">
проверити збир!
</t>
        </r>
      </text>
    </comment>
    <comment ref="I9667" authorId="0">
      <text>
        <r>
          <rPr>
            <b/>
            <sz val="9"/>
            <color indexed="81"/>
            <rFont val="Tahoma"/>
            <family val="2"/>
          </rPr>
          <t>LPA:</t>
        </r>
        <r>
          <rPr>
            <sz val="9"/>
            <color indexed="81"/>
            <rFont val="Tahoma"/>
            <family val="2"/>
          </rPr>
          <t xml:space="preserve">
проверити збир!
</t>
        </r>
      </text>
    </comment>
    <comment ref="H9670" authorId="0">
      <text>
        <r>
          <rPr>
            <b/>
            <sz val="9"/>
            <color indexed="81"/>
            <rFont val="Tahoma"/>
            <family val="2"/>
          </rPr>
          <t>LPA:</t>
        </r>
        <r>
          <rPr>
            <sz val="9"/>
            <color indexed="81"/>
            <rFont val="Tahoma"/>
            <family val="2"/>
          </rPr>
          <t xml:space="preserve">
проверити збир!</t>
        </r>
      </text>
    </comment>
    <comment ref="I9670" authorId="0">
      <text>
        <r>
          <rPr>
            <b/>
            <sz val="9"/>
            <color indexed="81"/>
            <rFont val="Tahoma"/>
            <family val="2"/>
          </rPr>
          <t>LPA:</t>
        </r>
        <r>
          <rPr>
            <sz val="9"/>
            <color indexed="81"/>
            <rFont val="Tahoma"/>
            <family val="2"/>
          </rPr>
          <t xml:space="preserve">
проверити збир!</t>
        </r>
      </text>
    </comment>
    <comment ref="I9671" authorId="0">
      <text>
        <r>
          <rPr>
            <b/>
            <sz val="9"/>
            <color indexed="81"/>
            <rFont val="Tahoma"/>
            <family val="2"/>
          </rPr>
          <t>LPA:</t>
        </r>
        <r>
          <rPr>
            <sz val="9"/>
            <color indexed="81"/>
            <rFont val="Tahoma"/>
            <family val="2"/>
          </rPr>
          <t xml:space="preserve">
проверити збир!
</t>
        </r>
      </text>
    </comment>
    <comment ref="I9672" authorId="0">
      <text>
        <r>
          <rPr>
            <b/>
            <sz val="9"/>
            <color indexed="81"/>
            <rFont val="Tahoma"/>
            <family val="2"/>
          </rPr>
          <t>LPA:</t>
        </r>
        <r>
          <rPr>
            <sz val="9"/>
            <color indexed="81"/>
            <rFont val="Tahoma"/>
            <family val="2"/>
          </rPr>
          <t xml:space="preserve">
проверити збир!
</t>
        </r>
      </text>
    </comment>
    <comment ref="I9673" authorId="0">
      <text>
        <r>
          <rPr>
            <b/>
            <sz val="9"/>
            <color indexed="81"/>
            <rFont val="Tahoma"/>
            <family val="2"/>
          </rPr>
          <t>LPA:</t>
        </r>
        <r>
          <rPr>
            <sz val="9"/>
            <color indexed="81"/>
            <rFont val="Tahoma"/>
            <family val="2"/>
          </rPr>
          <t xml:space="preserve">
проверити збир!
</t>
        </r>
      </text>
    </comment>
    <comment ref="I9674" authorId="0">
      <text>
        <r>
          <rPr>
            <b/>
            <sz val="9"/>
            <color indexed="81"/>
            <rFont val="Tahoma"/>
            <family val="2"/>
          </rPr>
          <t>LPA:</t>
        </r>
        <r>
          <rPr>
            <sz val="9"/>
            <color indexed="81"/>
            <rFont val="Tahoma"/>
            <family val="2"/>
          </rPr>
          <t xml:space="preserve">
проверити збир!
</t>
        </r>
      </text>
    </comment>
    <comment ref="I9675" authorId="0">
      <text>
        <r>
          <rPr>
            <b/>
            <sz val="9"/>
            <color indexed="81"/>
            <rFont val="Tahoma"/>
            <family val="2"/>
          </rPr>
          <t>LPA:</t>
        </r>
        <r>
          <rPr>
            <sz val="9"/>
            <color indexed="81"/>
            <rFont val="Tahoma"/>
            <family val="2"/>
          </rPr>
          <t xml:space="preserve">
проверити збир!
</t>
        </r>
      </text>
    </comment>
    <comment ref="I9676" authorId="0">
      <text>
        <r>
          <rPr>
            <b/>
            <sz val="9"/>
            <color indexed="81"/>
            <rFont val="Tahoma"/>
            <family val="2"/>
          </rPr>
          <t>LPA:</t>
        </r>
        <r>
          <rPr>
            <sz val="9"/>
            <color indexed="81"/>
            <rFont val="Tahoma"/>
            <family val="2"/>
          </rPr>
          <t xml:space="preserve">
проверити збир!
</t>
        </r>
      </text>
    </comment>
    <comment ref="I9677" authorId="0">
      <text>
        <r>
          <rPr>
            <b/>
            <sz val="9"/>
            <color indexed="81"/>
            <rFont val="Tahoma"/>
            <family val="2"/>
          </rPr>
          <t>LPA:</t>
        </r>
        <r>
          <rPr>
            <sz val="9"/>
            <color indexed="81"/>
            <rFont val="Tahoma"/>
            <family val="2"/>
          </rPr>
          <t xml:space="preserve">
проверити збир!
</t>
        </r>
      </text>
    </comment>
    <comment ref="I9678" authorId="0">
      <text>
        <r>
          <rPr>
            <b/>
            <sz val="9"/>
            <color indexed="81"/>
            <rFont val="Tahoma"/>
            <family val="2"/>
          </rPr>
          <t>LPA:</t>
        </r>
        <r>
          <rPr>
            <sz val="9"/>
            <color indexed="81"/>
            <rFont val="Tahoma"/>
            <family val="2"/>
          </rPr>
          <t xml:space="preserve">
проверити збир!
</t>
        </r>
      </text>
    </comment>
    <comment ref="I9679" authorId="0">
      <text>
        <r>
          <rPr>
            <b/>
            <sz val="9"/>
            <color indexed="81"/>
            <rFont val="Tahoma"/>
            <family val="2"/>
          </rPr>
          <t>LPA:</t>
        </r>
        <r>
          <rPr>
            <sz val="9"/>
            <color indexed="81"/>
            <rFont val="Tahoma"/>
            <family val="2"/>
          </rPr>
          <t xml:space="preserve">
проверити збир!
</t>
        </r>
      </text>
    </comment>
    <comment ref="I9680" authorId="0">
      <text>
        <r>
          <rPr>
            <b/>
            <sz val="9"/>
            <color indexed="81"/>
            <rFont val="Tahoma"/>
            <family val="2"/>
          </rPr>
          <t>LPA:</t>
        </r>
        <r>
          <rPr>
            <sz val="9"/>
            <color indexed="81"/>
            <rFont val="Tahoma"/>
            <family val="2"/>
          </rPr>
          <t xml:space="preserve">
проверити збир!
</t>
        </r>
      </text>
    </comment>
    <comment ref="I9681" authorId="0">
      <text>
        <r>
          <rPr>
            <b/>
            <sz val="9"/>
            <color indexed="81"/>
            <rFont val="Tahoma"/>
            <family val="2"/>
          </rPr>
          <t>LPA:</t>
        </r>
        <r>
          <rPr>
            <sz val="9"/>
            <color indexed="81"/>
            <rFont val="Tahoma"/>
            <family val="2"/>
          </rPr>
          <t xml:space="preserve">
проверити збир!
</t>
        </r>
      </text>
    </comment>
    <comment ref="I9682" authorId="0">
      <text>
        <r>
          <rPr>
            <b/>
            <sz val="9"/>
            <color indexed="81"/>
            <rFont val="Tahoma"/>
            <family val="2"/>
          </rPr>
          <t>LPA:</t>
        </r>
        <r>
          <rPr>
            <sz val="9"/>
            <color indexed="81"/>
            <rFont val="Tahoma"/>
            <family val="2"/>
          </rPr>
          <t xml:space="preserve">
проверити збир!
</t>
        </r>
      </text>
    </comment>
    <comment ref="I9683" authorId="0">
      <text>
        <r>
          <rPr>
            <b/>
            <sz val="9"/>
            <color indexed="81"/>
            <rFont val="Tahoma"/>
            <family val="2"/>
          </rPr>
          <t>LPA:</t>
        </r>
        <r>
          <rPr>
            <sz val="9"/>
            <color indexed="81"/>
            <rFont val="Tahoma"/>
            <family val="2"/>
          </rPr>
          <t xml:space="preserve">
проверити збир!
</t>
        </r>
      </text>
    </comment>
    <comment ref="I9684" authorId="0">
      <text>
        <r>
          <rPr>
            <b/>
            <sz val="9"/>
            <color indexed="81"/>
            <rFont val="Tahoma"/>
            <family val="2"/>
          </rPr>
          <t>LPA:</t>
        </r>
        <r>
          <rPr>
            <sz val="9"/>
            <color indexed="81"/>
            <rFont val="Tahoma"/>
            <family val="2"/>
          </rPr>
          <t xml:space="preserve">
проверити збир!
</t>
        </r>
      </text>
    </comment>
    <comment ref="I9685" authorId="0">
      <text>
        <r>
          <rPr>
            <b/>
            <sz val="9"/>
            <color indexed="81"/>
            <rFont val="Tahoma"/>
            <family val="2"/>
          </rPr>
          <t>LPA:</t>
        </r>
        <r>
          <rPr>
            <sz val="9"/>
            <color indexed="81"/>
            <rFont val="Tahoma"/>
            <family val="2"/>
          </rPr>
          <t xml:space="preserve">
проверити збир!
</t>
        </r>
      </text>
    </comment>
    <comment ref="I9757" authorId="0">
      <text>
        <r>
          <rPr>
            <b/>
            <sz val="9"/>
            <color indexed="81"/>
            <rFont val="Tahoma"/>
            <family val="2"/>
          </rPr>
          <t>LPA:</t>
        </r>
        <r>
          <rPr>
            <sz val="9"/>
            <color indexed="81"/>
            <rFont val="Tahoma"/>
            <family val="2"/>
          </rPr>
          <t xml:space="preserve">
проверити збир!
</t>
        </r>
      </text>
    </comment>
    <comment ref="I9758" authorId="0">
      <text>
        <r>
          <rPr>
            <b/>
            <sz val="9"/>
            <color indexed="81"/>
            <rFont val="Tahoma"/>
            <family val="2"/>
          </rPr>
          <t>LPA:</t>
        </r>
        <r>
          <rPr>
            <sz val="9"/>
            <color indexed="81"/>
            <rFont val="Tahoma"/>
            <family val="2"/>
          </rPr>
          <t xml:space="preserve">
проверити збир!
</t>
        </r>
      </text>
    </comment>
    <comment ref="I9759" authorId="0">
      <text>
        <r>
          <rPr>
            <b/>
            <sz val="9"/>
            <color indexed="81"/>
            <rFont val="Tahoma"/>
            <family val="2"/>
          </rPr>
          <t>LPA:</t>
        </r>
        <r>
          <rPr>
            <sz val="9"/>
            <color indexed="81"/>
            <rFont val="Tahoma"/>
            <family val="2"/>
          </rPr>
          <t xml:space="preserve">
проверити збир!
</t>
        </r>
      </text>
    </comment>
    <comment ref="I9760" authorId="0">
      <text>
        <r>
          <rPr>
            <b/>
            <sz val="9"/>
            <color indexed="81"/>
            <rFont val="Tahoma"/>
            <family val="2"/>
          </rPr>
          <t>LPA:</t>
        </r>
        <r>
          <rPr>
            <sz val="9"/>
            <color indexed="81"/>
            <rFont val="Tahoma"/>
            <family val="2"/>
          </rPr>
          <t xml:space="preserve">
проверити збир!
</t>
        </r>
      </text>
    </comment>
    <comment ref="I9761" authorId="0">
      <text>
        <r>
          <rPr>
            <b/>
            <sz val="9"/>
            <color indexed="81"/>
            <rFont val="Tahoma"/>
            <family val="2"/>
          </rPr>
          <t>LPA:</t>
        </r>
        <r>
          <rPr>
            <sz val="9"/>
            <color indexed="81"/>
            <rFont val="Tahoma"/>
            <family val="2"/>
          </rPr>
          <t xml:space="preserve">
проверити збир!
</t>
        </r>
      </text>
    </comment>
    <comment ref="I9762" authorId="0">
      <text>
        <r>
          <rPr>
            <b/>
            <sz val="9"/>
            <color indexed="81"/>
            <rFont val="Tahoma"/>
            <family val="2"/>
          </rPr>
          <t>LPA:</t>
        </r>
        <r>
          <rPr>
            <sz val="9"/>
            <color indexed="81"/>
            <rFont val="Tahoma"/>
            <family val="2"/>
          </rPr>
          <t xml:space="preserve">
проверити збир!
</t>
        </r>
      </text>
    </comment>
    <comment ref="I9763" authorId="0">
      <text>
        <r>
          <rPr>
            <b/>
            <sz val="9"/>
            <color indexed="81"/>
            <rFont val="Tahoma"/>
            <family val="2"/>
          </rPr>
          <t>LPA:</t>
        </r>
        <r>
          <rPr>
            <sz val="9"/>
            <color indexed="81"/>
            <rFont val="Tahoma"/>
            <family val="2"/>
          </rPr>
          <t xml:space="preserve">
проверити збир!
</t>
        </r>
      </text>
    </comment>
    <comment ref="I9764" authorId="0">
      <text>
        <r>
          <rPr>
            <b/>
            <sz val="9"/>
            <color indexed="81"/>
            <rFont val="Tahoma"/>
            <family val="2"/>
          </rPr>
          <t>LPA:</t>
        </r>
        <r>
          <rPr>
            <sz val="9"/>
            <color indexed="81"/>
            <rFont val="Tahoma"/>
            <family val="2"/>
          </rPr>
          <t xml:space="preserve">
проверити збир!
</t>
        </r>
      </text>
    </comment>
    <comment ref="I9765" authorId="0">
      <text>
        <r>
          <rPr>
            <b/>
            <sz val="9"/>
            <color indexed="81"/>
            <rFont val="Tahoma"/>
            <family val="2"/>
          </rPr>
          <t>LPA:</t>
        </r>
        <r>
          <rPr>
            <sz val="9"/>
            <color indexed="81"/>
            <rFont val="Tahoma"/>
            <family val="2"/>
          </rPr>
          <t xml:space="preserve">
проверити збир!
</t>
        </r>
      </text>
    </comment>
    <comment ref="I9766" authorId="0">
      <text>
        <r>
          <rPr>
            <b/>
            <sz val="9"/>
            <color indexed="81"/>
            <rFont val="Tahoma"/>
            <family val="2"/>
          </rPr>
          <t>LPA:</t>
        </r>
        <r>
          <rPr>
            <sz val="9"/>
            <color indexed="81"/>
            <rFont val="Tahoma"/>
            <family val="2"/>
          </rPr>
          <t xml:space="preserve">
проверити збир!
</t>
        </r>
      </text>
    </comment>
    <comment ref="I9767" authorId="0">
      <text>
        <r>
          <rPr>
            <b/>
            <sz val="9"/>
            <color indexed="81"/>
            <rFont val="Tahoma"/>
            <family val="2"/>
          </rPr>
          <t>LPA:</t>
        </r>
        <r>
          <rPr>
            <sz val="9"/>
            <color indexed="81"/>
            <rFont val="Tahoma"/>
            <family val="2"/>
          </rPr>
          <t xml:space="preserve">
проверити збир!
</t>
        </r>
      </text>
    </comment>
    <comment ref="I9768" authorId="0">
      <text>
        <r>
          <rPr>
            <b/>
            <sz val="9"/>
            <color indexed="81"/>
            <rFont val="Tahoma"/>
            <family val="2"/>
          </rPr>
          <t>LPA:</t>
        </r>
        <r>
          <rPr>
            <sz val="9"/>
            <color indexed="81"/>
            <rFont val="Tahoma"/>
            <family val="2"/>
          </rPr>
          <t xml:space="preserve">
проверити збир!
</t>
        </r>
      </text>
    </comment>
    <comment ref="I9769" authorId="0">
      <text>
        <r>
          <rPr>
            <b/>
            <sz val="9"/>
            <color indexed="81"/>
            <rFont val="Tahoma"/>
            <family val="2"/>
          </rPr>
          <t>LPA:</t>
        </r>
        <r>
          <rPr>
            <sz val="9"/>
            <color indexed="81"/>
            <rFont val="Tahoma"/>
            <family val="2"/>
          </rPr>
          <t xml:space="preserve">
проверити збир!
</t>
        </r>
      </text>
    </comment>
    <comment ref="H9772" authorId="0">
      <text>
        <r>
          <rPr>
            <b/>
            <sz val="9"/>
            <color indexed="81"/>
            <rFont val="Tahoma"/>
            <family val="2"/>
          </rPr>
          <t>LPA:</t>
        </r>
        <r>
          <rPr>
            <sz val="9"/>
            <color indexed="81"/>
            <rFont val="Tahoma"/>
            <family val="2"/>
          </rPr>
          <t xml:space="preserve">
проверити збир!</t>
        </r>
      </text>
    </comment>
    <comment ref="I9772" authorId="0">
      <text>
        <r>
          <rPr>
            <b/>
            <sz val="9"/>
            <color indexed="81"/>
            <rFont val="Tahoma"/>
            <family val="2"/>
          </rPr>
          <t>LPA:</t>
        </r>
        <r>
          <rPr>
            <sz val="9"/>
            <color indexed="81"/>
            <rFont val="Tahoma"/>
            <family val="2"/>
          </rPr>
          <t xml:space="preserve">
проверити збир!</t>
        </r>
      </text>
    </comment>
    <comment ref="I9773" authorId="0">
      <text>
        <r>
          <rPr>
            <b/>
            <sz val="9"/>
            <color indexed="81"/>
            <rFont val="Tahoma"/>
            <family val="2"/>
          </rPr>
          <t>LPA:</t>
        </r>
        <r>
          <rPr>
            <sz val="9"/>
            <color indexed="81"/>
            <rFont val="Tahoma"/>
            <family val="2"/>
          </rPr>
          <t xml:space="preserve">
проверити збир!
</t>
        </r>
      </text>
    </comment>
    <comment ref="I9774" authorId="0">
      <text>
        <r>
          <rPr>
            <b/>
            <sz val="9"/>
            <color indexed="81"/>
            <rFont val="Tahoma"/>
            <family val="2"/>
          </rPr>
          <t>LPA:</t>
        </r>
        <r>
          <rPr>
            <sz val="9"/>
            <color indexed="81"/>
            <rFont val="Tahoma"/>
            <family val="2"/>
          </rPr>
          <t xml:space="preserve">
проверити збир!
</t>
        </r>
      </text>
    </comment>
    <comment ref="I9775" authorId="0">
      <text>
        <r>
          <rPr>
            <b/>
            <sz val="9"/>
            <color indexed="81"/>
            <rFont val="Tahoma"/>
            <family val="2"/>
          </rPr>
          <t>LPA:</t>
        </r>
        <r>
          <rPr>
            <sz val="9"/>
            <color indexed="81"/>
            <rFont val="Tahoma"/>
            <family val="2"/>
          </rPr>
          <t xml:space="preserve">
проверити збир!
</t>
        </r>
      </text>
    </comment>
    <comment ref="I9776" authorId="0">
      <text>
        <r>
          <rPr>
            <b/>
            <sz val="9"/>
            <color indexed="81"/>
            <rFont val="Tahoma"/>
            <family val="2"/>
          </rPr>
          <t>LPA:</t>
        </r>
        <r>
          <rPr>
            <sz val="9"/>
            <color indexed="81"/>
            <rFont val="Tahoma"/>
            <family val="2"/>
          </rPr>
          <t xml:space="preserve">
проверити збир!
</t>
        </r>
      </text>
    </comment>
    <comment ref="I9777" authorId="0">
      <text>
        <r>
          <rPr>
            <b/>
            <sz val="9"/>
            <color indexed="81"/>
            <rFont val="Tahoma"/>
            <family val="2"/>
          </rPr>
          <t>LPA:</t>
        </r>
        <r>
          <rPr>
            <sz val="9"/>
            <color indexed="81"/>
            <rFont val="Tahoma"/>
            <family val="2"/>
          </rPr>
          <t xml:space="preserve">
проверити збир!
</t>
        </r>
      </text>
    </comment>
    <comment ref="I9778" authorId="0">
      <text>
        <r>
          <rPr>
            <b/>
            <sz val="9"/>
            <color indexed="81"/>
            <rFont val="Tahoma"/>
            <family val="2"/>
          </rPr>
          <t>LPA:</t>
        </r>
        <r>
          <rPr>
            <sz val="9"/>
            <color indexed="81"/>
            <rFont val="Tahoma"/>
            <family val="2"/>
          </rPr>
          <t xml:space="preserve">
проверити збир!
</t>
        </r>
      </text>
    </comment>
    <comment ref="I9779" authorId="0">
      <text>
        <r>
          <rPr>
            <b/>
            <sz val="9"/>
            <color indexed="81"/>
            <rFont val="Tahoma"/>
            <family val="2"/>
          </rPr>
          <t>LPA:</t>
        </r>
        <r>
          <rPr>
            <sz val="9"/>
            <color indexed="81"/>
            <rFont val="Tahoma"/>
            <family val="2"/>
          </rPr>
          <t xml:space="preserve">
проверити збир!
</t>
        </r>
      </text>
    </comment>
    <comment ref="I9780" authorId="0">
      <text>
        <r>
          <rPr>
            <b/>
            <sz val="9"/>
            <color indexed="81"/>
            <rFont val="Tahoma"/>
            <family val="2"/>
          </rPr>
          <t>LPA:</t>
        </r>
        <r>
          <rPr>
            <sz val="9"/>
            <color indexed="81"/>
            <rFont val="Tahoma"/>
            <family val="2"/>
          </rPr>
          <t xml:space="preserve">
проверити збир!
</t>
        </r>
      </text>
    </comment>
    <comment ref="I9781" authorId="0">
      <text>
        <r>
          <rPr>
            <b/>
            <sz val="9"/>
            <color indexed="81"/>
            <rFont val="Tahoma"/>
            <family val="2"/>
          </rPr>
          <t>LPA:</t>
        </r>
        <r>
          <rPr>
            <sz val="9"/>
            <color indexed="81"/>
            <rFont val="Tahoma"/>
            <family val="2"/>
          </rPr>
          <t xml:space="preserve">
проверити збир!
</t>
        </r>
      </text>
    </comment>
    <comment ref="I9782" authorId="0">
      <text>
        <r>
          <rPr>
            <b/>
            <sz val="9"/>
            <color indexed="81"/>
            <rFont val="Tahoma"/>
            <family val="2"/>
          </rPr>
          <t>LPA:</t>
        </r>
        <r>
          <rPr>
            <sz val="9"/>
            <color indexed="81"/>
            <rFont val="Tahoma"/>
            <family val="2"/>
          </rPr>
          <t xml:space="preserve">
проверити збир!
</t>
        </r>
      </text>
    </comment>
    <comment ref="I9783" authorId="0">
      <text>
        <r>
          <rPr>
            <b/>
            <sz val="9"/>
            <color indexed="81"/>
            <rFont val="Tahoma"/>
            <family val="2"/>
          </rPr>
          <t>LPA:</t>
        </r>
        <r>
          <rPr>
            <sz val="9"/>
            <color indexed="81"/>
            <rFont val="Tahoma"/>
            <family val="2"/>
          </rPr>
          <t xml:space="preserve">
проверити збир!
</t>
        </r>
      </text>
    </comment>
    <comment ref="I9784" authorId="0">
      <text>
        <r>
          <rPr>
            <b/>
            <sz val="9"/>
            <color indexed="81"/>
            <rFont val="Tahoma"/>
            <family val="2"/>
          </rPr>
          <t>LPA:</t>
        </r>
        <r>
          <rPr>
            <sz val="9"/>
            <color indexed="81"/>
            <rFont val="Tahoma"/>
            <family val="2"/>
          </rPr>
          <t xml:space="preserve">
проверити збир!
</t>
        </r>
      </text>
    </comment>
    <comment ref="I9785" authorId="0">
      <text>
        <r>
          <rPr>
            <b/>
            <sz val="9"/>
            <color indexed="81"/>
            <rFont val="Tahoma"/>
            <family val="2"/>
          </rPr>
          <t>LPA:</t>
        </r>
        <r>
          <rPr>
            <sz val="9"/>
            <color indexed="81"/>
            <rFont val="Tahoma"/>
            <family val="2"/>
          </rPr>
          <t xml:space="preserve">
проверити збир!
</t>
        </r>
      </text>
    </comment>
    <comment ref="I9786" authorId="0">
      <text>
        <r>
          <rPr>
            <b/>
            <sz val="9"/>
            <color indexed="81"/>
            <rFont val="Tahoma"/>
            <family val="2"/>
          </rPr>
          <t>LPA:</t>
        </r>
        <r>
          <rPr>
            <sz val="9"/>
            <color indexed="81"/>
            <rFont val="Tahoma"/>
            <family val="2"/>
          </rPr>
          <t xml:space="preserve">
проверити збир!
</t>
        </r>
      </text>
    </comment>
    <comment ref="I9787" authorId="0">
      <text>
        <r>
          <rPr>
            <b/>
            <sz val="9"/>
            <color indexed="81"/>
            <rFont val="Tahoma"/>
            <family val="2"/>
          </rPr>
          <t>LPA:</t>
        </r>
        <r>
          <rPr>
            <sz val="9"/>
            <color indexed="81"/>
            <rFont val="Tahoma"/>
            <family val="2"/>
          </rPr>
          <t xml:space="preserve">
проверити збир!
</t>
        </r>
      </text>
    </comment>
    <comment ref="I9856" authorId="0">
      <text>
        <r>
          <rPr>
            <b/>
            <sz val="9"/>
            <color indexed="81"/>
            <rFont val="Tahoma"/>
            <family val="2"/>
          </rPr>
          <t>LPA:</t>
        </r>
        <r>
          <rPr>
            <sz val="9"/>
            <color indexed="81"/>
            <rFont val="Tahoma"/>
            <family val="2"/>
          </rPr>
          <t xml:space="preserve">
проверити збир!
</t>
        </r>
      </text>
    </comment>
    <comment ref="I9857" authorId="0">
      <text>
        <r>
          <rPr>
            <b/>
            <sz val="9"/>
            <color indexed="81"/>
            <rFont val="Tahoma"/>
            <family val="2"/>
          </rPr>
          <t>LPA:</t>
        </r>
        <r>
          <rPr>
            <sz val="9"/>
            <color indexed="81"/>
            <rFont val="Tahoma"/>
            <family val="2"/>
          </rPr>
          <t xml:space="preserve">
проверити збир!
</t>
        </r>
      </text>
    </comment>
    <comment ref="I9858" authorId="0">
      <text>
        <r>
          <rPr>
            <b/>
            <sz val="9"/>
            <color indexed="81"/>
            <rFont val="Tahoma"/>
            <family val="2"/>
          </rPr>
          <t>LPA:</t>
        </r>
        <r>
          <rPr>
            <sz val="9"/>
            <color indexed="81"/>
            <rFont val="Tahoma"/>
            <family val="2"/>
          </rPr>
          <t xml:space="preserve">
проверити збир!
</t>
        </r>
      </text>
    </comment>
    <comment ref="I9859" authorId="0">
      <text>
        <r>
          <rPr>
            <b/>
            <sz val="9"/>
            <color indexed="81"/>
            <rFont val="Tahoma"/>
            <family val="2"/>
          </rPr>
          <t>LPA:</t>
        </r>
        <r>
          <rPr>
            <sz val="9"/>
            <color indexed="81"/>
            <rFont val="Tahoma"/>
            <family val="2"/>
          </rPr>
          <t xml:space="preserve">
проверити збир!
</t>
        </r>
      </text>
    </comment>
    <comment ref="I9860" authorId="0">
      <text>
        <r>
          <rPr>
            <b/>
            <sz val="9"/>
            <color indexed="81"/>
            <rFont val="Tahoma"/>
            <family val="2"/>
          </rPr>
          <t>LPA:</t>
        </r>
        <r>
          <rPr>
            <sz val="9"/>
            <color indexed="81"/>
            <rFont val="Tahoma"/>
            <family val="2"/>
          </rPr>
          <t xml:space="preserve">
проверити збир!
</t>
        </r>
      </text>
    </comment>
    <comment ref="I9861" authorId="0">
      <text>
        <r>
          <rPr>
            <b/>
            <sz val="9"/>
            <color indexed="81"/>
            <rFont val="Tahoma"/>
            <family val="2"/>
          </rPr>
          <t>LPA:</t>
        </r>
        <r>
          <rPr>
            <sz val="9"/>
            <color indexed="81"/>
            <rFont val="Tahoma"/>
            <family val="2"/>
          </rPr>
          <t xml:space="preserve">
проверити збир!
</t>
        </r>
      </text>
    </comment>
    <comment ref="I9862" authorId="0">
      <text>
        <r>
          <rPr>
            <b/>
            <sz val="9"/>
            <color indexed="81"/>
            <rFont val="Tahoma"/>
            <family val="2"/>
          </rPr>
          <t>LPA:</t>
        </r>
        <r>
          <rPr>
            <sz val="9"/>
            <color indexed="81"/>
            <rFont val="Tahoma"/>
            <family val="2"/>
          </rPr>
          <t xml:space="preserve">
проверити збир!
</t>
        </r>
      </text>
    </comment>
    <comment ref="I9863" authorId="0">
      <text>
        <r>
          <rPr>
            <b/>
            <sz val="9"/>
            <color indexed="81"/>
            <rFont val="Tahoma"/>
            <family val="2"/>
          </rPr>
          <t>LPA:</t>
        </r>
        <r>
          <rPr>
            <sz val="9"/>
            <color indexed="81"/>
            <rFont val="Tahoma"/>
            <family val="2"/>
          </rPr>
          <t xml:space="preserve">
проверити збир!
</t>
        </r>
      </text>
    </comment>
    <comment ref="I9864" authorId="0">
      <text>
        <r>
          <rPr>
            <b/>
            <sz val="9"/>
            <color indexed="81"/>
            <rFont val="Tahoma"/>
            <family val="2"/>
          </rPr>
          <t>LPA:</t>
        </r>
        <r>
          <rPr>
            <sz val="9"/>
            <color indexed="81"/>
            <rFont val="Tahoma"/>
            <family val="2"/>
          </rPr>
          <t xml:space="preserve">
проверити збир!
</t>
        </r>
      </text>
    </comment>
    <comment ref="I9865" authorId="0">
      <text>
        <r>
          <rPr>
            <b/>
            <sz val="9"/>
            <color indexed="81"/>
            <rFont val="Tahoma"/>
            <family val="2"/>
          </rPr>
          <t>LPA:</t>
        </r>
        <r>
          <rPr>
            <sz val="9"/>
            <color indexed="81"/>
            <rFont val="Tahoma"/>
            <family val="2"/>
          </rPr>
          <t xml:space="preserve">
проверити збир!
</t>
        </r>
      </text>
    </comment>
    <comment ref="I9866" authorId="0">
      <text>
        <r>
          <rPr>
            <b/>
            <sz val="9"/>
            <color indexed="81"/>
            <rFont val="Tahoma"/>
            <family val="2"/>
          </rPr>
          <t>LPA:</t>
        </r>
        <r>
          <rPr>
            <sz val="9"/>
            <color indexed="81"/>
            <rFont val="Tahoma"/>
            <family val="2"/>
          </rPr>
          <t xml:space="preserve">
проверити збир!
</t>
        </r>
      </text>
    </comment>
    <comment ref="I9867" authorId="0">
      <text>
        <r>
          <rPr>
            <b/>
            <sz val="9"/>
            <color indexed="81"/>
            <rFont val="Tahoma"/>
            <family val="2"/>
          </rPr>
          <t>LPA:</t>
        </r>
        <r>
          <rPr>
            <sz val="9"/>
            <color indexed="81"/>
            <rFont val="Tahoma"/>
            <family val="2"/>
          </rPr>
          <t xml:space="preserve">
проверити збир!
</t>
        </r>
      </text>
    </comment>
    <comment ref="I9868" authorId="0">
      <text>
        <r>
          <rPr>
            <b/>
            <sz val="9"/>
            <color indexed="81"/>
            <rFont val="Tahoma"/>
            <family val="2"/>
          </rPr>
          <t>LPA:</t>
        </r>
        <r>
          <rPr>
            <sz val="9"/>
            <color indexed="81"/>
            <rFont val="Tahoma"/>
            <family val="2"/>
          </rPr>
          <t xml:space="preserve">
проверити збир!
</t>
        </r>
      </text>
    </comment>
    <comment ref="H9871" authorId="0">
      <text>
        <r>
          <rPr>
            <b/>
            <sz val="9"/>
            <color indexed="81"/>
            <rFont val="Tahoma"/>
            <family val="2"/>
          </rPr>
          <t>LPA:</t>
        </r>
        <r>
          <rPr>
            <sz val="9"/>
            <color indexed="81"/>
            <rFont val="Tahoma"/>
            <family val="2"/>
          </rPr>
          <t xml:space="preserve">
проверити збир!</t>
        </r>
      </text>
    </comment>
    <comment ref="I9871" authorId="0">
      <text>
        <r>
          <rPr>
            <b/>
            <sz val="9"/>
            <color indexed="81"/>
            <rFont val="Tahoma"/>
            <family val="2"/>
          </rPr>
          <t>LPA:</t>
        </r>
        <r>
          <rPr>
            <sz val="9"/>
            <color indexed="81"/>
            <rFont val="Tahoma"/>
            <family val="2"/>
          </rPr>
          <t xml:space="preserve">
проверити збир!</t>
        </r>
      </text>
    </comment>
    <comment ref="I9872" authorId="0">
      <text>
        <r>
          <rPr>
            <b/>
            <sz val="9"/>
            <color indexed="81"/>
            <rFont val="Tahoma"/>
            <family val="2"/>
          </rPr>
          <t>LPA:</t>
        </r>
        <r>
          <rPr>
            <sz val="9"/>
            <color indexed="81"/>
            <rFont val="Tahoma"/>
            <family val="2"/>
          </rPr>
          <t xml:space="preserve">
проверити збир!
</t>
        </r>
      </text>
    </comment>
    <comment ref="I9873" authorId="0">
      <text>
        <r>
          <rPr>
            <b/>
            <sz val="9"/>
            <color indexed="81"/>
            <rFont val="Tahoma"/>
            <family val="2"/>
          </rPr>
          <t>LPA:</t>
        </r>
        <r>
          <rPr>
            <sz val="9"/>
            <color indexed="81"/>
            <rFont val="Tahoma"/>
            <family val="2"/>
          </rPr>
          <t xml:space="preserve">
проверити збир!
</t>
        </r>
      </text>
    </comment>
    <comment ref="I9874" authorId="0">
      <text>
        <r>
          <rPr>
            <b/>
            <sz val="9"/>
            <color indexed="81"/>
            <rFont val="Tahoma"/>
            <family val="2"/>
          </rPr>
          <t>LPA:</t>
        </r>
        <r>
          <rPr>
            <sz val="9"/>
            <color indexed="81"/>
            <rFont val="Tahoma"/>
            <family val="2"/>
          </rPr>
          <t xml:space="preserve">
проверити збир!
</t>
        </r>
      </text>
    </comment>
    <comment ref="I9875" authorId="0">
      <text>
        <r>
          <rPr>
            <b/>
            <sz val="9"/>
            <color indexed="81"/>
            <rFont val="Tahoma"/>
            <family val="2"/>
          </rPr>
          <t>LPA:</t>
        </r>
        <r>
          <rPr>
            <sz val="9"/>
            <color indexed="81"/>
            <rFont val="Tahoma"/>
            <family val="2"/>
          </rPr>
          <t xml:space="preserve">
проверити збир!
</t>
        </r>
      </text>
    </comment>
    <comment ref="I9876" authorId="0">
      <text>
        <r>
          <rPr>
            <b/>
            <sz val="9"/>
            <color indexed="81"/>
            <rFont val="Tahoma"/>
            <family val="2"/>
          </rPr>
          <t>LPA:</t>
        </r>
        <r>
          <rPr>
            <sz val="9"/>
            <color indexed="81"/>
            <rFont val="Tahoma"/>
            <family val="2"/>
          </rPr>
          <t xml:space="preserve">
проверити збир!
</t>
        </r>
      </text>
    </comment>
    <comment ref="I9877" authorId="0">
      <text>
        <r>
          <rPr>
            <b/>
            <sz val="9"/>
            <color indexed="81"/>
            <rFont val="Tahoma"/>
            <family val="2"/>
          </rPr>
          <t>LPA:</t>
        </r>
        <r>
          <rPr>
            <sz val="9"/>
            <color indexed="81"/>
            <rFont val="Tahoma"/>
            <family val="2"/>
          </rPr>
          <t xml:space="preserve">
проверити збир!
</t>
        </r>
      </text>
    </comment>
    <comment ref="I9878" authorId="0">
      <text>
        <r>
          <rPr>
            <b/>
            <sz val="9"/>
            <color indexed="81"/>
            <rFont val="Tahoma"/>
            <family val="2"/>
          </rPr>
          <t>LPA:</t>
        </r>
        <r>
          <rPr>
            <sz val="9"/>
            <color indexed="81"/>
            <rFont val="Tahoma"/>
            <family val="2"/>
          </rPr>
          <t xml:space="preserve">
проверити збир!
</t>
        </r>
      </text>
    </comment>
    <comment ref="I9879" authorId="0">
      <text>
        <r>
          <rPr>
            <b/>
            <sz val="9"/>
            <color indexed="81"/>
            <rFont val="Tahoma"/>
            <family val="2"/>
          </rPr>
          <t>LPA:</t>
        </r>
        <r>
          <rPr>
            <sz val="9"/>
            <color indexed="81"/>
            <rFont val="Tahoma"/>
            <family val="2"/>
          </rPr>
          <t xml:space="preserve">
проверити збир!
</t>
        </r>
      </text>
    </comment>
    <comment ref="I9880" authorId="0">
      <text>
        <r>
          <rPr>
            <b/>
            <sz val="9"/>
            <color indexed="81"/>
            <rFont val="Tahoma"/>
            <family val="2"/>
          </rPr>
          <t>LPA:</t>
        </r>
        <r>
          <rPr>
            <sz val="9"/>
            <color indexed="81"/>
            <rFont val="Tahoma"/>
            <family val="2"/>
          </rPr>
          <t xml:space="preserve">
проверити збир!
</t>
        </r>
      </text>
    </comment>
    <comment ref="I9881" authorId="0">
      <text>
        <r>
          <rPr>
            <b/>
            <sz val="9"/>
            <color indexed="81"/>
            <rFont val="Tahoma"/>
            <family val="2"/>
          </rPr>
          <t>LPA:</t>
        </r>
        <r>
          <rPr>
            <sz val="9"/>
            <color indexed="81"/>
            <rFont val="Tahoma"/>
            <family val="2"/>
          </rPr>
          <t xml:space="preserve">
проверити збир!
</t>
        </r>
      </text>
    </comment>
    <comment ref="I9882" authorId="0">
      <text>
        <r>
          <rPr>
            <b/>
            <sz val="9"/>
            <color indexed="81"/>
            <rFont val="Tahoma"/>
            <family val="2"/>
          </rPr>
          <t>LPA:</t>
        </r>
        <r>
          <rPr>
            <sz val="9"/>
            <color indexed="81"/>
            <rFont val="Tahoma"/>
            <family val="2"/>
          </rPr>
          <t xml:space="preserve">
проверити збир!
</t>
        </r>
      </text>
    </comment>
    <comment ref="I9883" authorId="0">
      <text>
        <r>
          <rPr>
            <b/>
            <sz val="9"/>
            <color indexed="81"/>
            <rFont val="Tahoma"/>
            <family val="2"/>
          </rPr>
          <t>LPA:</t>
        </r>
        <r>
          <rPr>
            <sz val="9"/>
            <color indexed="81"/>
            <rFont val="Tahoma"/>
            <family val="2"/>
          </rPr>
          <t xml:space="preserve">
проверити збир!
</t>
        </r>
      </text>
    </comment>
    <comment ref="I9884" authorId="0">
      <text>
        <r>
          <rPr>
            <b/>
            <sz val="9"/>
            <color indexed="81"/>
            <rFont val="Tahoma"/>
            <family val="2"/>
          </rPr>
          <t>LPA:</t>
        </r>
        <r>
          <rPr>
            <sz val="9"/>
            <color indexed="81"/>
            <rFont val="Tahoma"/>
            <family val="2"/>
          </rPr>
          <t xml:space="preserve">
проверити збир!
</t>
        </r>
      </text>
    </comment>
    <comment ref="I9885" authorId="0">
      <text>
        <r>
          <rPr>
            <b/>
            <sz val="9"/>
            <color indexed="81"/>
            <rFont val="Tahoma"/>
            <family val="2"/>
          </rPr>
          <t>LPA:</t>
        </r>
        <r>
          <rPr>
            <sz val="9"/>
            <color indexed="81"/>
            <rFont val="Tahoma"/>
            <family val="2"/>
          </rPr>
          <t xml:space="preserve">
проверити збир!
</t>
        </r>
      </text>
    </comment>
    <comment ref="I9886" authorId="0">
      <text>
        <r>
          <rPr>
            <b/>
            <sz val="9"/>
            <color indexed="81"/>
            <rFont val="Tahoma"/>
            <family val="2"/>
          </rPr>
          <t>LPA:</t>
        </r>
        <r>
          <rPr>
            <sz val="9"/>
            <color indexed="81"/>
            <rFont val="Tahoma"/>
            <family val="2"/>
          </rPr>
          <t xml:space="preserve">
проверити збир!
</t>
        </r>
      </text>
    </comment>
    <comment ref="H9890" authorId="0">
      <text>
        <r>
          <rPr>
            <b/>
            <sz val="9"/>
            <color indexed="81"/>
            <rFont val="Tahoma"/>
            <family val="2"/>
          </rPr>
          <t>LPA:</t>
        </r>
        <r>
          <rPr>
            <sz val="9"/>
            <color indexed="81"/>
            <rFont val="Tahoma"/>
            <family val="2"/>
          </rPr>
          <t xml:space="preserve">
проверити збир!</t>
        </r>
      </text>
    </comment>
    <comment ref="I9890" authorId="0">
      <text>
        <r>
          <rPr>
            <b/>
            <sz val="9"/>
            <color indexed="81"/>
            <rFont val="Tahoma"/>
            <family val="2"/>
          </rPr>
          <t>LPA:</t>
        </r>
        <r>
          <rPr>
            <sz val="9"/>
            <color indexed="81"/>
            <rFont val="Tahoma"/>
            <family val="2"/>
          </rPr>
          <t xml:space="preserve">
проверити збир!
</t>
        </r>
      </text>
    </comment>
    <comment ref="I9891" authorId="0">
      <text>
        <r>
          <rPr>
            <b/>
            <sz val="9"/>
            <color indexed="81"/>
            <rFont val="Tahoma"/>
            <family val="2"/>
          </rPr>
          <t>LPA:</t>
        </r>
        <r>
          <rPr>
            <sz val="9"/>
            <color indexed="81"/>
            <rFont val="Tahoma"/>
            <family val="2"/>
          </rPr>
          <t xml:space="preserve">
проверити збир!
</t>
        </r>
      </text>
    </comment>
    <comment ref="I9892" authorId="0">
      <text>
        <r>
          <rPr>
            <b/>
            <sz val="9"/>
            <color indexed="81"/>
            <rFont val="Tahoma"/>
            <family val="2"/>
          </rPr>
          <t>LPA:</t>
        </r>
        <r>
          <rPr>
            <sz val="9"/>
            <color indexed="81"/>
            <rFont val="Tahoma"/>
            <family val="2"/>
          </rPr>
          <t xml:space="preserve">
проверити збир!
</t>
        </r>
      </text>
    </comment>
    <comment ref="I9893" authorId="0">
      <text>
        <r>
          <rPr>
            <b/>
            <sz val="9"/>
            <color indexed="81"/>
            <rFont val="Tahoma"/>
            <family val="2"/>
          </rPr>
          <t>LPA:</t>
        </r>
        <r>
          <rPr>
            <sz val="9"/>
            <color indexed="81"/>
            <rFont val="Tahoma"/>
            <family val="2"/>
          </rPr>
          <t xml:space="preserve">
проверити збир!
</t>
        </r>
      </text>
    </comment>
    <comment ref="I9894" authorId="0">
      <text>
        <r>
          <rPr>
            <b/>
            <sz val="9"/>
            <color indexed="81"/>
            <rFont val="Tahoma"/>
            <family val="2"/>
          </rPr>
          <t>LPA:</t>
        </r>
        <r>
          <rPr>
            <sz val="9"/>
            <color indexed="81"/>
            <rFont val="Tahoma"/>
            <family val="2"/>
          </rPr>
          <t xml:space="preserve">
проверити збир!
</t>
        </r>
      </text>
    </comment>
    <comment ref="I9895" authorId="0">
      <text>
        <r>
          <rPr>
            <b/>
            <sz val="9"/>
            <color indexed="81"/>
            <rFont val="Tahoma"/>
            <family val="2"/>
          </rPr>
          <t>LPA:</t>
        </r>
        <r>
          <rPr>
            <sz val="9"/>
            <color indexed="81"/>
            <rFont val="Tahoma"/>
            <family val="2"/>
          </rPr>
          <t xml:space="preserve">
проверити збир!
</t>
        </r>
      </text>
    </comment>
    <comment ref="I9896" authorId="0">
      <text>
        <r>
          <rPr>
            <b/>
            <sz val="9"/>
            <color indexed="81"/>
            <rFont val="Tahoma"/>
            <family val="2"/>
          </rPr>
          <t>LPA:</t>
        </r>
        <r>
          <rPr>
            <sz val="9"/>
            <color indexed="81"/>
            <rFont val="Tahoma"/>
            <family val="2"/>
          </rPr>
          <t xml:space="preserve">
проверити збир!
</t>
        </r>
      </text>
    </comment>
    <comment ref="I9897" authorId="0">
      <text>
        <r>
          <rPr>
            <b/>
            <sz val="9"/>
            <color indexed="81"/>
            <rFont val="Tahoma"/>
            <family val="2"/>
          </rPr>
          <t>LPA:</t>
        </r>
        <r>
          <rPr>
            <sz val="9"/>
            <color indexed="81"/>
            <rFont val="Tahoma"/>
            <family val="2"/>
          </rPr>
          <t xml:space="preserve">
проверити збир!
</t>
        </r>
      </text>
    </comment>
    <comment ref="I9898" authorId="0">
      <text>
        <r>
          <rPr>
            <b/>
            <sz val="9"/>
            <color indexed="81"/>
            <rFont val="Tahoma"/>
            <family val="2"/>
          </rPr>
          <t>LPA:</t>
        </r>
        <r>
          <rPr>
            <sz val="9"/>
            <color indexed="81"/>
            <rFont val="Tahoma"/>
            <family val="2"/>
          </rPr>
          <t xml:space="preserve">
проверити збир!
</t>
        </r>
      </text>
    </comment>
    <comment ref="I9899" authorId="0">
      <text>
        <r>
          <rPr>
            <b/>
            <sz val="9"/>
            <color indexed="81"/>
            <rFont val="Tahoma"/>
            <family val="2"/>
          </rPr>
          <t>LPA:</t>
        </r>
        <r>
          <rPr>
            <sz val="9"/>
            <color indexed="81"/>
            <rFont val="Tahoma"/>
            <family val="2"/>
          </rPr>
          <t xml:space="preserve">
проверити збир!
</t>
        </r>
      </text>
    </comment>
    <comment ref="I9900" authorId="0">
      <text>
        <r>
          <rPr>
            <b/>
            <sz val="9"/>
            <color indexed="81"/>
            <rFont val="Tahoma"/>
            <family val="2"/>
          </rPr>
          <t>LPA:</t>
        </r>
        <r>
          <rPr>
            <sz val="9"/>
            <color indexed="81"/>
            <rFont val="Tahoma"/>
            <family val="2"/>
          </rPr>
          <t xml:space="preserve">
проверити збир!
</t>
        </r>
      </text>
    </comment>
    <comment ref="I9901" authorId="0">
      <text>
        <r>
          <rPr>
            <b/>
            <sz val="9"/>
            <color indexed="81"/>
            <rFont val="Tahoma"/>
            <family val="2"/>
          </rPr>
          <t>LPA:</t>
        </r>
        <r>
          <rPr>
            <sz val="9"/>
            <color indexed="81"/>
            <rFont val="Tahoma"/>
            <family val="2"/>
          </rPr>
          <t xml:space="preserve">
проверити збир!
</t>
        </r>
      </text>
    </comment>
    <comment ref="I9902" authorId="0">
      <text>
        <r>
          <rPr>
            <b/>
            <sz val="9"/>
            <color indexed="81"/>
            <rFont val="Tahoma"/>
            <family val="2"/>
          </rPr>
          <t>LPA:</t>
        </r>
        <r>
          <rPr>
            <sz val="9"/>
            <color indexed="81"/>
            <rFont val="Tahoma"/>
            <family val="2"/>
          </rPr>
          <t xml:space="preserve">
проверити збир!
</t>
        </r>
      </text>
    </comment>
    <comment ref="I9903" authorId="0">
      <text>
        <r>
          <rPr>
            <b/>
            <sz val="9"/>
            <color indexed="81"/>
            <rFont val="Tahoma"/>
            <family val="2"/>
          </rPr>
          <t>LPA:</t>
        </r>
        <r>
          <rPr>
            <sz val="9"/>
            <color indexed="81"/>
            <rFont val="Tahoma"/>
            <family val="2"/>
          </rPr>
          <t xml:space="preserve">
проверити збир!
</t>
        </r>
      </text>
    </comment>
    <comment ref="I9904" authorId="0">
      <text>
        <r>
          <rPr>
            <b/>
            <sz val="9"/>
            <color indexed="81"/>
            <rFont val="Tahoma"/>
            <family val="2"/>
          </rPr>
          <t>LPA:</t>
        </r>
        <r>
          <rPr>
            <sz val="9"/>
            <color indexed="81"/>
            <rFont val="Tahoma"/>
            <family val="2"/>
          </rPr>
          <t xml:space="preserve">
проверити збир!
</t>
        </r>
      </text>
    </comment>
    <comment ref="I9905" authorId="0">
      <text>
        <r>
          <rPr>
            <b/>
            <sz val="9"/>
            <color indexed="81"/>
            <rFont val="Tahoma"/>
            <family val="2"/>
          </rPr>
          <t>LPA:</t>
        </r>
        <r>
          <rPr>
            <sz val="9"/>
            <color indexed="81"/>
            <rFont val="Tahoma"/>
            <family val="2"/>
          </rPr>
          <t xml:space="preserve">
проверити збир!
</t>
        </r>
      </text>
    </comment>
    <comment ref="H9909" authorId="0">
      <text>
        <r>
          <rPr>
            <b/>
            <sz val="9"/>
            <color indexed="81"/>
            <rFont val="Tahoma"/>
            <family val="2"/>
          </rPr>
          <t>LPA:</t>
        </r>
        <r>
          <rPr>
            <sz val="9"/>
            <color indexed="81"/>
            <rFont val="Tahoma"/>
            <family val="2"/>
          </rPr>
          <t xml:space="preserve">
провери збир!</t>
        </r>
      </text>
    </comment>
    <comment ref="I9909" authorId="0">
      <text>
        <r>
          <rPr>
            <b/>
            <sz val="9"/>
            <color indexed="81"/>
            <rFont val="Tahoma"/>
            <family val="2"/>
          </rPr>
          <t>LPA:</t>
        </r>
        <r>
          <rPr>
            <sz val="9"/>
            <color indexed="81"/>
            <rFont val="Tahoma"/>
            <family val="2"/>
          </rPr>
          <t xml:space="preserve">
проверити збир!
</t>
        </r>
      </text>
    </comment>
    <comment ref="I9910" authorId="0">
      <text>
        <r>
          <rPr>
            <b/>
            <sz val="9"/>
            <color indexed="81"/>
            <rFont val="Tahoma"/>
            <family val="2"/>
          </rPr>
          <t>LPA:</t>
        </r>
        <r>
          <rPr>
            <sz val="9"/>
            <color indexed="81"/>
            <rFont val="Tahoma"/>
            <family val="2"/>
          </rPr>
          <t xml:space="preserve">
проверити збир!
</t>
        </r>
      </text>
    </comment>
    <comment ref="I9911" authorId="0">
      <text>
        <r>
          <rPr>
            <b/>
            <sz val="9"/>
            <color indexed="81"/>
            <rFont val="Tahoma"/>
            <family val="2"/>
          </rPr>
          <t>LPA:</t>
        </r>
        <r>
          <rPr>
            <sz val="9"/>
            <color indexed="81"/>
            <rFont val="Tahoma"/>
            <family val="2"/>
          </rPr>
          <t xml:space="preserve">
проверити збир!
</t>
        </r>
      </text>
    </comment>
    <comment ref="I9912" authorId="0">
      <text>
        <r>
          <rPr>
            <b/>
            <sz val="9"/>
            <color indexed="81"/>
            <rFont val="Tahoma"/>
            <family val="2"/>
          </rPr>
          <t>LPA:</t>
        </r>
        <r>
          <rPr>
            <sz val="9"/>
            <color indexed="81"/>
            <rFont val="Tahoma"/>
            <family val="2"/>
          </rPr>
          <t xml:space="preserve">
проверити збир!
</t>
        </r>
      </text>
    </comment>
    <comment ref="I9913" authorId="0">
      <text>
        <r>
          <rPr>
            <b/>
            <sz val="9"/>
            <color indexed="81"/>
            <rFont val="Tahoma"/>
            <family val="2"/>
          </rPr>
          <t>LPA:</t>
        </r>
        <r>
          <rPr>
            <sz val="9"/>
            <color indexed="81"/>
            <rFont val="Tahoma"/>
            <family val="2"/>
          </rPr>
          <t xml:space="preserve">
проверити збир!
</t>
        </r>
      </text>
    </comment>
    <comment ref="I9914" authorId="0">
      <text>
        <r>
          <rPr>
            <b/>
            <sz val="9"/>
            <color indexed="81"/>
            <rFont val="Tahoma"/>
            <family val="2"/>
          </rPr>
          <t>LPA:</t>
        </r>
        <r>
          <rPr>
            <sz val="9"/>
            <color indexed="81"/>
            <rFont val="Tahoma"/>
            <family val="2"/>
          </rPr>
          <t xml:space="preserve">
проверити збир!
</t>
        </r>
      </text>
    </comment>
    <comment ref="I9915" authorId="0">
      <text>
        <r>
          <rPr>
            <b/>
            <sz val="9"/>
            <color indexed="81"/>
            <rFont val="Tahoma"/>
            <family val="2"/>
          </rPr>
          <t>LPA:</t>
        </r>
        <r>
          <rPr>
            <sz val="9"/>
            <color indexed="81"/>
            <rFont val="Tahoma"/>
            <family val="2"/>
          </rPr>
          <t xml:space="preserve">
проверити збир!
</t>
        </r>
      </text>
    </comment>
    <comment ref="I9916" authorId="0">
      <text>
        <r>
          <rPr>
            <b/>
            <sz val="9"/>
            <color indexed="81"/>
            <rFont val="Tahoma"/>
            <family val="2"/>
          </rPr>
          <t>LPA:</t>
        </r>
        <r>
          <rPr>
            <sz val="9"/>
            <color indexed="81"/>
            <rFont val="Tahoma"/>
            <family val="2"/>
          </rPr>
          <t xml:space="preserve">
проверити збир!
</t>
        </r>
      </text>
    </comment>
    <comment ref="I9917" authorId="0">
      <text>
        <r>
          <rPr>
            <b/>
            <sz val="9"/>
            <color indexed="81"/>
            <rFont val="Tahoma"/>
            <family val="2"/>
          </rPr>
          <t>LPA:</t>
        </r>
        <r>
          <rPr>
            <sz val="9"/>
            <color indexed="81"/>
            <rFont val="Tahoma"/>
            <family val="2"/>
          </rPr>
          <t xml:space="preserve">
проверити збир!
</t>
        </r>
      </text>
    </comment>
    <comment ref="I9918" authorId="0">
      <text>
        <r>
          <rPr>
            <b/>
            <sz val="9"/>
            <color indexed="81"/>
            <rFont val="Tahoma"/>
            <family val="2"/>
          </rPr>
          <t>LPA:</t>
        </r>
        <r>
          <rPr>
            <sz val="9"/>
            <color indexed="81"/>
            <rFont val="Tahoma"/>
            <family val="2"/>
          </rPr>
          <t xml:space="preserve">
проверити збир!
</t>
        </r>
      </text>
    </comment>
    <comment ref="I9919" authorId="0">
      <text>
        <r>
          <rPr>
            <b/>
            <sz val="9"/>
            <color indexed="81"/>
            <rFont val="Tahoma"/>
            <family val="2"/>
          </rPr>
          <t>LPA:</t>
        </r>
        <r>
          <rPr>
            <sz val="9"/>
            <color indexed="81"/>
            <rFont val="Tahoma"/>
            <family val="2"/>
          </rPr>
          <t xml:space="preserve">
проверити збир!
</t>
        </r>
      </text>
    </comment>
    <comment ref="I9920" authorId="0">
      <text>
        <r>
          <rPr>
            <b/>
            <sz val="9"/>
            <color indexed="81"/>
            <rFont val="Tahoma"/>
            <family val="2"/>
          </rPr>
          <t>LPA:</t>
        </r>
        <r>
          <rPr>
            <sz val="9"/>
            <color indexed="81"/>
            <rFont val="Tahoma"/>
            <family val="2"/>
          </rPr>
          <t xml:space="preserve">
проверити збир!
</t>
        </r>
      </text>
    </comment>
    <comment ref="I9921" authorId="0">
      <text>
        <r>
          <rPr>
            <b/>
            <sz val="9"/>
            <color indexed="81"/>
            <rFont val="Tahoma"/>
            <family val="2"/>
          </rPr>
          <t>LPA:</t>
        </r>
        <r>
          <rPr>
            <sz val="9"/>
            <color indexed="81"/>
            <rFont val="Tahoma"/>
            <family val="2"/>
          </rPr>
          <t xml:space="preserve">
проверити збир!
</t>
        </r>
      </text>
    </comment>
    <comment ref="I9922" authorId="0">
      <text>
        <r>
          <rPr>
            <b/>
            <sz val="9"/>
            <color indexed="81"/>
            <rFont val="Tahoma"/>
            <family val="2"/>
          </rPr>
          <t>LPA:</t>
        </r>
        <r>
          <rPr>
            <sz val="9"/>
            <color indexed="81"/>
            <rFont val="Tahoma"/>
            <family val="2"/>
          </rPr>
          <t xml:space="preserve">
проверити збир!
</t>
        </r>
      </text>
    </comment>
    <comment ref="I9923" authorId="0">
      <text>
        <r>
          <rPr>
            <b/>
            <sz val="9"/>
            <color indexed="81"/>
            <rFont val="Tahoma"/>
            <family val="2"/>
          </rPr>
          <t>LPA:</t>
        </r>
        <r>
          <rPr>
            <sz val="9"/>
            <color indexed="81"/>
            <rFont val="Tahoma"/>
            <family val="2"/>
          </rPr>
          <t xml:space="preserve">
проверити збир!
</t>
        </r>
      </text>
    </comment>
    <comment ref="I9924" authorId="0">
      <text>
        <r>
          <rPr>
            <b/>
            <sz val="9"/>
            <color indexed="81"/>
            <rFont val="Tahoma"/>
            <family val="2"/>
          </rPr>
          <t>LPA:</t>
        </r>
        <r>
          <rPr>
            <sz val="9"/>
            <color indexed="81"/>
            <rFont val="Tahoma"/>
            <family val="2"/>
          </rPr>
          <t xml:space="preserve">
проверити збир!
</t>
        </r>
      </text>
    </comment>
    <comment ref="I9995" authorId="0">
      <text>
        <r>
          <rPr>
            <b/>
            <sz val="9"/>
            <color indexed="81"/>
            <rFont val="Tahoma"/>
            <family val="2"/>
          </rPr>
          <t>LPA:</t>
        </r>
        <r>
          <rPr>
            <sz val="9"/>
            <color indexed="81"/>
            <rFont val="Tahoma"/>
            <family val="2"/>
          </rPr>
          <t xml:space="preserve">
проверити збир!
</t>
        </r>
      </text>
    </comment>
    <comment ref="I9996" authorId="0">
      <text>
        <r>
          <rPr>
            <b/>
            <sz val="9"/>
            <color indexed="81"/>
            <rFont val="Tahoma"/>
            <family val="2"/>
          </rPr>
          <t>LPA:</t>
        </r>
        <r>
          <rPr>
            <sz val="9"/>
            <color indexed="81"/>
            <rFont val="Tahoma"/>
            <family val="2"/>
          </rPr>
          <t xml:space="preserve">
проверити збир!
</t>
        </r>
      </text>
    </comment>
    <comment ref="I9997" authorId="0">
      <text>
        <r>
          <rPr>
            <b/>
            <sz val="9"/>
            <color indexed="81"/>
            <rFont val="Tahoma"/>
            <family val="2"/>
          </rPr>
          <t>LPA:</t>
        </r>
        <r>
          <rPr>
            <sz val="9"/>
            <color indexed="81"/>
            <rFont val="Tahoma"/>
            <family val="2"/>
          </rPr>
          <t xml:space="preserve">
проверити збир!
</t>
        </r>
      </text>
    </comment>
    <comment ref="I9998" authorId="0">
      <text>
        <r>
          <rPr>
            <b/>
            <sz val="9"/>
            <color indexed="81"/>
            <rFont val="Tahoma"/>
            <family val="2"/>
          </rPr>
          <t>LPA:</t>
        </r>
        <r>
          <rPr>
            <sz val="9"/>
            <color indexed="81"/>
            <rFont val="Tahoma"/>
            <family val="2"/>
          </rPr>
          <t xml:space="preserve">
проверити збир!
</t>
        </r>
      </text>
    </comment>
    <comment ref="I9999" authorId="0">
      <text>
        <r>
          <rPr>
            <b/>
            <sz val="9"/>
            <color indexed="81"/>
            <rFont val="Tahoma"/>
            <family val="2"/>
          </rPr>
          <t>LPA:</t>
        </r>
        <r>
          <rPr>
            <sz val="9"/>
            <color indexed="81"/>
            <rFont val="Tahoma"/>
            <family val="2"/>
          </rPr>
          <t xml:space="preserve">
проверити збир!
</t>
        </r>
      </text>
    </comment>
    <comment ref="I10000" authorId="0">
      <text>
        <r>
          <rPr>
            <b/>
            <sz val="9"/>
            <color indexed="81"/>
            <rFont val="Tahoma"/>
            <family val="2"/>
          </rPr>
          <t>LPA:</t>
        </r>
        <r>
          <rPr>
            <sz val="9"/>
            <color indexed="81"/>
            <rFont val="Tahoma"/>
            <family val="2"/>
          </rPr>
          <t xml:space="preserve">
проверити збир!
</t>
        </r>
      </text>
    </comment>
    <comment ref="I10001" authorId="0">
      <text>
        <r>
          <rPr>
            <b/>
            <sz val="9"/>
            <color indexed="81"/>
            <rFont val="Tahoma"/>
            <family val="2"/>
          </rPr>
          <t>LPA:</t>
        </r>
        <r>
          <rPr>
            <sz val="9"/>
            <color indexed="81"/>
            <rFont val="Tahoma"/>
            <family val="2"/>
          </rPr>
          <t xml:space="preserve">
проверити збир!
</t>
        </r>
      </text>
    </comment>
    <comment ref="I10002" authorId="0">
      <text>
        <r>
          <rPr>
            <b/>
            <sz val="9"/>
            <color indexed="81"/>
            <rFont val="Tahoma"/>
            <family val="2"/>
          </rPr>
          <t>LPA:</t>
        </r>
        <r>
          <rPr>
            <sz val="9"/>
            <color indexed="81"/>
            <rFont val="Tahoma"/>
            <family val="2"/>
          </rPr>
          <t xml:space="preserve">
проверити збир!
</t>
        </r>
      </text>
    </comment>
    <comment ref="I10003" authorId="0">
      <text>
        <r>
          <rPr>
            <b/>
            <sz val="9"/>
            <color indexed="81"/>
            <rFont val="Tahoma"/>
            <family val="2"/>
          </rPr>
          <t>LPA:</t>
        </r>
        <r>
          <rPr>
            <sz val="9"/>
            <color indexed="81"/>
            <rFont val="Tahoma"/>
            <family val="2"/>
          </rPr>
          <t xml:space="preserve">
проверити збир!
</t>
        </r>
      </text>
    </comment>
    <comment ref="I10004" authorId="0">
      <text>
        <r>
          <rPr>
            <b/>
            <sz val="9"/>
            <color indexed="81"/>
            <rFont val="Tahoma"/>
            <family val="2"/>
          </rPr>
          <t>LPA:</t>
        </r>
        <r>
          <rPr>
            <sz val="9"/>
            <color indexed="81"/>
            <rFont val="Tahoma"/>
            <family val="2"/>
          </rPr>
          <t xml:space="preserve">
проверити збир!
</t>
        </r>
      </text>
    </comment>
    <comment ref="I10005" authorId="0">
      <text>
        <r>
          <rPr>
            <b/>
            <sz val="9"/>
            <color indexed="81"/>
            <rFont val="Tahoma"/>
            <family val="2"/>
          </rPr>
          <t>LPA:</t>
        </r>
        <r>
          <rPr>
            <sz val="9"/>
            <color indexed="81"/>
            <rFont val="Tahoma"/>
            <family val="2"/>
          </rPr>
          <t xml:space="preserve">
проверити збир!
</t>
        </r>
      </text>
    </comment>
    <comment ref="I10006" authorId="0">
      <text>
        <r>
          <rPr>
            <b/>
            <sz val="9"/>
            <color indexed="81"/>
            <rFont val="Tahoma"/>
            <family val="2"/>
          </rPr>
          <t>LPA:</t>
        </r>
        <r>
          <rPr>
            <sz val="9"/>
            <color indexed="81"/>
            <rFont val="Tahoma"/>
            <family val="2"/>
          </rPr>
          <t xml:space="preserve">
проверити збир!
</t>
        </r>
      </text>
    </comment>
    <comment ref="I10007" authorId="0">
      <text>
        <r>
          <rPr>
            <b/>
            <sz val="9"/>
            <color indexed="81"/>
            <rFont val="Tahoma"/>
            <family val="2"/>
          </rPr>
          <t>LPA:</t>
        </r>
        <r>
          <rPr>
            <sz val="9"/>
            <color indexed="81"/>
            <rFont val="Tahoma"/>
            <family val="2"/>
          </rPr>
          <t xml:space="preserve">
проверити збир!
</t>
        </r>
      </text>
    </comment>
    <comment ref="H10010" authorId="0">
      <text>
        <r>
          <rPr>
            <b/>
            <sz val="9"/>
            <color indexed="81"/>
            <rFont val="Tahoma"/>
            <family val="2"/>
          </rPr>
          <t>LPA:</t>
        </r>
        <r>
          <rPr>
            <sz val="9"/>
            <color indexed="81"/>
            <rFont val="Tahoma"/>
            <family val="2"/>
          </rPr>
          <t xml:space="preserve">
проверити збир!</t>
        </r>
      </text>
    </comment>
    <comment ref="I10010" authorId="0">
      <text>
        <r>
          <rPr>
            <b/>
            <sz val="9"/>
            <color indexed="81"/>
            <rFont val="Tahoma"/>
            <family val="2"/>
          </rPr>
          <t>LPA:</t>
        </r>
        <r>
          <rPr>
            <sz val="9"/>
            <color indexed="81"/>
            <rFont val="Tahoma"/>
            <family val="2"/>
          </rPr>
          <t xml:space="preserve">
проверити збир!</t>
        </r>
      </text>
    </comment>
    <comment ref="I10011" authorId="0">
      <text>
        <r>
          <rPr>
            <b/>
            <sz val="9"/>
            <color indexed="81"/>
            <rFont val="Tahoma"/>
            <family val="2"/>
          </rPr>
          <t>LPA:</t>
        </r>
        <r>
          <rPr>
            <sz val="9"/>
            <color indexed="81"/>
            <rFont val="Tahoma"/>
            <family val="2"/>
          </rPr>
          <t xml:space="preserve">
проверити збир!
</t>
        </r>
      </text>
    </comment>
    <comment ref="I10012" authorId="0">
      <text>
        <r>
          <rPr>
            <b/>
            <sz val="9"/>
            <color indexed="81"/>
            <rFont val="Tahoma"/>
            <family val="2"/>
          </rPr>
          <t>LPA:</t>
        </r>
        <r>
          <rPr>
            <sz val="9"/>
            <color indexed="81"/>
            <rFont val="Tahoma"/>
            <family val="2"/>
          </rPr>
          <t xml:space="preserve">
проверити збир!
</t>
        </r>
      </text>
    </comment>
    <comment ref="I10013" authorId="0">
      <text>
        <r>
          <rPr>
            <b/>
            <sz val="9"/>
            <color indexed="81"/>
            <rFont val="Tahoma"/>
            <family val="2"/>
          </rPr>
          <t>LPA:</t>
        </r>
        <r>
          <rPr>
            <sz val="9"/>
            <color indexed="81"/>
            <rFont val="Tahoma"/>
            <family val="2"/>
          </rPr>
          <t xml:space="preserve">
проверити збир!
</t>
        </r>
      </text>
    </comment>
    <comment ref="I10014" authorId="0">
      <text>
        <r>
          <rPr>
            <b/>
            <sz val="9"/>
            <color indexed="81"/>
            <rFont val="Tahoma"/>
            <family val="2"/>
          </rPr>
          <t>LPA:</t>
        </r>
        <r>
          <rPr>
            <sz val="9"/>
            <color indexed="81"/>
            <rFont val="Tahoma"/>
            <family val="2"/>
          </rPr>
          <t xml:space="preserve">
проверити збир!
</t>
        </r>
      </text>
    </comment>
    <comment ref="I10015" authorId="0">
      <text>
        <r>
          <rPr>
            <b/>
            <sz val="9"/>
            <color indexed="81"/>
            <rFont val="Tahoma"/>
            <family val="2"/>
          </rPr>
          <t>LPA:</t>
        </r>
        <r>
          <rPr>
            <sz val="9"/>
            <color indexed="81"/>
            <rFont val="Tahoma"/>
            <family val="2"/>
          </rPr>
          <t xml:space="preserve">
проверити збир!
</t>
        </r>
      </text>
    </comment>
    <comment ref="I10016" authorId="0">
      <text>
        <r>
          <rPr>
            <b/>
            <sz val="9"/>
            <color indexed="81"/>
            <rFont val="Tahoma"/>
            <family val="2"/>
          </rPr>
          <t>LPA:</t>
        </r>
        <r>
          <rPr>
            <sz val="9"/>
            <color indexed="81"/>
            <rFont val="Tahoma"/>
            <family val="2"/>
          </rPr>
          <t xml:space="preserve">
проверити збир!
</t>
        </r>
      </text>
    </comment>
    <comment ref="I10017" authorId="0">
      <text>
        <r>
          <rPr>
            <b/>
            <sz val="9"/>
            <color indexed="81"/>
            <rFont val="Tahoma"/>
            <family val="2"/>
          </rPr>
          <t>LPA:</t>
        </r>
        <r>
          <rPr>
            <sz val="9"/>
            <color indexed="81"/>
            <rFont val="Tahoma"/>
            <family val="2"/>
          </rPr>
          <t xml:space="preserve">
проверити збир!
</t>
        </r>
      </text>
    </comment>
    <comment ref="I10018" authorId="0">
      <text>
        <r>
          <rPr>
            <b/>
            <sz val="9"/>
            <color indexed="81"/>
            <rFont val="Tahoma"/>
            <family val="2"/>
          </rPr>
          <t>LPA:</t>
        </r>
        <r>
          <rPr>
            <sz val="9"/>
            <color indexed="81"/>
            <rFont val="Tahoma"/>
            <family val="2"/>
          </rPr>
          <t xml:space="preserve">
проверити збир!
</t>
        </r>
      </text>
    </comment>
    <comment ref="I10019" authorId="0">
      <text>
        <r>
          <rPr>
            <b/>
            <sz val="9"/>
            <color indexed="81"/>
            <rFont val="Tahoma"/>
            <family val="2"/>
          </rPr>
          <t>LPA:</t>
        </r>
        <r>
          <rPr>
            <sz val="9"/>
            <color indexed="81"/>
            <rFont val="Tahoma"/>
            <family val="2"/>
          </rPr>
          <t xml:space="preserve">
проверити збир!
</t>
        </r>
      </text>
    </comment>
    <comment ref="I10020" authorId="0">
      <text>
        <r>
          <rPr>
            <b/>
            <sz val="9"/>
            <color indexed="81"/>
            <rFont val="Tahoma"/>
            <family val="2"/>
          </rPr>
          <t>LPA:</t>
        </r>
        <r>
          <rPr>
            <sz val="9"/>
            <color indexed="81"/>
            <rFont val="Tahoma"/>
            <family val="2"/>
          </rPr>
          <t xml:space="preserve">
проверити збир!
</t>
        </r>
      </text>
    </comment>
    <comment ref="I10021" authorId="0">
      <text>
        <r>
          <rPr>
            <b/>
            <sz val="9"/>
            <color indexed="81"/>
            <rFont val="Tahoma"/>
            <family val="2"/>
          </rPr>
          <t>LPA:</t>
        </r>
        <r>
          <rPr>
            <sz val="9"/>
            <color indexed="81"/>
            <rFont val="Tahoma"/>
            <family val="2"/>
          </rPr>
          <t xml:space="preserve">
проверити збир!
</t>
        </r>
      </text>
    </comment>
    <comment ref="I10022" authorId="0">
      <text>
        <r>
          <rPr>
            <b/>
            <sz val="9"/>
            <color indexed="81"/>
            <rFont val="Tahoma"/>
            <family val="2"/>
          </rPr>
          <t>LPA:</t>
        </r>
        <r>
          <rPr>
            <sz val="9"/>
            <color indexed="81"/>
            <rFont val="Tahoma"/>
            <family val="2"/>
          </rPr>
          <t xml:space="preserve">
проверити збир!
</t>
        </r>
      </text>
    </comment>
    <comment ref="I10023" authorId="0">
      <text>
        <r>
          <rPr>
            <b/>
            <sz val="9"/>
            <color indexed="81"/>
            <rFont val="Tahoma"/>
            <family val="2"/>
          </rPr>
          <t>LPA:</t>
        </r>
        <r>
          <rPr>
            <sz val="9"/>
            <color indexed="81"/>
            <rFont val="Tahoma"/>
            <family val="2"/>
          </rPr>
          <t xml:space="preserve">
проверити збир!
</t>
        </r>
      </text>
    </comment>
    <comment ref="I10024" authorId="0">
      <text>
        <r>
          <rPr>
            <b/>
            <sz val="9"/>
            <color indexed="81"/>
            <rFont val="Tahoma"/>
            <family val="2"/>
          </rPr>
          <t>LPA:</t>
        </r>
        <r>
          <rPr>
            <sz val="9"/>
            <color indexed="81"/>
            <rFont val="Tahoma"/>
            <family val="2"/>
          </rPr>
          <t xml:space="preserve">
проверити збир!
</t>
        </r>
      </text>
    </comment>
    <comment ref="I10025" authorId="0">
      <text>
        <r>
          <rPr>
            <b/>
            <sz val="9"/>
            <color indexed="81"/>
            <rFont val="Tahoma"/>
            <family val="2"/>
          </rPr>
          <t>LPA:</t>
        </r>
        <r>
          <rPr>
            <sz val="9"/>
            <color indexed="81"/>
            <rFont val="Tahoma"/>
            <family val="2"/>
          </rPr>
          <t xml:space="preserve">
проверити збир!
</t>
        </r>
      </text>
    </comment>
    <comment ref="I10094" authorId="0">
      <text>
        <r>
          <rPr>
            <b/>
            <sz val="9"/>
            <color indexed="81"/>
            <rFont val="Tahoma"/>
            <family val="2"/>
          </rPr>
          <t>LPA:</t>
        </r>
        <r>
          <rPr>
            <sz val="9"/>
            <color indexed="81"/>
            <rFont val="Tahoma"/>
            <family val="2"/>
          </rPr>
          <t xml:space="preserve">
проверити збир!
</t>
        </r>
      </text>
    </comment>
    <comment ref="I10095" authorId="0">
      <text>
        <r>
          <rPr>
            <b/>
            <sz val="9"/>
            <color indexed="81"/>
            <rFont val="Tahoma"/>
            <family val="2"/>
          </rPr>
          <t>LPA:</t>
        </r>
        <r>
          <rPr>
            <sz val="9"/>
            <color indexed="81"/>
            <rFont val="Tahoma"/>
            <family val="2"/>
          </rPr>
          <t xml:space="preserve">
проверити збир!
</t>
        </r>
      </text>
    </comment>
    <comment ref="I10096" authorId="0">
      <text>
        <r>
          <rPr>
            <b/>
            <sz val="9"/>
            <color indexed="81"/>
            <rFont val="Tahoma"/>
            <family val="2"/>
          </rPr>
          <t>LPA:</t>
        </r>
        <r>
          <rPr>
            <sz val="9"/>
            <color indexed="81"/>
            <rFont val="Tahoma"/>
            <family val="2"/>
          </rPr>
          <t xml:space="preserve">
проверити збир!
</t>
        </r>
      </text>
    </comment>
    <comment ref="I10097" authorId="0">
      <text>
        <r>
          <rPr>
            <b/>
            <sz val="9"/>
            <color indexed="81"/>
            <rFont val="Tahoma"/>
            <family val="2"/>
          </rPr>
          <t>LPA:</t>
        </r>
        <r>
          <rPr>
            <sz val="9"/>
            <color indexed="81"/>
            <rFont val="Tahoma"/>
            <family val="2"/>
          </rPr>
          <t xml:space="preserve">
проверити збир!
</t>
        </r>
      </text>
    </comment>
    <comment ref="I10098" authorId="0">
      <text>
        <r>
          <rPr>
            <b/>
            <sz val="9"/>
            <color indexed="81"/>
            <rFont val="Tahoma"/>
            <family val="2"/>
          </rPr>
          <t>LPA:</t>
        </r>
        <r>
          <rPr>
            <sz val="9"/>
            <color indexed="81"/>
            <rFont val="Tahoma"/>
            <family val="2"/>
          </rPr>
          <t xml:space="preserve">
проверити збир!
</t>
        </r>
      </text>
    </comment>
    <comment ref="I10099" authorId="0">
      <text>
        <r>
          <rPr>
            <b/>
            <sz val="9"/>
            <color indexed="81"/>
            <rFont val="Tahoma"/>
            <family val="2"/>
          </rPr>
          <t>LPA:</t>
        </r>
        <r>
          <rPr>
            <sz val="9"/>
            <color indexed="81"/>
            <rFont val="Tahoma"/>
            <family val="2"/>
          </rPr>
          <t xml:space="preserve">
проверити збир!
</t>
        </r>
      </text>
    </comment>
    <comment ref="I10100" authorId="0">
      <text>
        <r>
          <rPr>
            <b/>
            <sz val="9"/>
            <color indexed="81"/>
            <rFont val="Tahoma"/>
            <family val="2"/>
          </rPr>
          <t>LPA:</t>
        </r>
        <r>
          <rPr>
            <sz val="9"/>
            <color indexed="81"/>
            <rFont val="Tahoma"/>
            <family val="2"/>
          </rPr>
          <t xml:space="preserve">
проверити збир!
</t>
        </r>
      </text>
    </comment>
    <comment ref="I10101" authorId="0">
      <text>
        <r>
          <rPr>
            <b/>
            <sz val="9"/>
            <color indexed="81"/>
            <rFont val="Tahoma"/>
            <family val="2"/>
          </rPr>
          <t>LPA:</t>
        </r>
        <r>
          <rPr>
            <sz val="9"/>
            <color indexed="81"/>
            <rFont val="Tahoma"/>
            <family val="2"/>
          </rPr>
          <t xml:space="preserve">
проверити збир!
</t>
        </r>
      </text>
    </comment>
    <comment ref="I10102" authorId="0">
      <text>
        <r>
          <rPr>
            <b/>
            <sz val="9"/>
            <color indexed="81"/>
            <rFont val="Tahoma"/>
            <family val="2"/>
          </rPr>
          <t>LPA:</t>
        </r>
        <r>
          <rPr>
            <sz val="9"/>
            <color indexed="81"/>
            <rFont val="Tahoma"/>
            <family val="2"/>
          </rPr>
          <t xml:space="preserve">
проверити збир!
</t>
        </r>
      </text>
    </comment>
    <comment ref="I10103" authorId="0">
      <text>
        <r>
          <rPr>
            <b/>
            <sz val="9"/>
            <color indexed="81"/>
            <rFont val="Tahoma"/>
            <family val="2"/>
          </rPr>
          <t>LPA:</t>
        </r>
        <r>
          <rPr>
            <sz val="9"/>
            <color indexed="81"/>
            <rFont val="Tahoma"/>
            <family val="2"/>
          </rPr>
          <t xml:space="preserve">
проверити збир!
</t>
        </r>
      </text>
    </comment>
    <comment ref="I10104" authorId="0">
      <text>
        <r>
          <rPr>
            <b/>
            <sz val="9"/>
            <color indexed="81"/>
            <rFont val="Tahoma"/>
            <family val="2"/>
          </rPr>
          <t>LPA:</t>
        </r>
        <r>
          <rPr>
            <sz val="9"/>
            <color indexed="81"/>
            <rFont val="Tahoma"/>
            <family val="2"/>
          </rPr>
          <t xml:space="preserve">
проверити збир!
</t>
        </r>
      </text>
    </comment>
    <comment ref="I10105" authorId="0">
      <text>
        <r>
          <rPr>
            <b/>
            <sz val="9"/>
            <color indexed="81"/>
            <rFont val="Tahoma"/>
            <family val="2"/>
          </rPr>
          <t>LPA:</t>
        </r>
        <r>
          <rPr>
            <sz val="9"/>
            <color indexed="81"/>
            <rFont val="Tahoma"/>
            <family val="2"/>
          </rPr>
          <t xml:space="preserve">
проверити збир!
</t>
        </r>
      </text>
    </comment>
    <comment ref="I10106" authorId="0">
      <text>
        <r>
          <rPr>
            <b/>
            <sz val="9"/>
            <color indexed="81"/>
            <rFont val="Tahoma"/>
            <family val="2"/>
          </rPr>
          <t>LPA:</t>
        </r>
        <r>
          <rPr>
            <sz val="9"/>
            <color indexed="81"/>
            <rFont val="Tahoma"/>
            <family val="2"/>
          </rPr>
          <t xml:space="preserve">
проверити збир!
</t>
        </r>
      </text>
    </comment>
    <comment ref="H10109" authorId="0">
      <text>
        <r>
          <rPr>
            <b/>
            <sz val="9"/>
            <color indexed="81"/>
            <rFont val="Tahoma"/>
            <family val="2"/>
          </rPr>
          <t>LPA:</t>
        </r>
        <r>
          <rPr>
            <sz val="9"/>
            <color indexed="81"/>
            <rFont val="Tahoma"/>
            <family val="2"/>
          </rPr>
          <t xml:space="preserve">
проверити збир!</t>
        </r>
      </text>
    </comment>
    <comment ref="I10109" authorId="0">
      <text>
        <r>
          <rPr>
            <b/>
            <sz val="9"/>
            <color indexed="81"/>
            <rFont val="Tahoma"/>
            <family val="2"/>
          </rPr>
          <t>LPA:</t>
        </r>
        <r>
          <rPr>
            <sz val="9"/>
            <color indexed="81"/>
            <rFont val="Tahoma"/>
            <family val="2"/>
          </rPr>
          <t xml:space="preserve">
проверити збир!</t>
        </r>
      </text>
    </comment>
    <comment ref="I10110" authorId="0">
      <text>
        <r>
          <rPr>
            <b/>
            <sz val="9"/>
            <color indexed="81"/>
            <rFont val="Tahoma"/>
            <family val="2"/>
          </rPr>
          <t>LPA:</t>
        </r>
        <r>
          <rPr>
            <sz val="9"/>
            <color indexed="81"/>
            <rFont val="Tahoma"/>
            <family val="2"/>
          </rPr>
          <t xml:space="preserve">
проверити збир!
</t>
        </r>
      </text>
    </comment>
    <comment ref="I10111" authorId="0">
      <text>
        <r>
          <rPr>
            <b/>
            <sz val="9"/>
            <color indexed="81"/>
            <rFont val="Tahoma"/>
            <family val="2"/>
          </rPr>
          <t>LPA:</t>
        </r>
        <r>
          <rPr>
            <sz val="9"/>
            <color indexed="81"/>
            <rFont val="Tahoma"/>
            <family val="2"/>
          </rPr>
          <t xml:space="preserve">
проверити збир!
</t>
        </r>
      </text>
    </comment>
    <comment ref="I10112" authorId="0">
      <text>
        <r>
          <rPr>
            <b/>
            <sz val="9"/>
            <color indexed="81"/>
            <rFont val="Tahoma"/>
            <family val="2"/>
          </rPr>
          <t>LPA:</t>
        </r>
        <r>
          <rPr>
            <sz val="9"/>
            <color indexed="81"/>
            <rFont val="Tahoma"/>
            <family val="2"/>
          </rPr>
          <t xml:space="preserve">
проверити збир!
</t>
        </r>
      </text>
    </comment>
    <comment ref="I10113" authorId="0">
      <text>
        <r>
          <rPr>
            <b/>
            <sz val="9"/>
            <color indexed="81"/>
            <rFont val="Tahoma"/>
            <family val="2"/>
          </rPr>
          <t>LPA:</t>
        </r>
        <r>
          <rPr>
            <sz val="9"/>
            <color indexed="81"/>
            <rFont val="Tahoma"/>
            <family val="2"/>
          </rPr>
          <t xml:space="preserve">
проверити збир!
</t>
        </r>
      </text>
    </comment>
    <comment ref="I10114" authorId="0">
      <text>
        <r>
          <rPr>
            <b/>
            <sz val="9"/>
            <color indexed="81"/>
            <rFont val="Tahoma"/>
            <family val="2"/>
          </rPr>
          <t>LPA:</t>
        </r>
        <r>
          <rPr>
            <sz val="9"/>
            <color indexed="81"/>
            <rFont val="Tahoma"/>
            <family val="2"/>
          </rPr>
          <t xml:space="preserve">
проверити збир!
</t>
        </r>
      </text>
    </comment>
    <comment ref="I10115" authorId="0">
      <text>
        <r>
          <rPr>
            <b/>
            <sz val="9"/>
            <color indexed="81"/>
            <rFont val="Tahoma"/>
            <family val="2"/>
          </rPr>
          <t>LPA:</t>
        </r>
        <r>
          <rPr>
            <sz val="9"/>
            <color indexed="81"/>
            <rFont val="Tahoma"/>
            <family val="2"/>
          </rPr>
          <t xml:space="preserve">
проверити збир!
</t>
        </r>
      </text>
    </comment>
    <comment ref="I10116" authorId="0">
      <text>
        <r>
          <rPr>
            <b/>
            <sz val="9"/>
            <color indexed="81"/>
            <rFont val="Tahoma"/>
            <family val="2"/>
          </rPr>
          <t>LPA:</t>
        </r>
        <r>
          <rPr>
            <sz val="9"/>
            <color indexed="81"/>
            <rFont val="Tahoma"/>
            <family val="2"/>
          </rPr>
          <t xml:space="preserve">
проверити збир!
</t>
        </r>
      </text>
    </comment>
    <comment ref="I10117" authorId="0">
      <text>
        <r>
          <rPr>
            <b/>
            <sz val="9"/>
            <color indexed="81"/>
            <rFont val="Tahoma"/>
            <family val="2"/>
          </rPr>
          <t>LPA:</t>
        </r>
        <r>
          <rPr>
            <sz val="9"/>
            <color indexed="81"/>
            <rFont val="Tahoma"/>
            <family val="2"/>
          </rPr>
          <t xml:space="preserve">
проверити збир!
</t>
        </r>
      </text>
    </comment>
    <comment ref="I10118" authorId="0">
      <text>
        <r>
          <rPr>
            <b/>
            <sz val="9"/>
            <color indexed="81"/>
            <rFont val="Tahoma"/>
            <family val="2"/>
          </rPr>
          <t>LPA:</t>
        </r>
        <r>
          <rPr>
            <sz val="9"/>
            <color indexed="81"/>
            <rFont val="Tahoma"/>
            <family val="2"/>
          </rPr>
          <t xml:space="preserve">
проверити збир!
</t>
        </r>
      </text>
    </comment>
    <comment ref="I10119" authorId="0">
      <text>
        <r>
          <rPr>
            <b/>
            <sz val="9"/>
            <color indexed="81"/>
            <rFont val="Tahoma"/>
            <family val="2"/>
          </rPr>
          <t>LPA:</t>
        </r>
        <r>
          <rPr>
            <sz val="9"/>
            <color indexed="81"/>
            <rFont val="Tahoma"/>
            <family val="2"/>
          </rPr>
          <t xml:space="preserve">
проверити збир!
</t>
        </r>
      </text>
    </comment>
    <comment ref="I10120" authorId="0">
      <text>
        <r>
          <rPr>
            <b/>
            <sz val="9"/>
            <color indexed="81"/>
            <rFont val="Tahoma"/>
            <family val="2"/>
          </rPr>
          <t>LPA:</t>
        </r>
        <r>
          <rPr>
            <sz val="9"/>
            <color indexed="81"/>
            <rFont val="Tahoma"/>
            <family val="2"/>
          </rPr>
          <t xml:space="preserve">
проверити збир!
</t>
        </r>
      </text>
    </comment>
    <comment ref="I10121" authorId="0">
      <text>
        <r>
          <rPr>
            <b/>
            <sz val="9"/>
            <color indexed="81"/>
            <rFont val="Tahoma"/>
            <family val="2"/>
          </rPr>
          <t>LPA:</t>
        </r>
        <r>
          <rPr>
            <sz val="9"/>
            <color indexed="81"/>
            <rFont val="Tahoma"/>
            <family val="2"/>
          </rPr>
          <t xml:space="preserve">
проверити збир!
</t>
        </r>
      </text>
    </comment>
    <comment ref="I10122" authorId="0">
      <text>
        <r>
          <rPr>
            <b/>
            <sz val="9"/>
            <color indexed="81"/>
            <rFont val="Tahoma"/>
            <family val="2"/>
          </rPr>
          <t>LPA:</t>
        </r>
        <r>
          <rPr>
            <sz val="9"/>
            <color indexed="81"/>
            <rFont val="Tahoma"/>
            <family val="2"/>
          </rPr>
          <t xml:space="preserve">
проверити збир!
</t>
        </r>
      </text>
    </comment>
    <comment ref="I10123" authorId="0">
      <text>
        <r>
          <rPr>
            <b/>
            <sz val="9"/>
            <color indexed="81"/>
            <rFont val="Tahoma"/>
            <family val="2"/>
          </rPr>
          <t>LPA:</t>
        </r>
        <r>
          <rPr>
            <sz val="9"/>
            <color indexed="81"/>
            <rFont val="Tahoma"/>
            <family val="2"/>
          </rPr>
          <t xml:space="preserve">
проверити збир!
</t>
        </r>
      </text>
    </comment>
    <comment ref="I10124" authorId="0">
      <text>
        <r>
          <rPr>
            <b/>
            <sz val="9"/>
            <color indexed="81"/>
            <rFont val="Tahoma"/>
            <family val="2"/>
          </rPr>
          <t>LPA:</t>
        </r>
        <r>
          <rPr>
            <sz val="9"/>
            <color indexed="81"/>
            <rFont val="Tahoma"/>
            <family val="2"/>
          </rPr>
          <t xml:space="preserve">
проверити збир!
</t>
        </r>
      </text>
    </comment>
    <comment ref="H10128" authorId="0">
      <text>
        <r>
          <rPr>
            <b/>
            <sz val="9"/>
            <color indexed="81"/>
            <rFont val="Tahoma"/>
            <family val="2"/>
          </rPr>
          <t>LPA:</t>
        </r>
        <r>
          <rPr>
            <sz val="9"/>
            <color indexed="81"/>
            <rFont val="Tahoma"/>
            <family val="2"/>
          </rPr>
          <t xml:space="preserve">
проверити збир!</t>
        </r>
      </text>
    </comment>
    <comment ref="I10128" authorId="0">
      <text>
        <r>
          <rPr>
            <b/>
            <sz val="9"/>
            <color indexed="81"/>
            <rFont val="Tahoma"/>
            <family val="2"/>
          </rPr>
          <t>LPA:</t>
        </r>
        <r>
          <rPr>
            <sz val="9"/>
            <color indexed="81"/>
            <rFont val="Tahoma"/>
            <family val="2"/>
          </rPr>
          <t xml:space="preserve">
проверити збир!
</t>
        </r>
      </text>
    </comment>
    <comment ref="I10129" authorId="0">
      <text>
        <r>
          <rPr>
            <b/>
            <sz val="9"/>
            <color indexed="81"/>
            <rFont val="Tahoma"/>
            <family val="2"/>
          </rPr>
          <t>LPA:</t>
        </r>
        <r>
          <rPr>
            <sz val="9"/>
            <color indexed="81"/>
            <rFont val="Tahoma"/>
            <family val="2"/>
          </rPr>
          <t xml:space="preserve">
проверити збир!
</t>
        </r>
      </text>
    </comment>
    <comment ref="I10130" authorId="0">
      <text>
        <r>
          <rPr>
            <b/>
            <sz val="9"/>
            <color indexed="81"/>
            <rFont val="Tahoma"/>
            <family val="2"/>
          </rPr>
          <t>LPA:</t>
        </r>
        <r>
          <rPr>
            <sz val="9"/>
            <color indexed="81"/>
            <rFont val="Tahoma"/>
            <family val="2"/>
          </rPr>
          <t xml:space="preserve">
проверити збир!
</t>
        </r>
      </text>
    </comment>
    <comment ref="I10131" authorId="0">
      <text>
        <r>
          <rPr>
            <b/>
            <sz val="9"/>
            <color indexed="81"/>
            <rFont val="Tahoma"/>
            <family val="2"/>
          </rPr>
          <t>LPA:</t>
        </r>
        <r>
          <rPr>
            <sz val="9"/>
            <color indexed="81"/>
            <rFont val="Tahoma"/>
            <family val="2"/>
          </rPr>
          <t xml:space="preserve">
проверити збир!
</t>
        </r>
      </text>
    </comment>
    <comment ref="I10132" authorId="0">
      <text>
        <r>
          <rPr>
            <b/>
            <sz val="9"/>
            <color indexed="81"/>
            <rFont val="Tahoma"/>
            <family val="2"/>
          </rPr>
          <t>LPA:</t>
        </r>
        <r>
          <rPr>
            <sz val="9"/>
            <color indexed="81"/>
            <rFont val="Tahoma"/>
            <family val="2"/>
          </rPr>
          <t xml:space="preserve">
проверити збир!
</t>
        </r>
      </text>
    </comment>
    <comment ref="I10133" authorId="0">
      <text>
        <r>
          <rPr>
            <b/>
            <sz val="9"/>
            <color indexed="81"/>
            <rFont val="Tahoma"/>
            <family val="2"/>
          </rPr>
          <t>LPA:</t>
        </r>
        <r>
          <rPr>
            <sz val="9"/>
            <color indexed="81"/>
            <rFont val="Tahoma"/>
            <family val="2"/>
          </rPr>
          <t xml:space="preserve">
проверити збир!
</t>
        </r>
      </text>
    </comment>
    <comment ref="I10134" authorId="0">
      <text>
        <r>
          <rPr>
            <b/>
            <sz val="9"/>
            <color indexed="81"/>
            <rFont val="Tahoma"/>
            <family val="2"/>
          </rPr>
          <t>LPA:</t>
        </r>
        <r>
          <rPr>
            <sz val="9"/>
            <color indexed="81"/>
            <rFont val="Tahoma"/>
            <family val="2"/>
          </rPr>
          <t xml:space="preserve">
проверити збир!
</t>
        </r>
      </text>
    </comment>
    <comment ref="I10135" authorId="0">
      <text>
        <r>
          <rPr>
            <b/>
            <sz val="9"/>
            <color indexed="81"/>
            <rFont val="Tahoma"/>
            <family val="2"/>
          </rPr>
          <t>LPA:</t>
        </r>
        <r>
          <rPr>
            <sz val="9"/>
            <color indexed="81"/>
            <rFont val="Tahoma"/>
            <family val="2"/>
          </rPr>
          <t xml:space="preserve">
проверити збир!
</t>
        </r>
      </text>
    </comment>
    <comment ref="I10136" authorId="0">
      <text>
        <r>
          <rPr>
            <b/>
            <sz val="9"/>
            <color indexed="81"/>
            <rFont val="Tahoma"/>
            <family val="2"/>
          </rPr>
          <t>LPA:</t>
        </r>
        <r>
          <rPr>
            <sz val="9"/>
            <color indexed="81"/>
            <rFont val="Tahoma"/>
            <family val="2"/>
          </rPr>
          <t xml:space="preserve">
проверити збир!
</t>
        </r>
      </text>
    </comment>
    <comment ref="I10137" authorId="0">
      <text>
        <r>
          <rPr>
            <b/>
            <sz val="9"/>
            <color indexed="81"/>
            <rFont val="Tahoma"/>
            <family val="2"/>
          </rPr>
          <t>LPA:</t>
        </r>
        <r>
          <rPr>
            <sz val="9"/>
            <color indexed="81"/>
            <rFont val="Tahoma"/>
            <family val="2"/>
          </rPr>
          <t xml:space="preserve">
проверити збир!
</t>
        </r>
      </text>
    </comment>
    <comment ref="I10138" authorId="0">
      <text>
        <r>
          <rPr>
            <b/>
            <sz val="9"/>
            <color indexed="81"/>
            <rFont val="Tahoma"/>
            <family val="2"/>
          </rPr>
          <t>LPA:</t>
        </r>
        <r>
          <rPr>
            <sz val="9"/>
            <color indexed="81"/>
            <rFont val="Tahoma"/>
            <family val="2"/>
          </rPr>
          <t xml:space="preserve">
проверити збир!
</t>
        </r>
      </text>
    </comment>
    <comment ref="I10139" authorId="0">
      <text>
        <r>
          <rPr>
            <b/>
            <sz val="9"/>
            <color indexed="81"/>
            <rFont val="Tahoma"/>
            <family val="2"/>
          </rPr>
          <t>LPA:</t>
        </r>
        <r>
          <rPr>
            <sz val="9"/>
            <color indexed="81"/>
            <rFont val="Tahoma"/>
            <family val="2"/>
          </rPr>
          <t xml:space="preserve">
проверити збир!
</t>
        </r>
      </text>
    </comment>
    <comment ref="I10140" authorId="0">
      <text>
        <r>
          <rPr>
            <b/>
            <sz val="9"/>
            <color indexed="81"/>
            <rFont val="Tahoma"/>
            <family val="2"/>
          </rPr>
          <t>LPA:</t>
        </r>
        <r>
          <rPr>
            <sz val="9"/>
            <color indexed="81"/>
            <rFont val="Tahoma"/>
            <family val="2"/>
          </rPr>
          <t xml:space="preserve">
проверити збир!
</t>
        </r>
      </text>
    </comment>
    <comment ref="I10141" authorId="0">
      <text>
        <r>
          <rPr>
            <b/>
            <sz val="9"/>
            <color indexed="81"/>
            <rFont val="Tahoma"/>
            <family val="2"/>
          </rPr>
          <t>LPA:</t>
        </r>
        <r>
          <rPr>
            <sz val="9"/>
            <color indexed="81"/>
            <rFont val="Tahoma"/>
            <family val="2"/>
          </rPr>
          <t xml:space="preserve">
проверити збир!
</t>
        </r>
      </text>
    </comment>
    <comment ref="I10142" authorId="0">
      <text>
        <r>
          <rPr>
            <b/>
            <sz val="9"/>
            <color indexed="81"/>
            <rFont val="Tahoma"/>
            <family val="2"/>
          </rPr>
          <t>LPA:</t>
        </r>
        <r>
          <rPr>
            <sz val="9"/>
            <color indexed="81"/>
            <rFont val="Tahoma"/>
            <family val="2"/>
          </rPr>
          <t xml:space="preserve">
проверити збир!
</t>
        </r>
      </text>
    </comment>
    <comment ref="I10143" authorId="0">
      <text>
        <r>
          <rPr>
            <b/>
            <sz val="9"/>
            <color indexed="81"/>
            <rFont val="Tahoma"/>
            <family val="2"/>
          </rPr>
          <t>LPA:</t>
        </r>
        <r>
          <rPr>
            <sz val="9"/>
            <color indexed="81"/>
            <rFont val="Tahoma"/>
            <family val="2"/>
          </rPr>
          <t xml:space="preserve">
проверити збир!
</t>
        </r>
      </text>
    </comment>
    <comment ref="H10147" authorId="0">
      <text>
        <r>
          <rPr>
            <b/>
            <sz val="9"/>
            <color indexed="81"/>
            <rFont val="Tahoma"/>
            <family val="2"/>
          </rPr>
          <t>LPA:</t>
        </r>
        <r>
          <rPr>
            <sz val="9"/>
            <color indexed="81"/>
            <rFont val="Tahoma"/>
            <family val="2"/>
          </rPr>
          <t xml:space="preserve">
провери збир!</t>
        </r>
      </text>
    </comment>
    <comment ref="I10147" authorId="0">
      <text>
        <r>
          <rPr>
            <b/>
            <sz val="9"/>
            <color indexed="81"/>
            <rFont val="Tahoma"/>
            <family val="2"/>
          </rPr>
          <t>LPA:</t>
        </r>
        <r>
          <rPr>
            <sz val="9"/>
            <color indexed="81"/>
            <rFont val="Tahoma"/>
            <family val="2"/>
          </rPr>
          <t xml:space="preserve">
проверити збир!
</t>
        </r>
      </text>
    </comment>
    <comment ref="I10148" authorId="0">
      <text>
        <r>
          <rPr>
            <b/>
            <sz val="9"/>
            <color indexed="81"/>
            <rFont val="Tahoma"/>
            <family val="2"/>
          </rPr>
          <t>LPA:</t>
        </r>
        <r>
          <rPr>
            <sz val="9"/>
            <color indexed="81"/>
            <rFont val="Tahoma"/>
            <family val="2"/>
          </rPr>
          <t xml:space="preserve">
проверити збир!
</t>
        </r>
      </text>
    </comment>
    <comment ref="I10149" authorId="0">
      <text>
        <r>
          <rPr>
            <b/>
            <sz val="9"/>
            <color indexed="81"/>
            <rFont val="Tahoma"/>
            <family val="2"/>
          </rPr>
          <t>LPA:</t>
        </r>
        <r>
          <rPr>
            <sz val="9"/>
            <color indexed="81"/>
            <rFont val="Tahoma"/>
            <family val="2"/>
          </rPr>
          <t xml:space="preserve">
проверити збир!
</t>
        </r>
      </text>
    </comment>
    <comment ref="I10150" authorId="0">
      <text>
        <r>
          <rPr>
            <b/>
            <sz val="9"/>
            <color indexed="81"/>
            <rFont val="Tahoma"/>
            <family val="2"/>
          </rPr>
          <t>LPA:</t>
        </r>
        <r>
          <rPr>
            <sz val="9"/>
            <color indexed="81"/>
            <rFont val="Tahoma"/>
            <family val="2"/>
          </rPr>
          <t xml:space="preserve">
проверити збир!
</t>
        </r>
      </text>
    </comment>
    <comment ref="I10151" authorId="0">
      <text>
        <r>
          <rPr>
            <b/>
            <sz val="9"/>
            <color indexed="81"/>
            <rFont val="Tahoma"/>
            <family val="2"/>
          </rPr>
          <t>LPA:</t>
        </r>
        <r>
          <rPr>
            <sz val="9"/>
            <color indexed="81"/>
            <rFont val="Tahoma"/>
            <family val="2"/>
          </rPr>
          <t xml:space="preserve">
проверити збир!
</t>
        </r>
      </text>
    </comment>
    <comment ref="I10152" authorId="0">
      <text>
        <r>
          <rPr>
            <b/>
            <sz val="9"/>
            <color indexed="81"/>
            <rFont val="Tahoma"/>
            <family val="2"/>
          </rPr>
          <t>LPA:</t>
        </r>
        <r>
          <rPr>
            <sz val="9"/>
            <color indexed="81"/>
            <rFont val="Tahoma"/>
            <family val="2"/>
          </rPr>
          <t xml:space="preserve">
проверити збир!
</t>
        </r>
      </text>
    </comment>
    <comment ref="I10153" authorId="0">
      <text>
        <r>
          <rPr>
            <b/>
            <sz val="9"/>
            <color indexed="81"/>
            <rFont val="Tahoma"/>
            <family val="2"/>
          </rPr>
          <t>LPA:</t>
        </r>
        <r>
          <rPr>
            <sz val="9"/>
            <color indexed="81"/>
            <rFont val="Tahoma"/>
            <family val="2"/>
          </rPr>
          <t xml:space="preserve">
проверити збир!
</t>
        </r>
      </text>
    </comment>
    <comment ref="I10154" authorId="0">
      <text>
        <r>
          <rPr>
            <b/>
            <sz val="9"/>
            <color indexed="81"/>
            <rFont val="Tahoma"/>
            <family val="2"/>
          </rPr>
          <t>LPA:</t>
        </r>
        <r>
          <rPr>
            <sz val="9"/>
            <color indexed="81"/>
            <rFont val="Tahoma"/>
            <family val="2"/>
          </rPr>
          <t xml:space="preserve">
проверити збир!
</t>
        </r>
      </text>
    </comment>
    <comment ref="I10155" authorId="0">
      <text>
        <r>
          <rPr>
            <b/>
            <sz val="9"/>
            <color indexed="81"/>
            <rFont val="Tahoma"/>
            <family val="2"/>
          </rPr>
          <t>LPA:</t>
        </r>
        <r>
          <rPr>
            <sz val="9"/>
            <color indexed="81"/>
            <rFont val="Tahoma"/>
            <family val="2"/>
          </rPr>
          <t xml:space="preserve">
проверити збир!
</t>
        </r>
      </text>
    </comment>
    <comment ref="I10156" authorId="0">
      <text>
        <r>
          <rPr>
            <b/>
            <sz val="9"/>
            <color indexed="81"/>
            <rFont val="Tahoma"/>
            <family val="2"/>
          </rPr>
          <t>LPA:</t>
        </r>
        <r>
          <rPr>
            <sz val="9"/>
            <color indexed="81"/>
            <rFont val="Tahoma"/>
            <family val="2"/>
          </rPr>
          <t xml:space="preserve">
проверити збир!
</t>
        </r>
      </text>
    </comment>
    <comment ref="I10157" authorId="0">
      <text>
        <r>
          <rPr>
            <b/>
            <sz val="9"/>
            <color indexed="81"/>
            <rFont val="Tahoma"/>
            <family val="2"/>
          </rPr>
          <t>LPA:</t>
        </r>
        <r>
          <rPr>
            <sz val="9"/>
            <color indexed="81"/>
            <rFont val="Tahoma"/>
            <family val="2"/>
          </rPr>
          <t xml:space="preserve">
проверити збир!
</t>
        </r>
      </text>
    </comment>
    <comment ref="I10158" authorId="0">
      <text>
        <r>
          <rPr>
            <b/>
            <sz val="9"/>
            <color indexed="81"/>
            <rFont val="Tahoma"/>
            <family val="2"/>
          </rPr>
          <t>LPA:</t>
        </r>
        <r>
          <rPr>
            <sz val="9"/>
            <color indexed="81"/>
            <rFont val="Tahoma"/>
            <family val="2"/>
          </rPr>
          <t xml:space="preserve">
проверити збир!
</t>
        </r>
      </text>
    </comment>
    <comment ref="I10159" authorId="0">
      <text>
        <r>
          <rPr>
            <b/>
            <sz val="9"/>
            <color indexed="81"/>
            <rFont val="Tahoma"/>
            <family val="2"/>
          </rPr>
          <t>LPA:</t>
        </r>
        <r>
          <rPr>
            <sz val="9"/>
            <color indexed="81"/>
            <rFont val="Tahoma"/>
            <family val="2"/>
          </rPr>
          <t xml:space="preserve">
проверити збир!
</t>
        </r>
      </text>
    </comment>
    <comment ref="I10160" authorId="0">
      <text>
        <r>
          <rPr>
            <b/>
            <sz val="9"/>
            <color indexed="81"/>
            <rFont val="Tahoma"/>
            <family val="2"/>
          </rPr>
          <t>LPA:</t>
        </r>
        <r>
          <rPr>
            <sz val="9"/>
            <color indexed="81"/>
            <rFont val="Tahoma"/>
            <family val="2"/>
          </rPr>
          <t xml:space="preserve">
проверити збир!
</t>
        </r>
      </text>
    </comment>
    <comment ref="I10161" authorId="0">
      <text>
        <r>
          <rPr>
            <b/>
            <sz val="9"/>
            <color indexed="81"/>
            <rFont val="Tahoma"/>
            <family val="2"/>
          </rPr>
          <t>LPA:</t>
        </r>
        <r>
          <rPr>
            <sz val="9"/>
            <color indexed="81"/>
            <rFont val="Tahoma"/>
            <family val="2"/>
          </rPr>
          <t xml:space="preserve">
проверити збир!
</t>
        </r>
      </text>
    </comment>
    <comment ref="I10162" authorId="0">
      <text>
        <r>
          <rPr>
            <b/>
            <sz val="9"/>
            <color indexed="81"/>
            <rFont val="Tahoma"/>
            <family val="2"/>
          </rPr>
          <t>LPA:</t>
        </r>
        <r>
          <rPr>
            <sz val="9"/>
            <color indexed="81"/>
            <rFont val="Tahoma"/>
            <family val="2"/>
          </rPr>
          <t xml:space="preserve">
проверити збир!
</t>
        </r>
      </text>
    </comment>
    <comment ref="I10234" authorId="0">
      <text>
        <r>
          <rPr>
            <b/>
            <sz val="9"/>
            <color indexed="81"/>
            <rFont val="Tahoma"/>
            <family val="2"/>
          </rPr>
          <t>LPA:</t>
        </r>
        <r>
          <rPr>
            <sz val="9"/>
            <color indexed="81"/>
            <rFont val="Tahoma"/>
            <family val="2"/>
          </rPr>
          <t xml:space="preserve">
проверити збир!
</t>
        </r>
      </text>
    </comment>
    <comment ref="I10235" authorId="0">
      <text>
        <r>
          <rPr>
            <b/>
            <sz val="9"/>
            <color indexed="81"/>
            <rFont val="Tahoma"/>
            <family val="2"/>
          </rPr>
          <t>LPA:</t>
        </r>
        <r>
          <rPr>
            <sz val="9"/>
            <color indexed="81"/>
            <rFont val="Tahoma"/>
            <family val="2"/>
          </rPr>
          <t xml:space="preserve">
проверити збир!
</t>
        </r>
      </text>
    </comment>
    <comment ref="I10236" authorId="0">
      <text>
        <r>
          <rPr>
            <b/>
            <sz val="9"/>
            <color indexed="81"/>
            <rFont val="Tahoma"/>
            <family val="2"/>
          </rPr>
          <t>LPA:</t>
        </r>
        <r>
          <rPr>
            <sz val="9"/>
            <color indexed="81"/>
            <rFont val="Tahoma"/>
            <family val="2"/>
          </rPr>
          <t xml:space="preserve">
проверити збир!
</t>
        </r>
      </text>
    </comment>
    <comment ref="I10237" authorId="0">
      <text>
        <r>
          <rPr>
            <b/>
            <sz val="9"/>
            <color indexed="81"/>
            <rFont val="Tahoma"/>
            <family val="2"/>
          </rPr>
          <t>LPA:</t>
        </r>
        <r>
          <rPr>
            <sz val="9"/>
            <color indexed="81"/>
            <rFont val="Tahoma"/>
            <family val="2"/>
          </rPr>
          <t xml:space="preserve">
проверити збир!
</t>
        </r>
      </text>
    </comment>
    <comment ref="I10238" authorId="0">
      <text>
        <r>
          <rPr>
            <b/>
            <sz val="9"/>
            <color indexed="81"/>
            <rFont val="Tahoma"/>
            <family val="2"/>
          </rPr>
          <t>LPA:</t>
        </r>
        <r>
          <rPr>
            <sz val="9"/>
            <color indexed="81"/>
            <rFont val="Tahoma"/>
            <family val="2"/>
          </rPr>
          <t xml:space="preserve">
проверити збир!
</t>
        </r>
      </text>
    </comment>
    <comment ref="I10239" authorId="0">
      <text>
        <r>
          <rPr>
            <b/>
            <sz val="9"/>
            <color indexed="81"/>
            <rFont val="Tahoma"/>
            <family val="2"/>
          </rPr>
          <t>LPA:</t>
        </r>
        <r>
          <rPr>
            <sz val="9"/>
            <color indexed="81"/>
            <rFont val="Tahoma"/>
            <family val="2"/>
          </rPr>
          <t xml:space="preserve">
проверити збир!
</t>
        </r>
      </text>
    </comment>
    <comment ref="I10240" authorId="0">
      <text>
        <r>
          <rPr>
            <b/>
            <sz val="9"/>
            <color indexed="81"/>
            <rFont val="Tahoma"/>
            <family val="2"/>
          </rPr>
          <t>LPA:</t>
        </r>
        <r>
          <rPr>
            <sz val="9"/>
            <color indexed="81"/>
            <rFont val="Tahoma"/>
            <family val="2"/>
          </rPr>
          <t xml:space="preserve">
проверити збир!
</t>
        </r>
      </text>
    </comment>
    <comment ref="I10241" authorId="0">
      <text>
        <r>
          <rPr>
            <b/>
            <sz val="9"/>
            <color indexed="81"/>
            <rFont val="Tahoma"/>
            <family val="2"/>
          </rPr>
          <t>LPA:</t>
        </r>
        <r>
          <rPr>
            <sz val="9"/>
            <color indexed="81"/>
            <rFont val="Tahoma"/>
            <family val="2"/>
          </rPr>
          <t xml:space="preserve">
проверити збир!
</t>
        </r>
      </text>
    </comment>
    <comment ref="I10242" authorId="0">
      <text>
        <r>
          <rPr>
            <b/>
            <sz val="9"/>
            <color indexed="81"/>
            <rFont val="Tahoma"/>
            <family val="2"/>
          </rPr>
          <t>LPA:</t>
        </r>
        <r>
          <rPr>
            <sz val="9"/>
            <color indexed="81"/>
            <rFont val="Tahoma"/>
            <family val="2"/>
          </rPr>
          <t xml:space="preserve">
проверити збир!
</t>
        </r>
      </text>
    </comment>
    <comment ref="I10243" authorId="0">
      <text>
        <r>
          <rPr>
            <b/>
            <sz val="9"/>
            <color indexed="81"/>
            <rFont val="Tahoma"/>
            <family val="2"/>
          </rPr>
          <t>LPA:</t>
        </r>
        <r>
          <rPr>
            <sz val="9"/>
            <color indexed="81"/>
            <rFont val="Tahoma"/>
            <family val="2"/>
          </rPr>
          <t xml:space="preserve">
проверити збир!
</t>
        </r>
      </text>
    </comment>
    <comment ref="I10244" authorId="0">
      <text>
        <r>
          <rPr>
            <b/>
            <sz val="9"/>
            <color indexed="81"/>
            <rFont val="Tahoma"/>
            <family val="2"/>
          </rPr>
          <t>LPA:</t>
        </r>
        <r>
          <rPr>
            <sz val="9"/>
            <color indexed="81"/>
            <rFont val="Tahoma"/>
            <family val="2"/>
          </rPr>
          <t xml:space="preserve">
проверити збир!
</t>
        </r>
      </text>
    </comment>
    <comment ref="I10245" authorId="0">
      <text>
        <r>
          <rPr>
            <b/>
            <sz val="9"/>
            <color indexed="81"/>
            <rFont val="Tahoma"/>
            <family val="2"/>
          </rPr>
          <t>LPA:</t>
        </r>
        <r>
          <rPr>
            <sz val="9"/>
            <color indexed="81"/>
            <rFont val="Tahoma"/>
            <family val="2"/>
          </rPr>
          <t xml:space="preserve">
проверити збир!
</t>
        </r>
      </text>
    </comment>
    <comment ref="I10246" authorId="0">
      <text>
        <r>
          <rPr>
            <b/>
            <sz val="9"/>
            <color indexed="81"/>
            <rFont val="Tahoma"/>
            <family val="2"/>
          </rPr>
          <t>LPA:</t>
        </r>
        <r>
          <rPr>
            <sz val="9"/>
            <color indexed="81"/>
            <rFont val="Tahoma"/>
            <family val="2"/>
          </rPr>
          <t xml:space="preserve">
проверити збир!
</t>
        </r>
      </text>
    </comment>
    <comment ref="H10249" authorId="0">
      <text>
        <r>
          <rPr>
            <b/>
            <sz val="9"/>
            <color indexed="81"/>
            <rFont val="Tahoma"/>
            <family val="2"/>
          </rPr>
          <t>LPA:</t>
        </r>
        <r>
          <rPr>
            <sz val="9"/>
            <color indexed="81"/>
            <rFont val="Tahoma"/>
            <family val="2"/>
          </rPr>
          <t xml:space="preserve">
проверити збир!</t>
        </r>
      </text>
    </comment>
    <comment ref="I10249" authorId="0">
      <text>
        <r>
          <rPr>
            <b/>
            <sz val="9"/>
            <color indexed="81"/>
            <rFont val="Tahoma"/>
            <family val="2"/>
          </rPr>
          <t>LPA:</t>
        </r>
        <r>
          <rPr>
            <sz val="9"/>
            <color indexed="81"/>
            <rFont val="Tahoma"/>
            <family val="2"/>
          </rPr>
          <t xml:space="preserve">
проверити збир!</t>
        </r>
      </text>
    </comment>
    <comment ref="I10250" authorId="0">
      <text>
        <r>
          <rPr>
            <b/>
            <sz val="9"/>
            <color indexed="81"/>
            <rFont val="Tahoma"/>
            <family val="2"/>
          </rPr>
          <t>LPA:</t>
        </r>
        <r>
          <rPr>
            <sz val="9"/>
            <color indexed="81"/>
            <rFont val="Tahoma"/>
            <family val="2"/>
          </rPr>
          <t xml:space="preserve">
проверити збир!
</t>
        </r>
      </text>
    </comment>
    <comment ref="I10251" authorId="0">
      <text>
        <r>
          <rPr>
            <b/>
            <sz val="9"/>
            <color indexed="81"/>
            <rFont val="Tahoma"/>
            <family val="2"/>
          </rPr>
          <t>LPA:</t>
        </r>
        <r>
          <rPr>
            <sz val="9"/>
            <color indexed="81"/>
            <rFont val="Tahoma"/>
            <family val="2"/>
          </rPr>
          <t xml:space="preserve">
проверити збир!
</t>
        </r>
      </text>
    </comment>
    <comment ref="I10252" authorId="0">
      <text>
        <r>
          <rPr>
            <b/>
            <sz val="9"/>
            <color indexed="81"/>
            <rFont val="Tahoma"/>
            <family val="2"/>
          </rPr>
          <t>LPA:</t>
        </r>
        <r>
          <rPr>
            <sz val="9"/>
            <color indexed="81"/>
            <rFont val="Tahoma"/>
            <family val="2"/>
          </rPr>
          <t xml:space="preserve">
проверити збир!
</t>
        </r>
      </text>
    </comment>
    <comment ref="I10253" authorId="0">
      <text>
        <r>
          <rPr>
            <b/>
            <sz val="9"/>
            <color indexed="81"/>
            <rFont val="Tahoma"/>
            <family val="2"/>
          </rPr>
          <t>LPA:</t>
        </r>
        <r>
          <rPr>
            <sz val="9"/>
            <color indexed="81"/>
            <rFont val="Tahoma"/>
            <family val="2"/>
          </rPr>
          <t xml:space="preserve">
проверити збир!
</t>
        </r>
      </text>
    </comment>
    <comment ref="I10254" authorId="0">
      <text>
        <r>
          <rPr>
            <b/>
            <sz val="9"/>
            <color indexed="81"/>
            <rFont val="Tahoma"/>
            <family val="2"/>
          </rPr>
          <t>LPA:</t>
        </r>
        <r>
          <rPr>
            <sz val="9"/>
            <color indexed="81"/>
            <rFont val="Tahoma"/>
            <family val="2"/>
          </rPr>
          <t xml:space="preserve">
проверити збир!
</t>
        </r>
      </text>
    </comment>
    <comment ref="I10255" authorId="0">
      <text>
        <r>
          <rPr>
            <b/>
            <sz val="9"/>
            <color indexed="81"/>
            <rFont val="Tahoma"/>
            <family val="2"/>
          </rPr>
          <t>LPA:</t>
        </r>
        <r>
          <rPr>
            <sz val="9"/>
            <color indexed="81"/>
            <rFont val="Tahoma"/>
            <family val="2"/>
          </rPr>
          <t xml:space="preserve">
проверити збир!
</t>
        </r>
      </text>
    </comment>
    <comment ref="I10256" authorId="0">
      <text>
        <r>
          <rPr>
            <b/>
            <sz val="9"/>
            <color indexed="81"/>
            <rFont val="Tahoma"/>
            <family val="2"/>
          </rPr>
          <t>LPA:</t>
        </r>
        <r>
          <rPr>
            <sz val="9"/>
            <color indexed="81"/>
            <rFont val="Tahoma"/>
            <family val="2"/>
          </rPr>
          <t xml:space="preserve">
проверити збир!
</t>
        </r>
      </text>
    </comment>
    <comment ref="I10257" authorId="0">
      <text>
        <r>
          <rPr>
            <b/>
            <sz val="9"/>
            <color indexed="81"/>
            <rFont val="Tahoma"/>
            <family val="2"/>
          </rPr>
          <t>LPA:</t>
        </r>
        <r>
          <rPr>
            <sz val="9"/>
            <color indexed="81"/>
            <rFont val="Tahoma"/>
            <family val="2"/>
          </rPr>
          <t xml:space="preserve">
проверити збир!
</t>
        </r>
      </text>
    </comment>
    <comment ref="I10258" authorId="0">
      <text>
        <r>
          <rPr>
            <b/>
            <sz val="9"/>
            <color indexed="81"/>
            <rFont val="Tahoma"/>
            <family val="2"/>
          </rPr>
          <t>LPA:</t>
        </r>
        <r>
          <rPr>
            <sz val="9"/>
            <color indexed="81"/>
            <rFont val="Tahoma"/>
            <family val="2"/>
          </rPr>
          <t xml:space="preserve">
проверити збир!
</t>
        </r>
      </text>
    </comment>
    <comment ref="I10259" authorId="0">
      <text>
        <r>
          <rPr>
            <b/>
            <sz val="9"/>
            <color indexed="81"/>
            <rFont val="Tahoma"/>
            <family val="2"/>
          </rPr>
          <t>LPA:</t>
        </r>
        <r>
          <rPr>
            <sz val="9"/>
            <color indexed="81"/>
            <rFont val="Tahoma"/>
            <family val="2"/>
          </rPr>
          <t xml:space="preserve">
проверити збир!
</t>
        </r>
      </text>
    </comment>
    <comment ref="I10260" authorId="0">
      <text>
        <r>
          <rPr>
            <b/>
            <sz val="9"/>
            <color indexed="81"/>
            <rFont val="Tahoma"/>
            <family val="2"/>
          </rPr>
          <t>LPA:</t>
        </r>
        <r>
          <rPr>
            <sz val="9"/>
            <color indexed="81"/>
            <rFont val="Tahoma"/>
            <family val="2"/>
          </rPr>
          <t xml:space="preserve">
проверити збир!
</t>
        </r>
      </text>
    </comment>
    <comment ref="I10261" authorId="0">
      <text>
        <r>
          <rPr>
            <b/>
            <sz val="9"/>
            <color indexed="81"/>
            <rFont val="Tahoma"/>
            <family val="2"/>
          </rPr>
          <t>LPA:</t>
        </r>
        <r>
          <rPr>
            <sz val="9"/>
            <color indexed="81"/>
            <rFont val="Tahoma"/>
            <family val="2"/>
          </rPr>
          <t xml:space="preserve">
проверити збир!
</t>
        </r>
      </text>
    </comment>
    <comment ref="I10262" authorId="0">
      <text>
        <r>
          <rPr>
            <b/>
            <sz val="9"/>
            <color indexed="81"/>
            <rFont val="Tahoma"/>
            <family val="2"/>
          </rPr>
          <t>LPA:</t>
        </r>
        <r>
          <rPr>
            <sz val="9"/>
            <color indexed="81"/>
            <rFont val="Tahoma"/>
            <family val="2"/>
          </rPr>
          <t xml:space="preserve">
проверити збир!
</t>
        </r>
      </text>
    </comment>
    <comment ref="I10263" authorId="0">
      <text>
        <r>
          <rPr>
            <b/>
            <sz val="9"/>
            <color indexed="81"/>
            <rFont val="Tahoma"/>
            <family val="2"/>
          </rPr>
          <t>LPA:</t>
        </r>
        <r>
          <rPr>
            <sz val="9"/>
            <color indexed="81"/>
            <rFont val="Tahoma"/>
            <family val="2"/>
          </rPr>
          <t xml:space="preserve">
проверити збир!
</t>
        </r>
      </text>
    </comment>
    <comment ref="I10264" authorId="0">
      <text>
        <r>
          <rPr>
            <b/>
            <sz val="9"/>
            <color indexed="81"/>
            <rFont val="Tahoma"/>
            <family val="2"/>
          </rPr>
          <t>LPA:</t>
        </r>
        <r>
          <rPr>
            <sz val="9"/>
            <color indexed="81"/>
            <rFont val="Tahoma"/>
            <family val="2"/>
          </rPr>
          <t xml:space="preserve">
проверити збир!
</t>
        </r>
      </text>
    </comment>
    <comment ref="I10333" authorId="0">
      <text>
        <r>
          <rPr>
            <b/>
            <sz val="9"/>
            <color indexed="81"/>
            <rFont val="Tahoma"/>
            <family val="2"/>
          </rPr>
          <t>LPA:</t>
        </r>
        <r>
          <rPr>
            <sz val="9"/>
            <color indexed="81"/>
            <rFont val="Tahoma"/>
            <family val="2"/>
          </rPr>
          <t xml:space="preserve">
проверити збир!
</t>
        </r>
      </text>
    </comment>
    <comment ref="I10334" authorId="0">
      <text>
        <r>
          <rPr>
            <b/>
            <sz val="9"/>
            <color indexed="81"/>
            <rFont val="Tahoma"/>
            <family val="2"/>
          </rPr>
          <t>LPA:</t>
        </r>
        <r>
          <rPr>
            <sz val="9"/>
            <color indexed="81"/>
            <rFont val="Tahoma"/>
            <family val="2"/>
          </rPr>
          <t xml:space="preserve">
проверити збир!
</t>
        </r>
      </text>
    </comment>
    <comment ref="I10335" authorId="0">
      <text>
        <r>
          <rPr>
            <b/>
            <sz val="9"/>
            <color indexed="81"/>
            <rFont val="Tahoma"/>
            <family val="2"/>
          </rPr>
          <t>LPA:</t>
        </r>
        <r>
          <rPr>
            <sz val="9"/>
            <color indexed="81"/>
            <rFont val="Tahoma"/>
            <family val="2"/>
          </rPr>
          <t xml:space="preserve">
проверити збир!
</t>
        </r>
      </text>
    </comment>
    <comment ref="I10336" authorId="0">
      <text>
        <r>
          <rPr>
            <b/>
            <sz val="9"/>
            <color indexed="81"/>
            <rFont val="Tahoma"/>
            <family val="2"/>
          </rPr>
          <t>LPA:</t>
        </r>
        <r>
          <rPr>
            <sz val="9"/>
            <color indexed="81"/>
            <rFont val="Tahoma"/>
            <family val="2"/>
          </rPr>
          <t xml:space="preserve">
проверити збир!
</t>
        </r>
      </text>
    </comment>
    <comment ref="I10337" authorId="0">
      <text>
        <r>
          <rPr>
            <b/>
            <sz val="9"/>
            <color indexed="81"/>
            <rFont val="Tahoma"/>
            <family val="2"/>
          </rPr>
          <t>LPA:</t>
        </r>
        <r>
          <rPr>
            <sz val="9"/>
            <color indexed="81"/>
            <rFont val="Tahoma"/>
            <family val="2"/>
          </rPr>
          <t xml:space="preserve">
проверити збир!
</t>
        </r>
      </text>
    </comment>
    <comment ref="I10338" authorId="0">
      <text>
        <r>
          <rPr>
            <b/>
            <sz val="9"/>
            <color indexed="81"/>
            <rFont val="Tahoma"/>
            <family val="2"/>
          </rPr>
          <t>LPA:</t>
        </r>
        <r>
          <rPr>
            <sz val="9"/>
            <color indexed="81"/>
            <rFont val="Tahoma"/>
            <family val="2"/>
          </rPr>
          <t xml:space="preserve">
проверити збир!
</t>
        </r>
      </text>
    </comment>
    <comment ref="I10339" authorId="0">
      <text>
        <r>
          <rPr>
            <b/>
            <sz val="9"/>
            <color indexed="81"/>
            <rFont val="Tahoma"/>
            <family val="2"/>
          </rPr>
          <t>LPA:</t>
        </r>
        <r>
          <rPr>
            <sz val="9"/>
            <color indexed="81"/>
            <rFont val="Tahoma"/>
            <family val="2"/>
          </rPr>
          <t xml:space="preserve">
проверити збир!
</t>
        </r>
      </text>
    </comment>
    <comment ref="I10340" authorId="0">
      <text>
        <r>
          <rPr>
            <b/>
            <sz val="9"/>
            <color indexed="81"/>
            <rFont val="Tahoma"/>
            <family val="2"/>
          </rPr>
          <t>LPA:</t>
        </r>
        <r>
          <rPr>
            <sz val="9"/>
            <color indexed="81"/>
            <rFont val="Tahoma"/>
            <family val="2"/>
          </rPr>
          <t xml:space="preserve">
проверити збир!
</t>
        </r>
      </text>
    </comment>
    <comment ref="I10341" authorId="0">
      <text>
        <r>
          <rPr>
            <b/>
            <sz val="9"/>
            <color indexed="81"/>
            <rFont val="Tahoma"/>
            <family val="2"/>
          </rPr>
          <t>LPA:</t>
        </r>
        <r>
          <rPr>
            <sz val="9"/>
            <color indexed="81"/>
            <rFont val="Tahoma"/>
            <family val="2"/>
          </rPr>
          <t xml:space="preserve">
проверити збир!
</t>
        </r>
      </text>
    </comment>
    <comment ref="I10342" authorId="0">
      <text>
        <r>
          <rPr>
            <b/>
            <sz val="9"/>
            <color indexed="81"/>
            <rFont val="Tahoma"/>
            <family val="2"/>
          </rPr>
          <t>LPA:</t>
        </r>
        <r>
          <rPr>
            <sz val="9"/>
            <color indexed="81"/>
            <rFont val="Tahoma"/>
            <family val="2"/>
          </rPr>
          <t xml:space="preserve">
проверити збир!
</t>
        </r>
      </text>
    </comment>
    <comment ref="I10343" authorId="0">
      <text>
        <r>
          <rPr>
            <b/>
            <sz val="9"/>
            <color indexed="81"/>
            <rFont val="Tahoma"/>
            <family val="2"/>
          </rPr>
          <t>LPA:</t>
        </r>
        <r>
          <rPr>
            <sz val="9"/>
            <color indexed="81"/>
            <rFont val="Tahoma"/>
            <family val="2"/>
          </rPr>
          <t xml:space="preserve">
проверити збир!
</t>
        </r>
      </text>
    </comment>
    <comment ref="I10344" authorId="0">
      <text>
        <r>
          <rPr>
            <b/>
            <sz val="9"/>
            <color indexed="81"/>
            <rFont val="Tahoma"/>
            <family val="2"/>
          </rPr>
          <t>LPA:</t>
        </r>
        <r>
          <rPr>
            <sz val="9"/>
            <color indexed="81"/>
            <rFont val="Tahoma"/>
            <family val="2"/>
          </rPr>
          <t xml:space="preserve">
проверити збир!
</t>
        </r>
      </text>
    </comment>
    <comment ref="I10345" authorId="0">
      <text>
        <r>
          <rPr>
            <b/>
            <sz val="9"/>
            <color indexed="81"/>
            <rFont val="Tahoma"/>
            <family val="2"/>
          </rPr>
          <t>LPA:</t>
        </r>
        <r>
          <rPr>
            <sz val="9"/>
            <color indexed="81"/>
            <rFont val="Tahoma"/>
            <family val="2"/>
          </rPr>
          <t xml:space="preserve">
проверити збир!
</t>
        </r>
      </text>
    </comment>
    <comment ref="H10348" authorId="0">
      <text>
        <r>
          <rPr>
            <b/>
            <sz val="9"/>
            <color indexed="81"/>
            <rFont val="Tahoma"/>
            <family val="2"/>
          </rPr>
          <t>LPA:</t>
        </r>
        <r>
          <rPr>
            <sz val="9"/>
            <color indexed="81"/>
            <rFont val="Tahoma"/>
            <family val="2"/>
          </rPr>
          <t xml:space="preserve">
проверити збир!</t>
        </r>
      </text>
    </comment>
    <comment ref="I10348" authorId="0">
      <text>
        <r>
          <rPr>
            <b/>
            <sz val="9"/>
            <color indexed="81"/>
            <rFont val="Tahoma"/>
            <family val="2"/>
          </rPr>
          <t>LPA:</t>
        </r>
        <r>
          <rPr>
            <sz val="9"/>
            <color indexed="81"/>
            <rFont val="Tahoma"/>
            <family val="2"/>
          </rPr>
          <t xml:space="preserve">
проверити збир!</t>
        </r>
      </text>
    </comment>
    <comment ref="I10349" authorId="0">
      <text>
        <r>
          <rPr>
            <b/>
            <sz val="9"/>
            <color indexed="81"/>
            <rFont val="Tahoma"/>
            <family val="2"/>
          </rPr>
          <t>LPA:</t>
        </r>
        <r>
          <rPr>
            <sz val="9"/>
            <color indexed="81"/>
            <rFont val="Tahoma"/>
            <family val="2"/>
          </rPr>
          <t xml:space="preserve">
проверити збир!
</t>
        </r>
      </text>
    </comment>
    <comment ref="I10350" authorId="0">
      <text>
        <r>
          <rPr>
            <b/>
            <sz val="9"/>
            <color indexed="81"/>
            <rFont val="Tahoma"/>
            <family val="2"/>
          </rPr>
          <t>LPA:</t>
        </r>
        <r>
          <rPr>
            <sz val="9"/>
            <color indexed="81"/>
            <rFont val="Tahoma"/>
            <family val="2"/>
          </rPr>
          <t xml:space="preserve">
проверити збир!
</t>
        </r>
      </text>
    </comment>
    <comment ref="I10351" authorId="0">
      <text>
        <r>
          <rPr>
            <b/>
            <sz val="9"/>
            <color indexed="81"/>
            <rFont val="Tahoma"/>
            <family val="2"/>
          </rPr>
          <t>LPA:</t>
        </r>
        <r>
          <rPr>
            <sz val="9"/>
            <color indexed="81"/>
            <rFont val="Tahoma"/>
            <family val="2"/>
          </rPr>
          <t xml:space="preserve">
проверити збир!
</t>
        </r>
      </text>
    </comment>
    <comment ref="I10352" authorId="0">
      <text>
        <r>
          <rPr>
            <b/>
            <sz val="9"/>
            <color indexed="81"/>
            <rFont val="Tahoma"/>
            <family val="2"/>
          </rPr>
          <t>LPA:</t>
        </r>
        <r>
          <rPr>
            <sz val="9"/>
            <color indexed="81"/>
            <rFont val="Tahoma"/>
            <family val="2"/>
          </rPr>
          <t xml:space="preserve">
проверити збир!
</t>
        </r>
      </text>
    </comment>
    <comment ref="I10353" authorId="0">
      <text>
        <r>
          <rPr>
            <b/>
            <sz val="9"/>
            <color indexed="81"/>
            <rFont val="Tahoma"/>
            <family val="2"/>
          </rPr>
          <t>LPA:</t>
        </r>
        <r>
          <rPr>
            <sz val="9"/>
            <color indexed="81"/>
            <rFont val="Tahoma"/>
            <family val="2"/>
          </rPr>
          <t xml:space="preserve">
проверити збир!
</t>
        </r>
      </text>
    </comment>
    <comment ref="I10354" authorId="0">
      <text>
        <r>
          <rPr>
            <b/>
            <sz val="9"/>
            <color indexed="81"/>
            <rFont val="Tahoma"/>
            <family val="2"/>
          </rPr>
          <t>LPA:</t>
        </r>
        <r>
          <rPr>
            <sz val="9"/>
            <color indexed="81"/>
            <rFont val="Tahoma"/>
            <family val="2"/>
          </rPr>
          <t xml:space="preserve">
проверити збир!
</t>
        </r>
      </text>
    </comment>
    <comment ref="I10355" authorId="0">
      <text>
        <r>
          <rPr>
            <b/>
            <sz val="9"/>
            <color indexed="81"/>
            <rFont val="Tahoma"/>
            <family val="2"/>
          </rPr>
          <t>LPA:</t>
        </r>
        <r>
          <rPr>
            <sz val="9"/>
            <color indexed="81"/>
            <rFont val="Tahoma"/>
            <family val="2"/>
          </rPr>
          <t xml:space="preserve">
проверити збир!
</t>
        </r>
      </text>
    </comment>
    <comment ref="I10356" authorId="0">
      <text>
        <r>
          <rPr>
            <b/>
            <sz val="9"/>
            <color indexed="81"/>
            <rFont val="Tahoma"/>
            <family val="2"/>
          </rPr>
          <t>LPA:</t>
        </r>
        <r>
          <rPr>
            <sz val="9"/>
            <color indexed="81"/>
            <rFont val="Tahoma"/>
            <family val="2"/>
          </rPr>
          <t xml:space="preserve">
проверити збир!
</t>
        </r>
      </text>
    </comment>
    <comment ref="I10357" authorId="0">
      <text>
        <r>
          <rPr>
            <b/>
            <sz val="9"/>
            <color indexed="81"/>
            <rFont val="Tahoma"/>
            <family val="2"/>
          </rPr>
          <t>LPA:</t>
        </r>
        <r>
          <rPr>
            <sz val="9"/>
            <color indexed="81"/>
            <rFont val="Tahoma"/>
            <family val="2"/>
          </rPr>
          <t xml:space="preserve">
проверити збир!
</t>
        </r>
      </text>
    </comment>
    <comment ref="I10358" authorId="0">
      <text>
        <r>
          <rPr>
            <b/>
            <sz val="9"/>
            <color indexed="81"/>
            <rFont val="Tahoma"/>
            <family val="2"/>
          </rPr>
          <t>LPA:</t>
        </r>
        <r>
          <rPr>
            <sz val="9"/>
            <color indexed="81"/>
            <rFont val="Tahoma"/>
            <family val="2"/>
          </rPr>
          <t xml:space="preserve">
проверити збир!
</t>
        </r>
      </text>
    </comment>
    <comment ref="I10359" authorId="0">
      <text>
        <r>
          <rPr>
            <b/>
            <sz val="9"/>
            <color indexed="81"/>
            <rFont val="Tahoma"/>
            <family val="2"/>
          </rPr>
          <t>LPA:</t>
        </r>
        <r>
          <rPr>
            <sz val="9"/>
            <color indexed="81"/>
            <rFont val="Tahoma"/>
            <family val="2"/>
          </rPr>
          <t xml:space="preserve">
проверити збир!
</t>
        </r>
      </text>
    </comment>
    <comment ref="I10360" authorId="0">
      <text>
        <r>
          <rPr>
            <b/>
            <sz val="9"/>
            <color indexed="81"/>
            <rFont val="Tahoma"/>
            <family val="2"/>
          </rPr>
          <t>LPA:</t>
        </r>
        <r>
          <rPr>
            <sz val="9"/>
            <color indexed="81"/>
            <rFont val="Tahoma"/>
            <family val="2"/>
          </rPr>
          <t xml:space="preserve">
проверити збир!
</t>
        </r>
      </text>
    </comment>
    <comment ref="I10361" authorId="0">
      <text>
        <r>
          <rPr>
            <b/>
            <sz val="9"/>
            <color indexed="81"/>
            <rFont val="Tahoma"/>
            <family val="2"/>
          </rPr>
          <t>LPA:</t>
        </r>
        <r>
          <rPr>
            <sz val="9"/>
            <color indexed="81"/>
            <rFont val="Tahoma"/>
            <family val="2"/>
          </rPr>
          <t xml:space="preserve">
проверити збир!
</t>
        </r>
      </text>
    </comment>
    <comment ref="I10362" authorId="0">
      <text>
        <r>
          <rPr>
            <b/>
            <sz val="9"/>
            <color indexed="81"/>
            <rFont val="Tahoma"/>
            <family val="2"/>
          </rPr>
          <t>LPA:</t>
        </r>
        <r>
          <rPr>
            <sz val="9"/>
            <color indexed="81"/>
            <rFont val="Tahoma"/>
            <family val="2"/>
          </rPr>
          <t xml:space="preserve">
проверити збир!
</t>
        </r>
      </text>
    </comment>
    <comment ref="I10363" authorId="0">
      <text>
        <r>
          <rPr>
            <b/>
            <sz val="9"/>
            <color indexed="81"/>
            <rFont val="Tahoma"/>
            <family val="2"/>
          </rPr>
          <t>LPA:</t>
        </r>
        <r>
          <rPr>
            <sz val="9"/>
            <color indexed="81"/>
            <rFont val="Tahoma"/>
            <family val="2"/>
          </rPr>
          <t xml:space="preserve">
проверити збир!
</t>
        </r>
      </text>
    </comment>
    <comment ref="H10367" authorId="0">
      <text>
        <r>
          <rPr>
            <b/>
            <sz val="9"/>
            <color indexed="81"/>
            <rFont val="Tahoma"/>
            <family val="2"/>
          </rPr>
          <t>LPA:</t>
        </r>
        <r>
          <rPr>
            <sz val="9"/>
            <color indexed="81"/>
            <rFont val="Tahoma"/>
            <family val="2"/>
          </rPr>
          <t xml:space="preserve">
проверити збир!</t>
        </r>
      </text>
    </comment>
    <comment ref="I10367" authorId="0">
      <text>
        <r>
          <rPr>
            <b/>
            <sz val="9"/>
            <color indexed="81"/>
            <rFont val="Tahoma"/>
            <family val="2"/>
          </rPr>
          <t>LPA:</t>
        </r>
        <r>
          <rPr>
            <sz val="9"/>
            <color indexed="81"/>
            <rFont val="Tahoma"/>
            <family val="2"/>
          </rPr>
          <t xml:space="preserve">
проверити збир!
</t>
        </r>
      </text>
    </comment>
    <comment ref="I10368" authorId="0">
      <text>
        <r>
          <rPr>
            <b/>
            <sz val="9"/>
            <color indexed="81"/>
            <rFont val="Tahoma"/>
            <family val="2"/>
          </rPr>
          <t>LPA:</t>
        </r>
        <r>
          <rPr>
            <sz val="9"/>
            <color indexed="81"/>
            <rFont val="Tahoma"/>
            <family val="2"/>
          </rPr>
          <t xml:space="preserve">
проверити збир!
</t>
        </r>
      </text>
    </comment>
    <comment ref="I10369" authorId="0">
      <text>
        <r>
          <rPr>
            <b/>
            <sz val="9"/>
            <color indexed="81"/>
            <rFont val="Tahoma"/>
            <family val="2"/>
          </rPr>
          <t>LPA:</t>
        </r>
        <r>
          <rPr>
            <sz val="9"/>
            <color indexed="81"/>
            <rFont val="Tahoma"/>
            <family val="2"/>
          </rPr>
          <t xml:space="preserve">
проверити збир!
</t>
        </r>
      </text>
    </comment>
    <comment ref="I10370" authorId="0">
      <text>
        <r>
          <rPr>
            <b/>
            <sz val="9"/>
            <color indexed="81"/>
            <rFont val="Tahoma"/>
            <family val="2"/>
          </rPr>
          <t>LPA:</t>
        </r>
        <r>
          <rPr>
            <sz val="9"/>
            <color indexed="81"/>
            <rFont val="Tahoma"/>
            <family val="2"/>
          </rPr>
          <t xml:space="preserve">
проверити збир!
</t>
        </r>
      </text>
    </comment>
    <comment ref="I10371" authorId="0">
      <text>
        <r>
          <rPr>
            <b/>
            <sz val="9"/>
            <color indexed="81"/>
            <rFont val="Tahoma"/>
            <family val="2"/>
          </rPr>
          <t>LPA:</t>
        </r>
        <r>
          <rPr>
            <sz val="9"/>
            <color indexed="81"/>
            <rFont val="Tahoma"/>
            <family val="2"/>
          </rPr>
          <t xml:space="preserve">
проверити збир!
</t>
        </r>
      </text>
    </comment>
    <comment ref="I10372" authorId="0">
      <text>
        <r>
          <rPr>
            <b/>
            <sz val="9"/>
            <color indexed="81"/>
            <rFont val="Tahoma"/>
            <family val="2"/>
          </rPr>
          <t>LPA:</t>
        </r>
        <r>
          <rPr>
            <sz val="9"/>
            <color indexed="81"/>
            <rFont val="Tahoma"/>
            <family val="2"/>
          </rPr>
          <t xml:space="preserve">
проверити збир!
</t>
        </r>
      </text>
    </comment>
    <comment ref="I10373" authorId="0">
      <text>
        <r>
          <rPr>
            <b/>
            <sz val="9"/>
            <color indexed="81"/>
            <rFont val="Tahoma"/>
            <family val="2"/>
          </rPr>
          <t>LPA:</t>
        </r>
        <r>
          <rPr>
            <sz val="9"/>
            <color indexed="81"/>
            <rFont val="Tahoma"/>
            <family val="2"/>
          </rPr>
          <t xml:space="preserve">
проверити збир!
</t>
        </r>
      </text>
    </comment>
    <comment ref="I10374" authorId="0">
      <text>
        <r>
          <rPr>
            <b/>
            <sz val="9"/>
            <color indexed="81"/>
            <rFont val="Tahoma"/>
            <family val="2"/>
          </rPr>
          <t>LPA:</t>
        </r>
        <r>
          <rPr>
            <sz val="9"/>
            <color indexed="81"/>
            <rFont val="Tahoma"/>
            <family val="2"/>
          </rPr>
          <t xml:space="preserve">
проверити збир!
</t>
        </r>
      </text>
    </comment>
    <comment ref="I10375" authorId="0">
      <text>
        <r>
          <rPr>
            <b/>
            <sz val="9"/>
            <color indexed="81"/>
            <rFont val="Tahoma"/>
            <family val="2"/>
          </rPr>
          <t>LPA:</t>
        </r>
        <r>
          <rPr>
            <sz val="9"/>
            <color indexed="81"/>
            <rFont val="Tahoma"/>
            <family val="2"/>
          </rPr>
          <t xml:space="preserve">
проверити збир!
</t>
        </r>
      </text>
    </comment>
    <comment ref="I10376" authorId="0">
      <text>
        <r>
          <rPr>
            <b/>
            <sz val="9"/>
            <color indexed="81"/>
            <rFont val="Tahoma"/>
            <family val="2"/>
          </rPr>
          <t>LPA:</t>
        </r>
        <r>
          <rPr>
            <sz val="9"/>
            <color indexed="81"/>
            <rFont val="Tahoma"/>
            <family val="2"/>
          </rPr>
          <t xml:space="preserve">
проверити збир!
</t>
        </r>
      </text>
    </comment>
    <comment ref="I10377" authorId="0">
      <text>
        <r>
          <rPr>
            <b/>
            <sz val="9"/>
            <color indexed="81"/>
            <rFont val="Tahoma"/>
            <family val="2"/>
          </rPr>
          <t>LPA:</t>
        </r>
        <r>
          <rPr>
            <sz val="9"/>
            <color indexed="81"/>
            <rFont val="Tahoma"/>
            <family val="2"/>
          </rPr>
          <t xml:space="preserve">
проверити збир!
</t>
        </r>
      </text>
    </comment>
    <comment ref="I10378" authorId="0">
      <text>
        <r>
          <rPr>
            <b/>
            <sz val="9"/>
            <color indexed="81"/>
            <rFont val="Tahoma"/>
            <family val="2"/>
          </rPr>
          <t>LPA:</t>
        </r>
        <r>
          <rPr>
            <sz val="9"/>
            <color indexed="81"/>
            <rFont val="Tahoma"/>
            <family val="2"/>
          </rPr>
          <t xml:space="preserve">
проверити збир!
</t>
        </r>
      </text>
    </comment>
    <comment ref="I10379" authorId="0">
      <text>
        <r>
          <rPr>
            <b/>
            <sz val="9"/>
            <color indexed="81"/>
            <rFont val="Tahoma"/>
            <family val="2"/>
          </rPr>
          <t>LPA:</t>
        </r>
        <r>
          <rPr>
            <sz val="9"/>
            <color indexed="81"/>
            <rFont val="Tahoma"/>
            <family val="2"/>
          </rPr>
          <t xml:space="preserve">
проверити збир!
</t>
        </r>
      </text>
    </comment>
    <comment ref="I10380" authorId="0">
      <text>
        <r>
          <rPr>
            <b/>
            <sz val="9"/>
            <color indexed="81"/>
            <rFont val="Tahoma"/>
            <family val="2"/>
          </rPr>
          <t>LPA:</t>
        </r>
        <r>
          <rPr>
            <sz val="9"/>
            <color indexed="81"/>
            <rFont val="Tahoma"/>
            <family val="2"/>
          </rPr>
          <t xml:space="preserve">
проверити збир!
</t>
        </r>
      </text>
    </comment>
    <comment ref="I10381" authorId="0">
      <text>
        <r>
          <rPr>
            <b/>
            <sz val="9"/>
            <color indexed="81"/>
            <rFont val="Tahoma"/>
            <family val="2"/>
          </rPr>
          <t>LPA:</t>
        </r>
        <r>
          <rPr>
            <sz val="9"/>
            <color indexed="81"/>
            <rFont val="Tahoma"/>
            <family val="2"/>
          </rPr>
          <t xml:space="preserve">
проверити збир!
</t>
        </r>
      </text>
    </comment>
    <comment ref="I10382" authorId="0">
      <text>
        <r>
          <rPr>
            <b/>
            <sz val="9"/>
            <color indexed="81"/>
            <rFont val="Tahoma"/>
            <family val="2"/>
          </rPr>
          <t>LPA:</t>
        </r>
        <r>
          <rPr>
            <sz val="9"/>
            <color indexed="81"/>
            <rFont val="Tahoma"/>
            <family val="2"/>
          </rPr>
          <t xml:space="preserve">
проверити збир!
</t>
        </r>
      </text>
    </comment>
    <comment ref="H10386" authorId="0">
      <text>
        <r>
          <rPr>
            <b/>
            <sz val="9"/>
            <color indexed="81"/>
            <rFont val="Tahoma"/>
            <family val="2"/>
          </rPr>
          <t>LPA:</t>
        </r>
        <r>
          <rPr>
            <sz val="9"/>
            <color indexed="81"/>
            <rFont val="Tahoma"/>
            <family val="2"/>
          </rPr>
          <t xml:space="preserve">
провери збир!</t>
        </r>
      </text>
    </comment>
    <comment ref="I10386" authorId="0">
      <text>
        <r>
          <rPr>
            <b/>
            <sz val="9"/>
            <color indexed="81"/>
            <rFont val="Tahoma"/>
            <family val="2"/>
          </rPr>
          <t>LPA:</t>
        </r>
        <r>
          <rPr>
            <sz val="9"/>
            <color indexed="81"/>
            <rFont val="Tahoma"/>
            <family val="2"/>
          </rPr>
          <t xml:space="preserve">
проверити збир!
</t>
        </r>
      </text>
    </comment>
    <comment ref="I10387" authorId="0">
      <text>
        <r>
          <rPr>
            <b/>
            <sz val="9"/>
            <color indexed="81"/>
            <rFont val="Tahoma"/>
            <family val="2"/>
          </rPr>
          <t>LPA:</t>
        </r>
        <r>
          <rPr>
            <sz val="9"/>
            <color indexed="81"/>
            <rFont val="Tahoma"/>
            <family val="2"/>
          </rPr>
          <t xml:space="preserve">
проверити збир!
</t>
        </r>
      </text>
    </comment>
    <comment ref="I10388" authorId="0">
      <text>
        <r>
          <rPr>
            <b/>
            <sz val="9"/>
            <color indexed="81"/>
            <rFont val="Tahoma"/>
            <family val="2"/>
          </rPr>
          <t>LPA:</t>
        </r>
        <r>
          <rPr>
            <sz val="9"/>
            <color indexed="81"/>
            <rFont val="Tahoma"/>
            <family val="2"/>
          </rPr>
          <t xml:space="preserve">
проверити збир!
</t>
        </r>
      </text>
    </comment>
    <comment ref="I10389" authorId="0">
      <text>
        <r>
          <rPr>
            <b/>
            <sz val="9"/>
            <color indexed="81"/>
            <rFont val="Tahoma"/>
            <family val="2"/>
          </rPr>
          <t>LPA:</t>
        </r>
        <r>
          <rPr>
            <sz val="9"/>
            <color indexed="81"/>
            <rFont val="Tahoma"/>
            <family val="2"/>
          </rPr>
          <t xml:space="preserve">
проверити збир!
</t>
        </r>
      </text>
    </comment>
    <comment ref="I10390" authorId="0">
      <text>
        <r>
          <rPr>
            <b/>
            <sz val="9"/>
            <color indexed="81"/>
            <rFont val="Tahoma"/>
            <family val="2"/>
          </rPr>
          <t>LPA:</t>
        </r>
        <r>
          <rPr>
            <sz val="9"/>
            <color indexed="81"/>
            <rFont val="Tahoma"/>
            <family val="2"/>
          </rPr>
          <t xml:space="preserve">
проверити збир!
</t>
        </r>
      </text>
    </comment>
    <comment ref="I10391" authorId="0">
      <text>
        <r>
          <rPr>
            <b/>
            <sz val="9"/>
            <color indexed="81"/>
            <rFont val="Tahoma"/>
            <family val="2"/>
          </rPr>
          <t>LPA:</t>
        </r>
        <r>
          <rPr>
            <sz val="9"/>
            <color indexed="81"/>
            <rFont val="Tahoma"/>
            <family val="2"/>
          </rPr>
          <t xml:space="preserve">
проверити збир!
</t>
        </r>
      </text>
    </comment>
    <comment ref="I10392" authorId="0">
      <text>
        <r>
          <rPr>
            <b/>
            <sz val="9"/>
            <color indexed="81"/>
            <rFont val="Tahoma"/>
            <family val="2"/>
          </rPr>
          <t>LPA:</t>
        </r>
        <r>
          <rPr>
            <sz val="9"/>
            <color indexed="81"/>
            <rFont val="Tahoma"/>
            <family val="2"/>
          </rPr>
          <t xml:space="preserve">
проверити збир!
</t>
        </r>
      </text>
    </comment>
    <comment ref="I10393" authorId="0">
      <text>
        <r>
          <rPr>
            <b/>
            <sz val="9"/>
            <color indexed="81"/>
            <rFont val="Tahoma"/>
            <family val="2"/>
          </rPr>
          <t>LPA:</t>
        </r>
        <r>
          <rPr>
            <sz val="9"/>
            <color indexed="81"/>
            <rFont val="Tahoma"/>
            <family val="2"/>
          </rPr>
          <t xml:space="preserve">
проверити збир!
</t>
        </r>
      </text>
    </comment>
    <comment ref="I10394" authorId="0">
      <text>
        <r>
          <rPr>
            <b/>
            <sz val="9"/>
            <color indexed="81"/>
            <rFont val="Tahoma"/>
            <family val="2"/>
          </rPr>
          <t>LPA:</t>
        </r>
        <r>
          <rPr>
            <sz val="9"/>
            <color indexed="81"/>
            <rFont val="Tahoma"/>
            <family val="2"/>
          </rPr>
          <t xml:space="preserve">
проверити збир!
</t>
        </r>
      </text>
    </comment>
    <comment ref="I10395" authorId="0">
      <text>
        <r>
          <rPr>
            <b/>
            <sz val="9"/>
            <color indexed="81"/>
            <rFont val="Tahoma"/>
            <family val="2"/>
          </rPr>
          <t>LPA:</t>
        </r>
        <r>
          <rPr>
            <sz val="9"/>
            <color indexed="81"/>
            <rFont val="Tahoma"/>
            <family val="2"/>
          </rPr>
          <t xml:space="preserve">
проверити збир!
</t>
        </r>
      </text>
    </comment>
    <comment ref="I10396" authorId="0">
      <text>
        <r>
          <rPr>
            <b/>
            <sz val="9"/>
            <color indexed="81"/>
            <rFont val="Tahoma"/>
            <family val="2"/>
          </rPr>
          <t>LPA:</t>
        </r>
        <r>
          <rPr>
            <sz val="9"/>
            <color indexed="81"/>
            <rFont val="Tahoma"/>
            <family val="2"/>
          </rPr>
          <t xml:space="preserve">
проверити збир!
</t>
        </r>
      </text>
    </comment>
    <comment ref="I10397" authorId="0">
      <text>
        <r>
          <rPr>
            <b/>
            <sz val="9"/>
            <color indexed="81"/>
            <rFont val="Tahoma"/>
            <family val="2"/>
          </rPr>
          <t>LPA:</t>
        </r>
        <r>
          <rPr>
            <sz val="9"/>
            <color indexed="81"/>
            <rFont val="Tahoma"/>
            <family val="2"/>
          </rPr>
          <t xml:space="preserve">
проверити збир!
</t>
        </r>
      </text>
    </comment>
    <comment ref="I10398" authorId="0">
      <text>
        <r>
          <rPr>
            <b/>
            <sz val="9"/>
            <color indexed="81"/>
            <rFont val="Tahoma"/>
            <family val="2"/>
          </rPr>
          <t>LPA:</t>
        </r>
        <r>
          <rPr>
            <sz val="9"/>
            <color indexed="81"/>
            <rFont val="Tahoma"/>
            <family val="2"/>
          </rPr>
          <t xml:space="preserve">
проверити збир!
</t>
        </r>
      </text>
    </comment>
    <comment ref="I10399" authorId="0">
      <text>
        <r>
          <rPr>
            <b/>
            <sz val="9"/>
            <color indexed="81"/>
            <rFont val="Tahoma"/>
            <family val="2"/>
          </rPr>
          <t>LPA:</t>
        </r>
        <r>
          <rPr>
            <sz val="9"/>
            <color indexed="81"/>
            <rFont val="Tahoma"/>
            <family val="2"/>
          </rPr>
          <t xml:space="preserve">
проверити збир!
</t>
        </r>
      </text>
    </comment>
    <comment ref="I10400" authorId="0">
      <text>
        <r>
          <rPr>
            <b/>
            <sz val="9"/>
            <color indexed="81"/>
            <rFont val="Tahoma"/>
            <family val="2"/>
          </rPr>
          <t>LPA:</t>
        </r>
        <r>
          <rPr>
            <sz val="9"/>
            <color indexed="81"/>
            <rFont val="Tahoma"/>
            <family val="2"/>
          </rPr>
          <t xml:space="preserve">
проверити збир!
</t>
        </r>
      </text>
    </comment>
    <comment ref="I10401" authorId="0">
      <text>
        <r>
          <rPr>
            <b/>
            <sz val="9"/>
            <color indexed="81"/>
            <rFont val="Tahoma"/>
            <family val="2"/>
          </rPr>
          <t>LPA:</t>
        </r>
        <r>
          <rPr>
            <sz val="9"/>
            <color indexed="81"/>
            <rFont val="Tahoma"/>
            <family val="2"/>
          </rPr>
          <t xml:space="preserve">
проверити збир!
</t>
        </r>
      </text>
    </comment>
    <comment ref="I10472" authorId="0">
      <text>
        <r>
          <rPr>
            <b/>
            <sz val="9"/>
            <color indexed="81"/>
            <rFont val="Tahoma"/>
            <family val="2"/>
          </rPr>
          <t>LPA:</t>
        </r>
        <r>
          <rPr>
            <sz val="9"/>
            <color indexed="81"/>
            <rFont val="Tahoma"/>
            <family val="2"/>
          </rPr>
          <t xml:space="preserve">
проверити збир!
</t>
        </r>
      </text>
    </comment>
    <comment ref="I10473" authorId="0">
      <text>
        <r>
          <rPr>
            <b/>
            <sz val="9"/>
            <color indexed="81"/>
            <rFont val="Tahoma"/>
            <family val="2"/>
          </rPr>
          <t>LPA:</t>
        </r>
        <r>
          <rPr>
            <sz val="9"/>
            <color indexed="81"/>
            <rFont val="Tahoma"/>
            <family val="2"/>
          </rPr>
          <t xml:space="preserve">
проверити збир!
</t>
        </r>
      </text>
    </comment>
    <comment ref="I10474" authorId="0">
      <text>
        <r>
          <rPr>
            <b/>
            <sz val="9"/>
            <color indexed="81"/>
            <rFont val="Tahoma"/>
            <family val="2"/>
          </rPr>
          <t>LPA:</t>
        </r>
        <r>
          <rPr>
            <sz val="9"/>
            <color indexed="81"/>
            <rFont val="Tahoma"/>
            <family val="2"/>
          </rPr>
          <t xml:space="preserve">
проверити збир!
</t>
        </r>
      </text>
    </comment>
    <comment ref="I10475" authorId="0">
      <text>
        <r>
          <rPr>
            <b/>
            <sz val="9"/>
            <color indexed="81"/>
            <rFont val="Tahoma"/>
            <family val="2"/>
          </rPr>
          <t>LPA:</t>
        </r>
        <r>
          <rPr>
            <sz val="9"/>
            <color indexed="81"/>
            <rFont val="Tahoma"/>
            <family val="2"/>
          </rPr>
          <t xml:space="preserve">
проверити збир!
</t>
        </r>
      </text>
    </comment>
    <comment ref="I10476" authorId="0">
      <text>
        <r>
          <rPr>
            <b/>
            <sz val="9"/>
            <color indexed="81"/>
            <rFont val="Tahoma"/>
            <family val="2"/>
          </rPr>
          <t>LPA:</t>
        </r>
        <r>
          <rPr>
            <sz val="9"/>
            <color indexed="81"/>
            <rFont val="Tahoma"/>
            <family val="2"/>
          </rPr>
          <t xml:space="preserve">
проверити збир!
</t>
        </r>
      </text>
    </comment>
    <comment ref="I10477" authorId="0">
      <text>
        <r>
          <rPr>
            <b/>
            <sz val="9"/>
            <color indexed="81"/>
            <rFont val="Tahoma"/>
            <family val="2"/>
          </rPr>
          <t>LPA:</t>
        </r>
        <r>
          <rPr>
            <sz val="9"/>
            <color indexed="81"/>
            <rFont val="Tahoma"/>
            <family val="2"/>
          </rPr>
          <t xml:space="preserve">
проверити збир!
</t>
        </r>
      </text>
    </comment>
    <comment ref="I10478" authorId="0">
      <text>
        <r>
          <rPr>
            <b/>
            <sz val="9"/>
            <color indexed="81"/>
            <rFont val="Tahoma"/>
            <family val="2"/>
          </rPr>
          <t>LPA:</t>
        </r>
        <r>
          <rPr>
            <sz val="9"/>
            <color indexed="81"/>
            <rFont val="Tahoma"/>
            <family val="2"/>
          </rPr>
          <t xml:space="preserve">
проверити збир!
</t>
        </r>
      </text>
    </comment>
    <comment ref="I10479" authorId="0">
      <text>
        <r>
          <rPr>
            <b/>
            <sz val="9"/>
            <color indexed="81"/>
            <rFont val="Tahoma"/>
            <family val="2"/>
          </rPr>
          <t>LPA:</t>
        </r>
        <r>
          <rPr>
            <sz val="9"/>
            <color indexed="81"/>
            <rFont val="Tahoma"/>
            <family val="2"/>
          </rPr>
          <t xml:space="preserve">
проверити збир!
</t>
        </r>
      </text>
    </comment>
    <comment ref="I10480" authorId="0">
      <text>
        <r>
          <rPr>
            <b/>
            <sz val="9"/>
            <color indexed="81"/>
            <rFont val="Tahoma"/>
            <family val="2"/>
          </rPr>
          <t>LPA:</t>
        </r>
        <r>
          <rPr>
            <sz val="9"/>
            <color indexed="81"/>
            <rFont val="Tahoma"/>
            <family val="2"/>
          </rPr>
          <t xml:space="preserve">
проверити збир!
</t>
        </r>
      </text>
    </comment>
    <comment ref="I10481" authorId="0">
      <text>
        <r>
          <rPr>
            <b/>
            <sz val="9"/>
            <color indexed="81"/>
            <rFont val="Tahoma"/>
            <family val="2"/>
          </rPr>
          <t>LPA:</t>
        </r>
        <r>
          <rPr>
            <sz val="9"/>
            <color indexed="81"/>
            <rFont val="Tahoma"/>
            <family val="2"/>
          </rPr>
          <t xml:space="preserve">
проверити збир!
</t>
        </r>
      </text>
    </comment>
    <comment ref="I10482" authorId="0">
      <text>
        <r>
          <rPr>
            <b/>
            <sz val="9"/>
            <color indexed="81"/>
            <rFont val="Tahoma"/>
            <family val="2"/>
          </rPr>
          <t>LPA:</t>
        </r>
        <r>
          <rPr>
            <sz val="9"/>
            <color indexed="81"/>
            <rFont val="Tahoma"/>
            <family val="2"/>
          </rPr>
          <t xml:space="preserve">
проверити збир!
</t>
        </r>
      </text>
    </comment>
    <comment ref="I10483" authorId="0">
      <text>
        <r>
          <rPr>
            <b/>
            <sz val="9"/>
            <color indexed="81"/>
            <rFont val="Tahoma"/>
            <family val="2"/>
          </rPr>
          <t>LPA:</t>
        </r>
        <r>
          <rPr>
            <sz val="9"/>
            <color indexed="81"/>
            <rFont val="Tahoma"/>
            <family val="2"/>
          </rPr>
          <t xml:space="preserve">
проверити збир!
</t>
        </r>
      </text>
    </comment>
    <comment ref="I10484" authorId="0">
      <text>
        <r>
          <rPr>
            <b/>
            <sz val="9"/>
            <color indexed="81"/>
            <rFont val="Tahoma"/>
            <family val="2"/>
          </rPr>
          <t>LPA:</t>
        </r>
        <r>
          <rPr>
            <sz val="9"/>
            <color indexed="81"/>
            <rFont val="Tahoma"/>
            <family val="2"/>
          </rPr>
          <t xml:space="preserve">
проверити збир!
</t>
        </r>
      </text>
    </comment>
    <comment ref="H10487" authorId="0">
      <text>
        <r>
          <rPr>
            <b/>
            <sz val="9"/>
            <color indexed="81"/>
            <rFont val="Tahoma"/>
            <family val="2"/>
          </rPr>
          <t>LPA:</t>
        </r>
        <r>
          <rPr>
            <sz val="9"/>
            <color indexed="81"/>
            <rFont val="Tahoma"/>
            <family val="2"/>
          </rPr>
          <t xml:space="preserve">
проверити збир!</t>
        </r>
      </text>
    </comment>
    <comment ref="I10487" authorId="0">
      <text>
        <r>
          <rPr>
            <b/>
            <sz val="9"/>
            <color indexed="81"/>
            <rFont val="Tahoma"/>
            <family val="2"/>
          </rPr>
          <t>LPA:</t>
        </r>
        <r>
          <rPr>
            <sz val="9"/>
            <color indexed="81"/>
            <rFont val="Tahoma"/>
            <family val="2"/>
          </rPr>
          <t xml:space="preserve">
проверити збир!</t>
        </r>
      </text>
    </comment>
    <comment ref="I10488" authorId="0">
      <text>
        <r>
          <rPr>
            <b/>
            <sz val="9"/>
            <color indexed="81"/>
            <rFont val="Tahoma"/>
            <family val="2"/>
          </rPr>
          <t>LPA:</t>
        </r>
        <r>
          <rPr>
            <sz val="9"/>
            <color indexed="81"/>
            <rFont val="Tahoma"/>
            <family val="2"/>
          </rPr>
          <t xml:space="preserve">
проверити збир!
</t>
        </r>
      </text>
    </comment>
    <comment ref="I10489" authorId="0">
      <text>
        <r>
          <rPr>
            <b/>
            <sz val="9"/>
            <color indexed="81"/>
            <rFont val="Tahoma"/>
            <family val="2"/>
          </rPr>
          <t>LPA:</t>
        </r>
        <r>
          <rPr>
            <sz val="9"/>
            <color indexed="81"/>
            <rFont val="Tahoma"/>
            <family val="2"/>
          </rPr>
          <t xml:space="preserve">
проверити збир!
</t>
        </r>
      </text>
    </comment>
    <comment ref="I10490" authorId="0">
      <text>
        <r>
          <rPr>
            <b/>
            <sz val="9"/>
            <color indexed="81"/>
            <rFont val="Tahoma"/>
            <family val="2"/>
          </rPr>
          <t>LPA:</t>
        </r>
        <r>
          <rPr>
            <sz val="9"/>
            <color indexed="81"/>
            <rFont val="Tahoma"/>
            <family val="2"/>
          </rPr>
          <t xml:space="preserve">
проверити збир!
</t>
        </r>
      </text>
    </comment>
    <comment ref="I10491" authorId="0">
      <text>
        <r>
          <rPr>
            <b/>
            <sz val="9"/>
            <color indexed="81"/>
            <rFont val="Tahoma"/>
            <family val="2"/>
          </rPr>
          <t>LPA:</t>
        </r>
        <r>
          <rPr>
            <sz val="9"/>
            <color indexed="81"/>
            <rFont val="Tahoma"/>
            <family val="2"/>
          </rPr>
          <t xml:space="preserve">
проверити збир!
</t>
        </r>
      </text>
    </comment>
    <comment ref="I10492" authorId="0">
      <text>
        <r>
          <rPr>
            <b/>
            <sz val="9"/>
            <color indexed="81"/>
            <rFont val="Tahoma"/>
            <family val="2"/>
          </rPr>
          <t>LPA:</t>
        </r>
        <r>
          <rPr>
            <sz val="9"/>
            <color indexed="81"/>
            <rFont val="Tahoma"/>
            <family val="2"/>
          </rPr>
          <t xml:space="preserve">
проверити збир!
</t>
        </r>
      </text>
    </comment>
    <comment ref="I10493" authorId="0">
      <text>
        <r>
          <rPr>
            <b/>
            <sz val="9"/>
            <color indexed="81"/>
            <rFont val="Tahoma"/>
            <family val="2"/>
          </rPr>
          <t>LPA:</t>
        </r>
        <r>
          <rPr>
            <sz val="9"/>
            <color indexed="81"/>
            <rFont val="Tahoma"/>
            <family val="2"/>
          </rPr>
          <t xml:space="preserve">
проверити збир!
</t>
        </r>
      </text>
    </comment>
    <comment ref="I10494" authorId="0">
      <text>
        <r>
          <rPr>
            <b/>
            <sz val="9"/>
            <color indexed="81"/>
            <rFont val="Tahoma"/>
            <family val="2"/>
          </rPr>
          <t>LPA:</t>
        </r>
        <r>
          <rPr>
            <sz val="9"/>
            <color indexed="81"/>
            <rFont val="Tahoma"/>
            <family val="2"/>
          </rPr>
          <t xml:space="preserve">
проверити збир!
</t>
        </r>
      </text>
    </comment>
    <comment ref="I10495" authorId="0">
      <text>
        <r>
          <rPr>
            <b/>
            <sz val="9"/>
            <color indexed="81"/>
            <rFont val="Tahoma"/>
            <family val="2"/>
          </rPr>
          <t>LPA:</t>
        </r>
        <r>
          <rPr>
            <sz val="9"/>
            <color indexed="81"/>
            <rFont val="Tahoma"/>
            <family val="2"/>
          </rPr>
          <t xml:space="preserve">
проверити збир!
</t>
        </r>
      </text>
    </comment>
    <comment ref="I10496" authorId="0">
      <text>
        <r>
          <rPr>
            <b/>
            <sz val="9"/>
            <color indexed="81"/>
            <rFont val="Tahoma"/>
            <family val="2"/>
          </rPr>
          <t>LPA:</t>
        </r>
        <r>
          <rPr>
            <sz val="9"/>
            <color indexed="81"/>
            <rFont val="Tahoma"/>
            <family val="2"/>
          </rPr>
          <t xml:space="preserve">
проверити збир!
</t>
        </r>
      </text>
    </comment>
    <comment ref="I10497" authorId="0">
      <text>
        <r>
          <rPr>
            <b/>
            <sz val="9"/>
            <color indexed="81"/>
            <rFont val="Tahoma"/>
            <family val="2"/>
          </rPr>
          <t>LPA:</t>
        </r>
        <r>
          <rPr>
            <sz val="9"/>
            <color indexed="81"/>
            <rFont val="Tahoma"/>
            <family val="2"/>
          </rPr>
          <t xml:space="preserve">
проверити збир!
</t>
        </r>
      </text>
    </comment>
    <comment ref="I10498" authorId="0">
      <text>
        <r>
          <rPr>
            <b/>
            <sz val="9"/>
            <color indexed="81"/>
            <rFont val="Tahoma"/>
            <family val="2"/>
          </rPr>
          <t>LPA:</t>
        </r>
        <r>
          <rPr>
            <sz val="9"/>
            <color indexed="81"/>
            <rFont val="Tahoma"/>
            <family val="2"/>
          </rPr>
          <t xml:space="preserve">
проверити збир!
</t>
        </r>
      </text>
    </comment>
    <comment ref="I10499" authorId="0">
      <text>
        <r>
          <rPr>
            <b/>
            <sz val="9"/>
            <color indexed="81"/>
            <rFont val="Tahoma"/>
            <family val="2"/>
          </rPr>
          <t>LPA:</t>
        </r>
        <r>
          <rPr>
            <sz val="9"/>
            <color indexed="81"/>
            <rFont val="Tahoma"/>
            <family val="2"/>
          </rPr>
          <t xml:space="preserve">
проверити збир!
</t>
        </r>
      </text>
    </comment>
    <comment ref="I10500" authorId="0">
      <text>
        <r>
          <rPr>
            <b/>
            <sz val="9"/>
            <color indexed="81"/>
            <rFont val="Tahoma"/>
            <family val="2"/>
          </rPr>
          <t>LPA:</t>
        </r>
        <r>
          <rPr>
            <sz val="9"/>
            <color indexed="81"/>
            <rFont val="Tahoma"/>
            <family val="2"/>
          </rPr>
          <t xml:space="preserve">
проверити збир!
</t>
        </r>
      </text>
    </comment>
    <comment ref="I10501" authorId="0">
      <text>
        <r>
          <rPr>
            <b/>
            <sz val="9"/>
            <color indexed="81"/>
            <rFont val="Tahoma"/>
            <family val="2"/>
          </rPr>
          <t>LPA:</t>
        </r>
        <r>
          <rPr>
            <sz val="9"/>
            <color indexed="81"/>
            <rFont val="Tahoma"/>
            <family val="2"/>
          </rPr>
          <t xml:space="preserve">
проверити збир!
</t>
        </r>
      </text>
    </comment>
    <comment ref="I10502" authorId="0">
      <text>
        <r>
          <rPr>
            <b/>
            <sz val="9"/>
            <color indexed="81"/>
            <rFont val="Tahoma"/>
            <family val="2"/>
          </rPr>
          <t>LPA:</t>
        </r>
        <r>
          <rPr>
            <sz val="9"/>
            <color indexed="81"/>
            <rFont val="Tahoma"/>
            <family val="2"/>
          </rPr>
          <t xml:space="preserve">
проверити збир!
</t>
        </r>
      </text>
    </comment>
    <comment ref="I10571" authorId="0">
      <text>
        <r>
          <rPr>
            <b/>
            <sz val="9"/>
            <color indexed="81"/>
            <rFont val="Tahoma"/>
            <family val="2"/>
          </rPr>
          <t>LPA:</t>
        </r>
        <r>
          <rPr>
            <sz val="9"/>
            <color indexed="81"/>
            <rFont val="Tahoma"/>
            <family val="2"/>
          </rPr>
          <t xml:space="preserve">
проверити збир!
</t>
        </r>
      </text>
    </comment>
    <comment ref="I10572" authorId="0">
      <text>
        <r>
          <rPr>
            <b/>
            <sz val="9"/>
            <color indexed="81"/>
            <rFont val="Tahoma"/>
            <family val="2"/>
          </rPr>
          <t>LPA:</t>
        </r>
        <r>
          <rPr>
            <sz val="9"/>
            <color indexed="81"/>
            <rFont val="Tahoma"/>
            <family val="2"/>
          </rPr>
          <t xml:space="preserve">
проверити збир!
</t>
        </r>
      </text>
    </comment>
    <comment ref="I10573" authorId="0">
      <text>
        <r>
          <rPr>
            <b/>
            <sz val="9"/>
            <color indexed="81"/>
            <rFont val="Tahoma"/>
            <family val="2"/>
          </rPr>
          <t>LPA:</t>
        </r>
        <r>
          <rPr>
            <sz val="9"/>
            <color indexed="81"/>
            <rFont val="Tahoma"/>
            <family val="2"/>
          </rPr>
          <t xml:space="preserve">
проверити збир!
</t>
        </r>
      </text>
    </comment>
    <comment ref="I10574" authorId="0">
      <text>
        <r>
          <rPr>
            <b/>
            <sz val="9"/>
            <color indexed="81"/>
            <rFont val="Tahoma"/>
            <family val="2"/>
          </rPr>
          <t>LPA:</t>
        </r>
        <r>
          <rPr>
            <sz val="9"/>
            <color indexed="81"/>
            <rFont val="Tahoma"/>
            <family val="2"/>
          </rPr>
          <t xml:space="preserve">
проверити збир!
</t>
        </r>
      </text>
    </comment>
    <comment ref="I10575" authorId="0">
      <text>
        <r>
          <rPr>
            <b/>
            <sz val="9"/>
            <color indexed="81"/>
            <rFont val="Tahoma"/>
            <family val="2"/>
          </rPr>
          <t>LPA:</t>
        </r>
        <r>
          <rPr>
            <sz val="9"/>
            <color indexed="81"/>
            <rFont val="Tahoma"/>
            <family val="2"/>
          </rPr>
          <t xml:space="preserve">
проверити збир!
</t>
        </r>
      </text>
    </comment>
    <comment ref="I10576" authorId="0">
      <text>
        <r>
          <rPr>
            <b/>
            <sz val="9"/>
            <color indexed="81"/>
            <rFont val="Tahoma"/>
            <family val="2"/>
          </rPr>
          <t>LPA:</t>
        </r>
        <r>
          <rPr>
            <sz val="9"/>
            <color indexed="81"/>
            <rFont val="Tahoma"/>
            <family val="2"/>
          </rPr>
          <t xml:space="preserve">
проверити збир!
</t>
        </r>
      </text>
    </comment>
    <comment ref="I10577" authorId="0">
      <text>
        <r>
          <rPr>
            <b/>
            <sz val="9"/>
            <color indexed="81"/>
            <rFont val="Tahoma"/>
            <family val="2"/>
          </rPr>
          <t>LPA:</t>
        </r>
        <r>
          <rPr>
            <sz val="9"/>
            <color indexed="81"/>
            <rFont val="Tahoma"/>
            <family val="2"/>
          </rPr>
          <t xml:space="preserve">
проверити збир!
</t>
        </r>
      </text>
    </comment>
    <comment ref="I10578" authorId="0">
      <text>
        <r>
          <rPr>
            <b/>
            <sz val="9"/>
            <color indexed="81"/>
            <rFont val="Tahoma"/>
            <family val="2"/>
          </rPr>
          <t>LPA:</t>
        </r>
        <r>
          <rPr>
            <sz val="9"/>
            <color indexed="81"/>
            <rFont val="Tahoma"/>
            <family val="2"/>
          </rPr>
          <t xml:space="preserve">
проверити збир!
</t>
        </r>
      </text>
    </comment>
    <comment ref="I10579" authorId="0">
      <text>
        <r>
          <rPr>
            <b/>
            <sz val="9"/>
            <color indexed="81"/>
            <rFont val="Tahoma"/>
            <family val="2"/>
          </rPr>
          <t>LPA:</t>
        </r>
        <r>
          <rPr>
            <sz val="9"/>
            <color indexed="81"/>
            <rFont val="Tahoma"/>
            <family val="2"/>
          </rPr>
          <t xml:space="preserve">
проверити збир!
</t>
        </r>
      </text>
    </comment>
    <comment ref="I10580" authorId="0">
      <text>
        <r>
          <rPr>
            <b/>
            <sz val="9"/>
            <color indexed="81"/>
            <rFont val="Tahoma"/>
            <family val="2"/>
          </rPr>
          <t>LPA:</t>
        </r>
        <r>
          <rPr>
            <sz val="9"/>
            <color indexed="81"/>
            <rFont val="Tahoma"/>
            <family val="2"/>
          </rPr>
          <t xml:space="preserve">
проверити збир!
</t>
        </r>
      </text>
    </comment>
    <comment ref="I10581" authorId="0">
      <text>
        <r>
          <rPr>
            <b/>
            <sz val="9"/>
            <color indexed="81"/>
            <rFont val="Tahoma"/>
            <family val="2"/>
          </rPr>
          <t>LPA:</t>
        </r>
        <r>
          <rPr>
            <sz val="9"/>
            <color indexed="81"/>
            <rFont val="Tahoma"/>
            <family val="2"/>
          </rPr>
          <t xml:space="preserve">
проверити збир!
</t>
        </r>
      </text>
    </comment>
    <comment ref="I10582" authorId="0">
      <text>
        <r>
          <rPr>
            <b/>
            <sz val="9"/>
            <color indexed="81"/>
            <rFont val="Tahoma"/>
            <family val="2"/>
          </rPr>
          <t>LPA:</t>
        </r>
        <r>
          <rPr>
            <sz val="9"/>
            <color indexed="81"/>
            <rFont val="Tahoma"/>
            <family val="2"/>
          </rPr>
          <t xml:space="preserve">
проверити збир!
</t>
        </r>
      </text>
    </comment>
    <comment ref="I10583" authorId="0">
      <text>
        <r>
          <rPr>
            <b/>
            <sz val="9"/>
            <color indexed="81"/>
            <rFont val="Tahoma"/>
            <family val="2"/>
          </rPr>
          <t>LPA:</t>
        </r>
        <r>
          <rPr>
            <sz val="9"/>
            <color indexed="81"/>
            <rFont val="Tahoma"/>
            <family val="2"/>
          </rPr>
          <t xml:space="preserve">
проверити збир!
</t>
        </r>
      </text>
    </comment>
    <comment ref="H10586" authorId="0">
      <text>
        <r>
          <rPr>
            <b/>
            <sz val="9"/>
            <color indexed="81"/>
            <rFont val="Tahoma"/>
            <family val="2"/>
          </rPr>
          <t>LPA:</t>
        </r>
        <r>
          <rPr>
            <sz val="9"/>
            <color indexed="81"/>
            <rFont val="Tahoma"/>
            <family val="2"/>
          </rPr>
          <t xml:space="preserve">
проверити збир!</t>
        </r>
      </text>
    </comment>
    <comment ref="I10586" authorId="0">
      <text>
        <r>
          <rPr>
            <b/>
            <sz val="9"/>
            <color indexed="81"/>
            <rFont val="Tahoma"/>
            <family val="2"/>
          </rPr>
          <t>LPA:</t>
        </r>
        <r>
          <rPr>
            <sz val="9"/>
            <color indexed="81"/>
            <rFont val="Tahoma"/>
            <family val="2"/>
          </rPr>
          <t xml:space="preserve">
проверити збир!</t>
        </r>
      </text>
    </comment>
    <comment ref="I10587" authorId="0">
      <text>
        <r>
          <rPr>
            <b/>
            <sz val="9"/>
            <color indexed="81"/>
            <rFont val="Tahoma"/>
            <family val="2"/>
          </rPr>
          <t>LPA:</t>
        </r>
        <r>
          <rPr>
            <sz val="9"/>
            <color indexed="81"/>
            <rFont val="Tahoma"/>
            <family val="2"/>
          </rPr>
          <t xml:space="preserve">
проверити збир!
</t>
        </r>
      </text>
    </comment>
    <comment ref="I10588" authorId="0">
      <text>
        <r>
          <rPr>
            <b/>
            <sz val="9"/>
            <color indexed="81"/>
            <rFont val="Tahoma"/>
            <family val="2"/>
          </rPr>
          <t>LPA:</t>
        </r>
        <r>
          <rPr>
            <sz val="9"/>
            <color indexed="81"/>
            <rFont val="Tahoma"/>
            <family val="2"/>
          </rPr>
          <t xml:space="preserve">
проверити збир!
</t>
        </r>
      </text>
    </comment>
    <comment ref="I10589" authorId="0">
      <text>
        <r>
          <rPr>
            <b/>
            <sz val="9"/>
            <color indexed="81"/>
            <rFont val="Tahoma"/>
            <family val="2"/>
          </rPr>
          <t>LPA:</t>
        </r>
        <r>
          <rPr>
            <sz val="9"/>
            <color indexed="81"/>
            <rFont val="Tahoma"/>
            <family val="2"/>
          </rPr>
          <t xml:space="preserve">
проверити збир!
</t>
        </r>
      </text>
    </comment>
    <comment ref="I10590" authorId="0">
      <text>
        <r>
          <rPr>
            <b/>
            <sz val="9"/>
            <color indexed="81"/>
            <rFont val="Tahoma"/>
            <family val="2"/>
          </rPr>
          <t>LPA:</t>
        </r>
        <r>
          <rPr>
            <sz val="9"/>
            <color indexed="81"/>
            <rFont val="Tahoma"/>
            <family val="2"/>
          </rPr>
          <t xml:space="preserve">
проверити збир!
</t>
        </r>
      </text>
    </comment>
    <comment ref="I10591" authorId="0">
      <text>
        <r>
          <rPr>
            <b/>
            <sz val="9"/>
            <color indexed="81"/>
            <rFont val="Tahoma"/>
            <family val="2"/>
          </rPr>
          <t>LPA:</t>
        </r>
        <r>
          <rPr>
            <sz val="9"/>
            <color indexed="81"/>
            <rFont val="Tahoma"/>
            <family val="2"/>
          </rPr>
          <t xml:space="preserve">
проверити збир!
</t>
        </r>
      </text>
    </comment>
    <comment ref="I10592" authorId="0">
      <text>
        <r>
          <rPr>
            <b/>
            <sz val="9"/>
            <color indexed="81"/>
            <rFont val="Tahoma"/>
            <family val="2"/>
          </rPr>
          <t>LPA:</t>
        </r>
        <r>
          <rPr>
            <sz val="9"/>
            <color indexed="81"/>
            <rFont val="Tahoma"/>
            <family val="2"/>
          </rPr>
          <t xml:space="preserve">
проверити збир!
</t>
        </r>
      </text>
    </comment>
    <comment ref="I10593" authorId="0">
      <text>
        <r>
          <rPr>
            <b/>
            <sz val="9"/>
            <color indexed="81"/>
            <rFont val="Tahoma"/>
            <family val="2"/>
          </rPr>
          <t>LPA:</t>
        </r>
        <r>
          <rPr>
            <sz val="9"/>
            <color indexed="81"/>
            <rFont val="Tahoma"/>
            <family val="2"/>
          </rPr>
          <t xml:space="preserve">
проверити збир!
</t>
        </r>
      </text>
    </comment>
    <comment ref="I10594" authorId="0">
      <text>
        <r>
          <rPr>
            <b/>
            <sz val="9"/>
            <color indexed="81"/>
            <rFont val="Tahoma"/>
            <family val="2"/>
          </rPr>
          <t>LPA:</t>
        </r>
        <r>
          <rPr>
            <sz val="9"/>
            <color indexed="81"/>
            <rFont val="Tahoma"/>
            <family val="2"/>
          </rPr>
          <t xml:space="preserve">
проверити збир!
</t>
        </r>
      </text>
    </comment>
    <comment ref="I10595" authorId="0">
      <text>
        <r>
          <rPr>
            <b/>
            <sz val="9"/>
            <color indexed="81"/>
            <rFont val="Tahoma"/>
            <family val="2"/>
          </rPr>
          <t>LPA:</t>
        </r>
        <r>
          <rPr>
            <sz val="9"/>
            <color indexed="81"/>
            <rFont val="Tahoma"/>
            <family val="2"/>
          </rPr>
          <t xml:space="preserve">
проверити збир!
</t>
        </r>
      </text>
    </comment>
    <comment ref="I10596" authorId="0">
      <text>
        <r>
          <rPr>
            <b/>
            <sz val="9"/>
            <color indexed="81"/>
            <rFont val="Tahoma"/>
            <family val="2"/>
          </rPr>
          <t>LPA:</t>
        </r>
        <r>
          <rPr>
            <sz val="9"/>
            <color indexed="81"/>
            <rFont val="Tahoma"/>
            <family val="2"/>
          </rPr>
          <t xml:space="preserve">
проверити збир!
</t>
        </r>
      </text>
    </comment>
    <comment ref="I10597" authorId="0">
      <text>
        <r>
          <rPr>
            <b/>
            <sz val="9"/>
            <color indexed="81"/>
            <rFont val="Tahoma"/>
            <family val="2"/>
          </rPr>
          <t>LPA:</t>
        </r>
        <r>
          <rPr>
            <sz val="9"/>
            <color indexed="81"/>
            <rFont val="Tahoma"/>
            <family val="2"/>
          </rPr>
          <t xml:space="preserve">
проверити збир!
</t>
        </r>
      </text>
    </comment>
    <comment ref="I10598" authorId="0">
      <text>
        <r>
          <rPr>
            <b/>
            <sz val="9"/>
            <color indexed="81"/>
            <rFont val="Tahoma"/>
            <family val="2"/>
          </rPr>
          <t>LPA:</t>
        </r>
        <r>
          <rPr>
            <sz val="9"/>
            <color indexed="81"/>
            <rFont val="Tahoma"/>
            <family val="2"/>
          </rPr>
          <t xml:space="preserve">
проверити збир!
</t>
        </r>
      </text>
    </comment>
    <comment ref="I10599" authorId="0">
      <text>
        <r>
          <rPr>
            <b/>
            <sz val="9"/>
            <color indexed="81"/>
            <rFont val="Tahoma"/>
            <family val="2"/>
          </rPr>
          <t>LPA:</t>
        </r>
        <r>
          <rPr>
            <sz val="9"/>
            <color indexed="81"/>
            <rFont val="Tahoma"/>
            <family val="2"/>
          </rPr>
          <t xml:space="preserve">
проверити збир!
</t>
        </r>
      </text>
    </comment>
    <comment ref="I10600" authorId="0">
      <text>
        <r>
          <rPr>
            <b/>
            <sz val="9"/>
            <color indexed="81"/>
            <rFont val="Tahoma"/>
            <family val="2"/>
          </rPr>
          <t>LPA:</t>
        </r>
        <r>
          <rPr>
            <sz val="9"/>
            <color indexed="81"/>
            <rFont val="Tahoma"/>
            <family val="2"/>
          </rPr>
          <t xml:space="preserve">
проверити збир!
</t>
        </r>
      </text>
    </comment>
    <comment ref="I10601" authorId="0">
      <text>
        <r>
          <rPr>
            <b/>
            <sz val="9"/>
            <color indexed="81"/>
            <rFont val="Tahoma"/>
            <family val="2"/>
          </rPr>
          <t>LPA:</t>
        </r>
        <r>
          <rPr>
            <sz val="9"/>
            <color indexed="81"/>
            <rFont val="Tahoma"/>
            <family val="2"/>
          </rPr>
          <t xml:space="preserve">
проверити збир!
</t>
        </r>
      </text>
    </comment>
    <comment ref="H10605" authorId="0">
      <text>
        <r>
          <rPr>
            <b/>
            <sz val="9"/>
            <color indexed="81"/>
            <rFont val="Tahoma"/>
            <family val="2"/>
          </rPr>
          <t>LPA:</t>
        </r>
        <r>
          <rPr>
            <sz val="9"/>
            <color indexed="81"/>
            <rFont val="Tahoma"/>
            <family val="2"/>
          </rPr>
          <t xml:space="preserve">
проверити збир!</t>
        </r>
      </text>
    </comment>
    <comment ref="I10605" authorId="0">
      <text>
        <r>
          <rPr>
            <b/>
            <sz val="9"/>
            <color indexed="81"/>
            <rFont val="Tahoma"/>
            <family val="2"/>
          </rPr>
          <t>LPA:</t>
        </r>
        <r>
          <rPr>
            <sz val="9"/>
            <color indexed="81"/>
            <rFont val="Tahoma"/>
            <family val="2"/>
          </rPr>
          <t xml:space="preserve">
проверити збир!
</t>
        </r>
      </text>
    </comment>
    <comment ref="I10606" authorId="0">
      <text>
        <r>
          <rPr>
            <b/>
            <sz val="9"/>
            <color indexed="81"/>
            <rFont val="Tahoma"/>
            <family val="2"/>
          </rPr>
          <t>LPA:</t>
        </r>
        <r>
          <rPr>
            <sz val="9"/>
            <color indexed="81"/>
            <rFont val="Tahoma"/>
            <family val="2"/>
          </rPr>
          <t xml:space="preserve">
проверити збир!
</t>
        </r>
      </text>
    </comment>
    <comment ref="I10607" authorId="0">
      <text>
        <r>
          <rPr>
            <b/>
            <sz val="9"/>
            <color indexed="81"/>
            <rFont val="Tahoma"/>
            <family val="2"/>
          </rPr>
          <t>LPA:</t>
        </r>
        <r>
          <rPr>
            <sz val="9"/>
            <color indexed="81"/>
            <rFont val="Tahoma"/>
            <family val="2"/>
          </rPr>
          <t xml:space="preserve">
проверити збир!
</t>
        </r>
      </text>
    </comment>
    <comment ref="I10608" authorId="0">
      <text>
        <r>
          <rPr>
            <b/>
            <sz val="9"/>
            <color indexed="81"/>
            <rFont val="Tahoma"/>
            <family val="2"/>
          </rPr>
          <t>LPA:</t>
        </r>
        <r>
          <rPr>
            <sz val="9"/>
            <color indexed="81"/>
            <rFont val="Tahoma"/>
            <family val="2"/>
          </rPr>
          <t xml:space="preserve">
проверити збир!
</t>
        </r>
      </text>
    </comment>
    <comment ref="I10609" authorId="0">
      <text>
        <r>
          <rPr>
            <b/>
            <sz val="9"/>
            <color indexed="81"/>
            <rFont val="Tahoma"/>
            <family val="2"/>
          </rPr>
          <t>LPA:</t>
        </r>
        <r>
          <rPr>
            <sz val="9"/>
            <color indexed="81"/>
            <rFont val="Tahoma"/>
            <family val="2"/>
          </rPr>
          <t xml:space="preserve">
проверити збир!
</t>
        </r>
      </text>
    </comment>
    <comment ref="I10610" authorId="0">
      <text>
        <r>
          <rPr>
            <b/>
            <sz val="9"/>
            <color indexed="81"/>
            <rFont val="Tahoma"/>
            <family val="2"/>
          </rPr>
          <t>LPA:</t>
        </r>
        <r>
          <rPr>
            <sz val="9"/>
            <color indexed="81"/>
            <rFont val="Tahoma"/>
            <family val="2"/>
          </rPr>
          <t xml:space="preserve">
проверити збир!
</t>
        </r>
      </text>
    </comment>
    <comment ref="I10611" authorId="0">
      <text>
        <r>
          <rPr>
            <b/>
            <sz val="9"/>
            <color indexed="81"/>
            <rFont val="Tahoma"/>
            <family val="2"/>
          </rPr>
          <t>LPA:</t>
        </r>
        <r>
          <rPr>
            <sz val="9"/>
            <color indexed="81"/>
            <rFont val="Tahoma"/>
            <family val="2"/>
          </rPr>
          <t xml:space="preserve">
проверити збир!
</t>
        </r>
      </text>
    </comment>
    <comment ref="I10612" authorId="0">
      <text>
        <r>
          <rPr>
            <b/>
            <sz val="9"/>
            <color indexed="81"/>
            <rFont val="Tahoma"/>
            <family val="2"/>
          </rPr>
          <t>LPA:</t>
        </r>
        <r>
          <rPr>
            <sz val="9"/>
            <color indexed="81"/>
            <rFont val="Tahoma"/>
            <family val="2"/>
          </rPr>
          <t xml:space="preserve">
проверити збир!
</t>
        </r>
      </text>
    </comment>
    <comment ref="I10613" authorId="0">
      <text>
        <r>
          <rPr>
            <b/>
            <sz val="9"/>
            <color indexed="81"/>
            <rFont val="Tahoma"/>
            <family val="2"/>
          </rPr>
          <t>LPA:</t>
        </r>
        <r>
          <rPr>
            <sz val="9"/>
            <color indexed="81"/>
            <rFont val="Tahoma"/>
            <family val="2"/>
          </rPr>
          <t xml:space="preserve">
проверити збир!
</t>
        </r>
      </text>
    </comment>
    <comment ref="I10614" authorId="0">
      <text>
        <r>
          <rPr>
            <b/>
            <sz val="9"/>
            <color indexed="81"/>
            <rFont val="Tahoma"/>
            <family val="2"/>
          </rPr>
          <t>LPA:</t>
        </r>
        <r>
          <rPr>
            <sz val="9"/>
            <color indexed="81"/>
            <rFont val="Tahoma"/>
            <family val="2"/>
          </rPr>
          <t xml:space="preserve">
проверити збир!
</t>
        </r>
      </text>
    </comment>
    <comment ref="I10615" authorId="0">
      <text>
        <r>
          <rPr>
            <b/>
            <sz val="9"/>
            <color indexed="81"/>
            <rFont val="Tahoma"/>
            <family val="2"/>
          </rPr>
          <t>LPA:</t>
        </r>
        <r>
          <rPr>
            <sz val="9"/>
            <color indexed="81"/>
            <rFont val="Tahoma"/>
            <family val="2"/>
          </rPr>
          <t xml:space="preserve">
проверити збир!
</t>
        </r>
      </text>
    </comment>
    <comment ref="I10616" authorId="0">
      <text>
        <r>
          <rPr>
            <b/>
            <sz val="9"/>
            <color indexed="81"/>
            <rFont val="Tahoma"/>
            <family val="2"/>
          </rPr>
          <t>LPA:</t>
        </r>
        <r>
          <rPr>
            <sz val="9"/>
            <color indexed="81"/>
            <rFont val="Tahoma"/>
            <family val="2"/>
          </rPr>
          <t xml:space="preserve">
проверити збир!
</t>
        </r>
      </text>
    </comment>
    <comment ref="I10617" authorId="0">
      <text>
        <r>
          <rPr>
            <b/>
            <sz val="9"/>
            <color indexed="81"/>
            <rFont val="Tahoma"/>
            <family val="2"/>
          </rPr>
          <t>LPA:</t>
        </r>
        <r>
          <rPr>
            <sz val="9"/>
            <color indexed="81"/>
            <rFont val="Tahoma"/>
            <family val="2"/>
          </rPr>
          <t xml:space="preserve">
проверити збир!
</t>
        </r>
      </text>
    </comment>
    <comment ref="I10618" authorId="0">
      <text>
        <r>
          <rPr>
            <b/>
            <sz val="9"/>
            <color indexed="81"/>
            <rFont val="Tahoma"/>
            <family val="2"/>
          </rPr>
          <t>LPA:</t>
        </r>
        <r>
          <rPr>
            <sz val="9"/>
            <color indexed="81"/>
            <rFont val="Tahoma"/>
            <family val="2"/>
          </rPr>
          <t xml:space="preserve">
проверити збир!
</t>
        </r>
      </text>
    </comment>
    <comment ref="I10619" authorId="0">
      <text>
        <r>
          <rPr>
            <b/>
            <sz val="9"/>
            <color indexed="81"/>
            <rFont val="Tahoma"/>
            <family val="2"/>
          </rPr>
          <t>LPA:</t>
        </r>
        <r>
          <rPr>
            <sz val="9"/>
            <color indexed="81"/>
            <rFont val="Tahoma"/>
            <family val="2"/>
          </rPr>
          <t xml:space="preserve">
проверити збир!
</t>
        </r>
      </text>
    </comment>
    <comment ref="I10620" authorId="0">
      <text>
        <r>
          <rPr>
            <b/>
            <sz val="9"/>
            <color indexed="81"/>
            <rFont val="Tahoma"/>
            <family val="2"/>
          </rPr>
          <t>LPA:</t>
        </r>
        <r>
          <rPr>
            <sz val="9"/>
            <color indexed="81"/>
            <rFont val="Tahoma"/>
            <family val="2"/>
          </rPr>
          <t xml:space="preserve">
проверити збир!
</t>
        </r>
      </text>
    </comment>
    <comment ref="H10624" authorId="0">
      <text>
        <r>
          <rPr>
            <b/>
            <sz val="9"/>
            <color indexed="81"/>
            <rFont val="Tahoma"/>
            <family val="2"/>
          </rPr>
          <t>LPA:</t>
        </r>
        <r>
          <rPr>
            <sz val="9"/>
            <color indexed="81"/>
            <rFont val="Tahoma"/>
            <family val="2"/>
          </rPr>
          <t xml:space="preserve">
провери збир!</t>
        </r>
      </text>
    </comment>
    <comment ref="I10624" authorId="0">
      <text>
        <r>
          <rPr>
            <b/>
            <sz val="9"/>
            <color indexed="81"/>
            <rFont val="Tahoma"/>
            <family val="2"/>
          </rPr>
          <t>LPA:</t>
        </r>
        <r>
          <rPr>
            <sz val="9"/>
            <color indexed="81"/>
            <rFont val="Tahoma"/>
            <family val="2"/>
          </rPr>
          <t xml:space="preserve">
проверити збир!
</t>
        </r>
      </text>
    </comment>
    <comment ref="I10625" authorId="0">
      <text>
        <r>
          <rPr>
            <b/>
            <sz val="9"/>
            <color indexed="81"/>
            <rFont val="Tahoma"/>
            <family val="2"/>
          </rPr>
          <t>LPA:</t>
        </r>
        <r>
          <rPr>
            <sz val="9"/>
            <color indexed="81"/>
            <rFont val="Tahoma"/>
            <family val="2"/>
          </rPr>
          <t xml:space="preserve">
проверити збир!
</t>
        </r>
      </text>
    </comment>
    <comment ref="I10626" authorId="0">
      <text>
        <r>
          <rPr>
            <b/>
            <sz val="9"/>
            <color indexed="81"/>
            <rFont val="Tahoma"/>
            <family val="2"/>
          </rPr>
          <t>LPA:</t>
        </r>
        <r>
          <rPr>
            <sz val="9"/>
            <color indexed="81"/>
            <rFont val="Tahoma"/>
            <family val="2"/>
          </rPr>
          <t xml:space="preserve">
проверити збир!
</t>
        </r>
      </text>
    </comment>
    <comment ref="I10627" authorId="0">
      <text>
        <r>
          <rPr>
            <b/>
            <sz val="9"/>
            <color indexed="81"/>
            <rFont val="Tahoma"/>
            <family val="2"/>
          </rPr>
          <t>LPA:</t>
        </r>
        <r>
          <rPr>
            <sz val="9"/>
            <color indexed="81"/>
            <rFont val="Tahoma"/>
            <family val="2"/>
          </rPr>
          <t xml:space="preserve">
проверити збир!
</t>
        </r>
      </text>
    </comment>
    <comment ref="I10628" authorId="0">
      <text>
        <r>
          <rPr>
            <b/>
            <sz val="9"/>
            <color indexed="81"/>
            <rFont val="Tahoma"/>
            <family val="2"/>
          </rPr>
          <t>LPA:</t>
        </r>
        <r>
          <rPr>
            <sz val="9"/>
            <color indexed="81"/>
            <rFont val="Tahoma"/>
            <family val="2"/>
          </rPr>
          <t xml:space="preserve">
проверити збир!
</t>
        </r>
      </text>
    </comment>
    <comment ref="I10629" authorId="0">
      <text>
        <r>
          <rPr>
            <b/>
            <sz val="9"/>
            <color indexed="81"/>
            <rFont val="Tahoma"/>
            <family val="2"/>
          </rPr>
          <t>LPA:</t>
        </r>
        <r>
          <rPr>
            <sz val="9"/>
            <color indexed="81"/>
            <rFont val="Tahoma"/>
            <family val="2"/>
          </rPr>
          <t xml:space="preserve">
проверити збир!
</t>
        </r>
      </text>
    </comment>
    <comment ref="I10630" authorId="0">
      <text>
        <r>
          <rPr>
            <b/>
            <sz val="9"/>
            <color indexed="81"/>
            <rFont val="Tahoma"/>
            <family val="2"/>
          </rPr>
          <t>LPA:</t>
        </r>
        <r>
          <rPr>
            <sz val="9"/>
            <color indexed="81"/>
            <rFont val="Tahoma"/>
            <family val="2"/>
          </rPr>
          <t xml:space="preserve">
проверити збир!
</t>
        </r>
      </text>
    </comment>
    <comment ref="I10631" authorId="0">
      <text>
        <r>
          <rPr>
            <b/>
            <sz val="9"/>
            <color indexed="81"/>
            <rFont val="Tahoma"/>
            <family val="2"/>
          </rPr>
          <t>LPA:</t>
        </r>
        <r>
          <rPr>
            <sz val="9"/>
            <color indexed="81"/>
            <rFont val="Tahoma"/>
            <family val="2"/>
          </rPr>
          <t xml:space="preserve">
проверити збир!
</t>
        </r>
      </text>
    </comment>
    <comment ref="I10632" authorId="0">
      <text>
        <r>
          <rPr>
            <b/>
            <sz val="9"/>
            <color indexed="81"/>
            <rFont val="Tahoma"/>
            <family val="2"/>
          </rPr>
          <t>LPA:</t>
        </r>
        <r>
          <rPr>
            <sz val="9"/>
            <color indexed="81"/>
            <rFont val="Tahoma"/>
            <family val="2"/>
          </rPr>
          <t xml:space="preserve">
проверити збир!
</t>
        </r>
      </text>
    </comment>
    <comment ref="I10633" authorId="0">
      <text>
        <r>
          <rPr>
            <b/>
            <sz val="9"/>
            <color indexed="81"/>
            <rFont val="Tahoma"/>
            <family val="2"/>
          </rPr>
          <t>LPA:</t>
        </r>
        <r>
          <rPr>
            <sz val="9"/>
            <color indexed="81"/>
            <rFont val="Tahoma"/>
            <family val="2"/>
          </rPr>
          <t xml:space="preserve">
проверити збир!
</t>
        </r>
      </text>
    </comment>
    <comment ref="I10634" authorId="0">
      <text>
        <r>
          <rPr>
            <b/>
            <sz val="9"/>
            <color indexed="81"/>
            <rFont val="Tahoma"/>
            <family val="2"/>
          </rPr>
          <t>LPA:</t>
        </r>
        <r>
          <rPr>
            <sz val="9"/>
            <color indexed="81"/>
            <rFont val="Tahoma"/>
            <family val="2"/>
          </rPr>
          <t xml:space="preserve">
проверити збир!
</t>
        </r>
      </text>
    </comment>
    <comment ref="I10635" authorId="0">
      <text>
        <r>
          <rPr>
            <b/>
            <sz val="9"/>
            <color indexed="81"/>
            <rFont val="Tahoma"/>
            <family val="2"/>
          </rPr>
          <t>LPA:</t>
        </r>
        <r>
          <rPr>
            <sz val="9"/>
            <color indexed="81"/>
            <rFont val="Tahoma"/>
            <family val="2"/>
          </rPr>
          <t xml:space="preserve">
проверити збир!
</t>
        </r>
      </text>
    </comment>
    <comment ref="I10636" authorId="0">
      <text>
        <r>
          <rPr>
            <b/>
            <sz val="9"/>
            <color indexed="81"/>
            <rFont val="Tahoma"/>
            <family val="2"/>
          </rPr>
          <t>LPA:</t>
        </r>
        <r>
          <rPr>
            <sz val="9"/>
            <color indexed="81"/>
            <rFont val="Tahoma"/>
            <family val="2"/>
          </rPr>
          <t xml:space="preserve">
проверити збир!
</t>
        </r>
      </text>
    </comment>
    <comment ref="I10637" authorId="0">
      <text>
        <r>
          <rPr>
            <b/>
            <sz val="9"/>
            <color indexed="81"/>
            <rFont val="Tahoma"/>
            <family val="2"/>
          </rPr>
          <t>LPA:</t>
        </r>
        <r>
          <rPr>
            <sz val="9"/>
            <color indexed="81"/>
            <rFont val="Tahoma"/>
            <family val="2"/>
          </rPr>
          <t xml:space="preserve">
проверити збир!
</t>
        </r>
      </text>
    </comment>
    <comment ref="I10638" authorId="0">
      <text>
        <r>
          <rPr>
            <b/>
            <sz val="9"/>
            <color indexed="81"/>
            <rFont val="Tahoma"/>
            <family val="2"/>
          </rPr>
          <t>LPA:</t>
        </r>
        <r>
          <rPr>
            <sz val="9"/>
            <color indexed="81"/>
            <rFont val="Tahoma"/>
            <family val="2"/>
          </rPr>
          <t xml:space="preserve">
проверити збир!
</t>
        </r>
      </text>
    </comment>
    <comment ref="I10639" authorId="0">
      <text>
        <r>
          <rPr>
            <b/>
            <sz val="9"/>
            <color indexed="81"/>
            <rFont val="Tahoma"/>
            <family val="2"/>
          </rPr>
          <t>LPA:</t>
        </r>
        <r>
          <rPr>
            <sz val="9"/>
            <color indexed="81"/>
            <rFont val="Tahoma"/>
            <family val="2"/>
          </rPr>
          <t xml:space="preserve">
проверити збир!
</t>
        </r>
      </text>
    </comment>
    <comment ref="I10710" authorId="0">
      <text>
        <r>
          <rPr>
            <b/>
            <sz val="9"/>
            <color indexed="81"/>
            <rFont val="Tahoma"/>
            <family val="2"/>
          </rPr>
          <t>LPA:</t>
        </r>
        <r>
          <rPr>
            <sz val="9"/>
            <color indexed="81"/>
            <rFont val="Tahoma"/>
            <family val="2"/>
          </rPr>
          <t xml:space="preserve">
проверити збир!
</t>
        </r>
      </text>
    </comment>
    <comment ref="I10711" authorId="0">
      <text>
        <r>
          <rPr>
            <b/>
            <sz val="9"/>
            <color indexed="81"/>
            <rFont val="Tahoma"/>
            <family val="2"/>
          </rPr>
          <t>LPA:</t>
        </r>
        <r>
          <rPr>
            <sz val="9"/>
            <color indexed="81"/>
            <rFont val="Tahoma"/>
            <family val="2"/>
          </rPr>
          <t xml:space="preserve">
проверити збир!
</t>
        </r>
      </text>
    </comment>
    <comment ref="I10712" authorId="0">
      <text>
        <r>
          <rPr>
            <b/>
            <sz val="9"/>
            <color indexed="81"/>
            <rFont val="Tahoma"/>
            <family val="2"/>
          </rPr>
          <t>LPA:</t>
        </r>
        <r>
          <rPr>
            <sz val="9"/>
            <color indexed="81"/>
            <rFont val="Tahoma"/>
            <family val="2"/>
          </rPr>
          <t xml:space="preserve">
проверити збир!
</t>
        </r>
      </text>
    </comment>
    <comment ref="I10713" authorId="0">
      <text>
        <r>
          <rPr>
            <b/>
            <sz val="9"/>
            <color indexed="81"/>
            <rFont val="Tahoma"/>
            <family val="2"/>
          </rPr>
          <t>LPA:</t>
        </r>
        <r>
          <rPr>
            <sz val="9"/>
            <color indexed="81"/>
            <rFont val="Tahoma"/>
            <family val="2"/>
          </rPr>
          <t xml:space="preserve">
проверити збир!
</t>
        </r>
      </text>
    </comment>
    <comment ref="I10714" authorId="0">
      <text>
        <r>
          <rPr>
            <b/>
            <sz val="9"/>
            <color indexed="81"/>
            <rFont val="Tahoma"/>
            <family val="2"/>
          </rPr>
          <t>LPA:</t>
        </r>
        <r>
          <rPr>
            <sz val="9"/>
            <color indexed="81"/>
            <rFont val="Tahoma"/>
            <family val="2"/>
          </rPr>
          <t xml:space="preserve">
проверити збир!
</t>
        </r>
      </text>
    </comment>
    <comment ref="I10715" authorId="0">
      <text>
        <r>
          <rPr>
            <b/>
            <sz val="9"/>
            <color indexed="81"/>
            <rFont val="Tahoma"/>
            <family val="2"/>
          </rPr>
          <t>LPA:</t>
        </r>
        <r>
          <rPr>
            <sz val="9"/>
            <color indexed="81"/>
            <rFont val="Tahoma"/>
            <family val="2"/>
          </rPr>
          <t xml:space="preserve">
проверити збир!
</t>
        </r>
      </text>
    </comment>
    <comment ref="I10716" authorId="0">
      <text>
        <r>
          <rPr>
            <b/>
            <sz val="9"/>
            <color indexed="81"/>
            <rFont val="Tahoma"/>
            <family val="2"/>
          </rPr>
          <t>LPA:</t>
        </r>
        <r>
          <rPr>
            <sz val="9"/>
            <color indexed="81"/>
            <rFont val="Tahoma"/>
            <family val="2"/>
          </rPr>
          <t xml:space="preserve">
проверити збир!
</t>
        </r>
      </text>
    </comment>
    <comment ref="I10717" authorId="0">
      <text>
        <r>
          <rPr>
            <b/>
            <sz val="9"/>
            <color indexed="81"/>
            <rFont val="Tahoma"/>
            <family val="2"/>
          </rPr>
          <t>LPA:</t>
        </r>
        <r>
          <rPr>
            <sz val="9"/>
            <color indexed="81"/>
            <rFont val="Tahoma"/>
            <family val="2"/>
          </rPr>
          <t xml:space="preserve">
проверити збир!
</t>
        </r>
      </text>
    </comment>
    <comment ref="I10718" authorId="0">
      <text>
        <r>
          <rPr>
            <b/>
            <sz val="9"/>
            <color indexed="81"/>
            <rFont val="Tahoma"/>
            <family val="2"/>
          </rPr>
          <t>LPA:</t>
        </r>
        <r>
          <rPr>
            <sz val="9"/>
            <color indexed="81"/>
            <rFont val="Tahoma"/>
            <family val="2"/>
          </rPr>
          <t xml:space="preserve">
проверити збир!
</t>
        </r>
      </text>
    </comment>
    <comment ref="I10719" authorId="0">
      <text>
        <r>
          <rPr>
            <b/>
            <sz val="9"/>
            <color indexed="81"/>
            <rFont val="Tahoma"/>
            <family val="2"/>
          </rPr>
          <t>LPA:</t>
        </r>
        <r>
          <rPr>
            <sz val="9"/>
            <color indexed="81"/>
            <rFont val="Tahoma"/>
            <family val="2"/>
          </rPr>
          <t xml:space="preserve">
проверити збир!
</t>
        </r>
      </text>
    </comment>
    <comment ref="I10720" authorId="0">
      <text>
        <r>
          <rPr>
            <b/>
            <sz val="9"/>
            <color indexed="81"/>
            <rFont val="Tahoma"/>
            <family val="2"/>
          </rPr>
          <t>LPA:</t>
        </r>
        <r>
          <rPr>
            <sz val="9"/>
            <color indexed="81"/>
            <rFont val="Tahoma"/>
            <family val="2"/>
          </rPr>
          <t xml:space="preserve">
проверити збир!
</t>
        </r>
      </text>
    </comment>
    <comment ref="I10721" authorId="0">
      <text>
        <r>
          <rPr>
            <b/>
            <sz val="9"/>
            <color indexed="81"/>
            <rFont val="Tahoma"/>
            <family val="2"/>
          </rPr>
          <t>LPA:</t>
        </r>
        <r>
          <rPr>
            <sz val="9"/>
            <color indexed="81"/>
            <rFont val="Tahoma"/>
            <family val="2"/>
          </rPr>
          <t xml:space="preserve">
проверити збир!
</t>
        </r>
      </text>
    </comment>
    <comment ref="I10722" authorId="0">
      <text>
        <r>
          <rPr>
            <b/>
            <sz val="9"/>
            <color indexed="81"/>
            <rFont val="Tahoma"/>
            <family val="2"/>
          </rPr>
          <t>LPA:</t>
        </r>
        <r>
          <rPr>
            <sz val="9"/>
            <color indexed="81"/>
            <rFont val="Tahoma"/>
            <family val="2"/>
          </rPr>
          <t xml:space="preserve">
проверити збир!
</t>
        </r>
      </text>
    </comment>
    <comment ref="H10725" authorId="0">
      <text>
        <r>
          <rPr>
            <b/>
            <sz val="9"/>
            <color indexed="81"/>
            <rFont val="Tahoma"/>
            <family val="2"/>
          </rPr>
          <t>LPA:</t>
        </r>
        <r>
          <rPr>
            <sz val="9"/>
            <color indexed="81"/>
            <rFont val="Tahoma"/>
            <family val="2"/>
          </rPr>
          <t xml:space="preserve">
проверити збир!</t>
        </r>
      </text>
    </comment>
    <comment ref="I10725" authorId="0">
      <text>
        <r>
          <rPr>
            <b/>
            <sz val="9"/>
            <color indexed="81"/>
            <rFont val="Tahoma"/>
            <family val="2"/>
          </rPr>
          <t>LPA:</t>
        </r>
        <r>
          <rPr>
            <sz val="9"/>
            <color indexed="81"/>
            <rFont val="Tahoma"/>
            <family val="2"/>
          </rPr>
          <t xml:space="preserve">
проверити збир!</t>
        </r>
      </text>
    </comment>
    <comment ref="I10726" authorId="0">
      <text>
        <r>
          <rPr>
            <b/>
            <sz val="9"/>
            <color indexed="81"/>
            <rFont val="Tahoma"/>
            <family val="2"/>
          </rPr>
          <t>LPA:</t>
        </r>
        <r>
          <rPr>
            <sz val="9"/>
            <color indexed="81"/>
            <rFont val="Tahoma"/>
            <family val="2"/>
          </rPr>
          <t xml:space="preserve">
проверити збир!
</t>
        </r>
      </text>
    </comment>
    <comment ref="I10727" authorId="0">
      <text>
        <r>
          <rPr>
            <b/>
            <sz val="9"/>
            <color indexed="81"/>
            <rFont val="Tahoma"/>
            <family val="2"/>
          </rPr>
          <t>LPA:</t>
        </r>
        <r>
          <rPr>
            <sz val="9"/>
            <color indexed="81"/>
            <rFont val="Tahoma"/>
            <family val="2"/>
          </rPr>
          <t xml:space="preserve">
проверити збир!
</t>
        </r>
      </text>
    </comment>
    <comment ref="I10728" authorId="0">
      <text>
        <r>
          <rPr>
            <b/>
            <sz val="9"/>
            <color indexed="81"/>
            <rFont val="Tahoma"/>
            <family val="2"/>
          </rPr>
          <t>LPA:</t>
        </r>
        <r>
          <rPr>
            <sz val="9"/>
            <color indexed="81"/>
            <rFont val="Tahoma"/>
            <family val="2"/>
          </rPr>
          <t xml:space="preserve">
проверити збир!
</t>
        </r>
      </text>
    </comment>
    <comment ref="I10729" authorId="0">
      <text>
        <r>
          <rPr>
            <b/>
            <sz val="9"/>
            <color indexed="81"/>
            <rFont val="Tahoma"/>
            <family val="2"/>
          </rPr>
          <t>LPA:</t>
        </r>
        <r>
          <rPr>
            <sz val="9"/>
            <color indexed="81"/>
            <rFont val="Tahoma"/>
            <family val="2"/>
          </rPr>
          <t xml:space="preserve">
проверити збир!
</t>
        </r>
      </text>
    </comment>
    <comment ref="I10730" authorId="0">
      <text>
        <r>
          <rPr>
            <b/>
            <sz val="9"/>
            <color indexed="81"/>
            <rFont val="Tahoma"/>
            <family val="2"/>
          </rPr>
          <t>LPA:</t>
        </r>
        <r>
          <rPr>
            <sz val="9"/>
            <color indexed="81"/>
            <rFont val="Tahoma"/>
            <family val="2"/>
          </rPr>
          <t xml:space="preserve">
проверити збир!
</t>
        </r>
      </text>
    </comment>
    <comment ref="I10731" authorId="0">
      <text>
        <r>
          <rPr>
            <b/>
            <sz val="9"/>
            <color indexed="81"/>
            <rFont val="Tahoma"/>
            <family val="2"/>
          </rPr>
          <t>LPA:</t>
        </r>
        <r>
          <rPr>
            <sz val="9"/>
            <color indexed="81"/>
            <rFont val="Tahoma"/>
            <family val="2"/>
          </rPr>
          <t xml:space="preserve">
проверити збир!
</t>
        </r>
      </text>
    </comment>
    <comment ref="I10732" authorId="0">
      <text>
        <r>
          <rPr>
            <b/>
            <sz val="9"/>
            <color indexed="81"/>
            <rFont val="Tahoma"/>
            <family val="2"/>
          </rPr>
          <t>LPA:</t>
        </r>
        <r>
          <rPr>
            <sz val="9"/>
            <color indexed="81"/>
            <rFont val="Tahoma"/>
            <family val="2"/>
          </rPr>
          <t xml:space="preserve">
проверити збир!
</t>
        </r>
      </text>
    </comment>
    <comment ref="I10733" authorId="0">
      <text>
        <r>
          <rPr>
            <b/>
            <sz val="9"/>
            <color indexed="81"/>
            <rFont val="Tahoma"/>
            <family val="2"/>
          </rPr>
          <t>LPA:</t>
        </r>
        <r>
          <rPr>
            <sz val="9"/>
            <color indexed="81"/>
            <rFont val="Tahoma"/>
            <family val="2"/>
          </rPr>
          <t xml:space="preserve">
проверити збир!
</t>
        </r>
      </text>
    </comment>
    <comment ref="I10734" authorId="0">
      <text>
        <r>
          <rPr>
            <b/>
            <sz val="9"/>
            <color indexed="81"/>
            <rFont val="Tahoma"/>
            <family val="2"/>
          </rPr>
          <t>LPA:</t>
        </r>
        <r>
          <rPr>
            <sz val="9"/>
            <color indexed="81"/>
            <rFont val="Tahoma"/>
            <family val="2"/>
          </rPr>
          <t xml:space="preserve">
проверити збир!
</t>
        </r>
      </text>
    </comment>
    <comment ref="I10735" authorId="0">
      <text>
        <r>
          <rPr>
            <b/>
            <sz val="9"/>
            <color indexed="81"/>
            <rFont val="Tahoma"/>
            <family val="2"/>
          </rPr>
          <t>LPA:</t>
        </r>
        <r>
          <rPr>
            <sz val="9"/>
            <color indexed="81"/>
            <rFont val="Tahoma"/>
            <family val="2"/>
          </rPr>
          <t xml:space="preserve">
проверити збир!
</t>
        </r>
      </text>
    </comment>
    <comment ref="I10736" authorId="0">
      <text>
        <r>
          <rPr>
            <b/>
            <sz val="9"/>
            <color indexed="81"/>
            <rFont val="Tahoma"/>
            <family val="2"/>
          </rPr>
          <t>LPA:</t>
        </r>
        <r>
          <rPr>
            <sz val="9"/>
            <color indexed="81"/>
            <rFont val="Tahoma"/>
            <family val="2"/>
          </rPr>
          <t xml:space="preserve">
проверити збир!
</t>
        </r>
      </text>
    </comment>
    <comment ref="I10737" authorId="0">
      <text>
        <r>
          <rPr>
            <b/>
            <sz val="9"/>
            <color indexed="81"/>
            <rFont val="Tahoma"/>
            <family val="2"/>
          </rPr>
          <t>LPA:</t>
        </r>
        <r>
          <rPr>
            <sz val="9"/>
            <color indexed="81"/>
            <rFont val="Tahoma"/>
            <family val="2"/>
          </rPr>
          <t xml:space="preserve">
проверити збир!
</t>
        </r>
      </text>
    </comment>
    <comment ref="I10738" authorId="0">
      <text>
        <r>
          <rPr>
            <b/>
            <sz val="9"/>
            <color indexed="81"/>
            <rFont val="Tahoma"/>
            <family val="2"/>
          </rPr>
          <t>LPA:</t>
        </r>
        <r>
          <rPr>
            <sz val="9"/>
            <color indexed="81"/>
            <rFont val="Tahoma"/>
            <family val="2"/>
          </rPr>
          <t xml:space="preserve">
проверити збир!
</t>
        </r>
      </text>
    </comment>
    <comment ref="I10739" authorId="0">
      <text>
        <r>
          <rPr>
            <b/>
            <sz val="9"/>
            <color indexed="81"/>
            <rFont val="Tahoma"/>
            <family val="2"/>
          </rPr>
          <t>LPA:</t>
        </r>
        <r>
          <rPr>
            <sz val="9"/>
            <color indexed="81"/>
            <rFont val="Tahoma"/>
            <family val="2"/>
          </rPr>
          <t xml:space="preserve">
проверити збир!
</t>
        </r>
      </text>
    </comment>
    <comment ref="I10740" authorId="0">
      <text>
        <r>
          <rPr>
            <b/>
            <sz val="9"/>
            <color indexed="81"/>
            <rFont val="Tahoma"/>
            <family val="2"/>
          </rPr>
          <t>LPA:</t>
        </r>
        <r>
          <rPr>
            <sz val="9"/>
            <color indexed="81"/>
            <rFont val="Tahoma"/>
            <family val="2"/>
          </rPr>
          <t xml:space="preserve">
проверити збир!
</t>
        </r>
      </text>
    </comment>
    <comment ref="I10809" authorId="0">
      <text>
        <r>
          <rPr>
            <b/>
            <sz val="9"/>
            <color indexed="81"/>
            <rFont val="Tahoma"/>
            <family val="2"/>
          </rPr>
          <t>LPA:</t>
        </r>
        <r>
          <rPr>
            <sz val="9"/>
            <color indexed="81"/>
            <rFont val="Tahoma"/>
            <family val="2"/>
          </rPr>
          <t xml:space="preserve">
проверити збир!
</t>
        </r>
      </text>
    </comment>
    <comment ref="I10810" authorId="0">
      <text>
        <r>
          <rPr>
            <b/>
            <sz val="9"/>
            <color indexed="81"/>
            <rFont val="Tahoma"/>
            <family val="2"/>
          </rPr>
          <t>LPA:</t>
        </r>
        <r>
          <rPr>
            <sz val="9"/>
            <color indexed="81"/>
            <rFont val="Tahoma"/>
            <family val="2"/>
          </rPr>
          <t xml:space="preserve">
проверити збир!
</t>
        </r>
      </text>
    </comment>
    <comment ref="I10811" authorId="0">
      <text>
        <r>
          <rPr>
            <b/>
            <sz val="9"/>
            <color indexed="81"/>
            <rFont val="Tahoma"/>
            <family val="2"/>
          </rPr>
          <t>LPA:</t>
        </r>
        <r>
          <rPr>
            <sz val="9"/>
            <color indexed="81"/>
            <rFont val="Tahoma"/>
            <family val="2"/>
          </rPr>
          <t xml:space="preserve">
проверити збир!
</t>
        </r>
      </text>
    </comment>
    <comment ref="I10812" authorId="0">
      <text>
        <r>
          <rPr>
            <b/>
            <sz val="9"/>
            <color indexed="81"/>
            <rFont val="Tahoma"/>
            <family val="2"/>
          </rPr>
          <t>LPA:</t>
        </r>
        <r>
          <rPr>
            <sz val="9"/>
            <color indexed="81"/>
            <rFont val="Tahoma"/>
            <family val="2"/>
          </rPr>
          <t xml:space="preserve">
проверити збир!
</t>
        </r>
      </text>
    </comment>
    <comment ref="I10813" authorId="0">
      <text>
        <r>
          <rPr>
            <b/>
            <sz val="9"/>
            <color indexed="81"/>
            <rFont val="Tahoma"/>
            <family val="2"/>
          </rPr>
          <t>LPA:</t>
        </r>
        <r>
          <rPr>
            <sz val="9"/>
            <color indexed="81"/>
            <rFont val="Tahoma"/>
            <family val="2"/>
          </rPr>
          <t xml:space="preserve">
проверити збир!
</t>
        </r>
      </text>
    </comment>
    <comment ref="I10814" authorId="0">
      <text>
        <r>
          <rPr>
            <b/>
            <sz val="9"/>
            <color indexed="81"/>
            <rFont val="Tahoma"/>
            <family val="2"/>
          </rPr>
          <t>LPA:</t>
        </r>
        <r>
          <rPr>
            <sz val="9"/>
            <color indexed="81"/>
            <rFont val="Tahoma"/>
            <family val="2"/>
          </rPr>
          <t xml:space="preserve">
проверити збир!
</t>
        </r>
      </text>
    </comment>
    <comment ref="I10815" authorId="0">
      <text>
        <r>
          <rPr>
            <b/>
            <sz val="9"/>
            <color indexed="81"/>
            <rFont val="Tahoma"/>
            <family val="2"/>
          </rPr>
          <t>LPA:</t>
        </r>
        <r>
          <rPr>
            <sz val="9"/>
            <color indexed="81"/>
            <rFont val="Tahoma"/>
            <family val="2"/>
          </rPr>
          <t xml:space="preserve">
проверити збир!
</t>
        </r>
      </text>
    </comment>
    <comment ref="I10816" authorId="0">
      <text>
        <r>
          <rPr>
            <b/>
            <sz val="9"/>
            <color indexed="81"/>
            <rFont val="Tahoma"/>
            <family val="2"/>
          </rPr>
          <t>LPA:</t>
        </r>
        <r>
          <rPr>
            <sz val="9"/>
            <color indexed="81"/>
            <rFont val="Tahoma"/>
            <family val="2"/>
          </rPr>
          <t xml:space="preserve">
проверити збир!
</t>
        </r>
      </text>
    </comment>
    <comment ref="I10817" authorId="0">
      <text>
        <r>
          <rPr>
            <b/>
            <sz val="9"/>
            <color indexed="81"/>
            <rFont val="Tahoma"/>
            <family val="2"/>
          </rPr>
          <t>LPA:</t>
        </r>
        <r>
          <rPr>
            <sz val="9"/>
            <color indexed="81"/>
            <rFont val="Tahoma"/>
            <family val="2"/>
          </rPr>
          <t xml:space="preserve">
проверити збир!
</t>
        </r>
      </text>
    </comment>
    <comment ref="I10818" authorId="0">
      <text>
        <r>
          <rPr>
            <b/>
            <sz val="9"/>
            <color indexed="81"/>
            <rFont val="Tahoma"/>
            <family val="2"/>
          </rPr>
          <t>LPA:</t>
        </r>
        <r>
          <rPr>
            <sz val="9"/>
            <color indexed="81"/>
            <rFont val="Tahoma"/>
            <family val="2"/>
          </rPr>
          <t xml:space="preserve">
проверити збир!
</t>
        </r>
      </text>
    </comment>
    <comment ref="I10819" authorId="0">
      <text>
        <r>
          <rPr>
            <b/>
            <sz val="9"/>
            <color indexed="81"/>
            <rFont val="Tahoma"/>
            <family val="2"/>
          </rPr>
          <t>LPA:</t>
        </r>
        <r>
          <rPr>
            <sz val="9"/>
            <color indexed="81"/>
            <rFont val="Tahoma"/>
            <family val="2"/>
          </rPr>
          <t xml:space="preserve">
проверити збир!
</t>
        </r>
      </text>
    </comment>
    <comment ref="I10820" authorId="0">
      <text>
        <r>
          <rPr>
            <b/>
            <sz val="9"/>
            <color indexed="81"/>
            <rFont val="Tahoma"/>
            <family val="2"/>
          </rPr>
          <t>LPA:</t>
        </r>
        <r>
          <rPr>
            <sz val="9"/>
            <color indexed="81"/>
            <rFont val="Tahoma"/>
            <family val="2"/>
          </rPr>
          <t xml:space="preserve">
проверити збир!
</t>
        </r>
      </text>
    </comment>
    <comment ref="I10821" authorId="0">
      <text>
        <r>
          <rPr>
            <b/>
            <sz val="9"/>
            <color indexed="81"/>
            <rFont val="Tahoma"/>
            <family val="2"/>
          </rPr>
          <t>LPA:</t>
        </r>
        <r>
          <rPr>
            <sz val="9"/>
            <color indexed="81"/>
            <rFont val="Tahoma"/>
            <family val="2"/>
          </rPr>
          <t xml:space="preserve">
проверити збир!
</t>
        </r>
      </text>
    </comment>
    <comment ref="H10824" authorId="0">
      <text>
        <r>
          <rPr>
            <b/>
            <sz val="9"/>
            <color indexed="81"/>
            <rFont val="Tahoma"/>
            <family val="2"/>
          </rPr>
          <t>LPA:</t>
        </r>
        <r>
          <rPr>
            <sz val="9"/>
            <color indexed="81"/>
            <rFont val="Tahoma"/>
            <family val="2"/>
          </rPr>
          <t xml:space="preserve">
проверити збир!</t>
        </r>
      </text>
    </comment>
    <comment ref="I10824" authorId="0">
      <text>
        <r>
          <rPr>
            <b/>
            <sz val="9"/>
            <color indexed="81"/>
            <rFont val="Tahoma"/>
            <family val="2"/>
          </rPr>
          <t>LPA:</t>
        </r>
        <r>
          <rPr>
            <sz val="9"/>
            <color indexed="81"/>
            <rFont val="Tahoma"/>
            <family val="2"/>
          </rPr>
          <t xml:space="preserve">
проверити збир!</t>
        </r>
      </text>
    </comment>
    <comment ref="I10825" authorId="0">
      <text>
        <r>
          <rPr>
            <b/>
            <sz val="9"/>
            <color indexed="81"/>
            <rFont val="Tahoma"/>
            <family val="2"/>
          </rPr>
          <t>LPA:</t>
        </r>
        <r>
          <rPr>
            <sz val="9"/>
            <color indexed="81"/>
            <rFont val="Tahoma"/>
            <family val="2"/>
          </rPr>
          <t xml:space="preserve">
проверити збир!
</t>
        </r>
      </text>
    </comment>
    <comment ref="I10826" authorId="0">
      <text>
        <r>
          <rPr>
            <b/>
            <sz val="9"/>
            <color indexed="81"/>
            <rFont val="Tahoma"/>
            <family val="2"/>
          </rPr>
          <t>LPA:</t>
        </r>
        <r>
          <rPr>
            <sz val="9"/>
            <color indexed="81"/>
            <rFont val="Tahoma"/>
            <family val="2"/>
          </rPr>
          <t xml:space="preserve">
проверити збир!
</t>
        </r>
      </text>
    </comment>
    <comment ref="I10827" authorId="0">
      <text>
        <r>
          <rPr>
            <b/>
            <sz val="9"/>
            <color indexed="81"/>
            <rFont val="Tahoma"/>
            <family val="2"/>
          </rPr>
          <t>LPA:</t>
        </r>
        <r>
          <rPr>
            <sz val="9"/>
            <color indexed="81"/>
            <rFont val="Tahoma"/>
            <family val="2"/>
          </rPr>
          <t xml:space="preserve">
проверити збир!
</t>
        </r>
      </text>
    </comment>
    <comment ref="I10828" authorId="0">
      <text>
        <r>
          <rPr>
            <b/>
            <sz val="9"/>
            <color indexed="81"/>
            <rFont val="Tahoma"/>
            <family val="2"/>
          </rPr>
          <t>LPA:</t>
        </r>
        <r>
          <rPr>
            <sz val="9"/>
            <color indexed="81"/>
            <rFont val="Tahoma"/>
            <family val="2"/>
          </rPr>
          <t xml:space="preserve">
проверити збир!
</t>
        </r>
      </text>
    </comment>
    <comment ref="I10829" authorId="0">
      <text>
        <r>
          <rPr>
            <b/>
            <sz val="9"/>
            <color indexed="81"/>
            <rFont val="Tahoma"/>
            <family val="2"/>
          </rPr>
          <t>LPA:</t>
        </r>
        <r>
          <rPr>
            <sz val="9"/>
            <color indexed="81"/>
            <rFont val="Tahoma"/>
            <family val="2"/>
          </rPr>
          <t xml:space="preserve">
проверити збир!
</t>
        </r>
      </text>
    </comment>
    <comment ref="I10830" authorId="0">
      <text>
        <r>
          <rPr>
            <b/>
            <sz val="9"/>
            <color indexed="81"/>
            <rFont val="Tahoma"/>
            <family val="2"/>
          </rPr>
          <t>LPA:</t>
        </r>
        <r>
          <rPr>
            <sz val="9"/>
            <color indexed="81"/>
            <rFont val="Tahoma"/>
            <family val="2"/>
          </rPr>
          <t xml:space="preserve">
проверити збир!
</t>
        </r>
      </text>
    </comment>
    <comment ref="I10831" authorId="0">
      <text>
        <r>
          <rPr>
            <b/>
            <sz val="9"/>
            <color indexed="81"/>
            <rFont val="Tahoma"/>
            <family val="2"/>
          </rPr>
          <t>LPA:</t>
        </r>
        <r>
          <rPr>
            <sz val="9"/>
            <color indexed="81"/>
            <rFont val="Tahoma"/>
            <family val="2"/>
          </rPr>
          <t xml:space="preserve">
проверити збир!
</t>
        </r>
      </text>
    </comment>
    <comment ref="I10832" authorId="0">
      <text>
        <r>
          <rPr>
            <b/>
            <sz val="9"/>
            <color indexed="81"/>
            <rFont val="Tahoma"/>
            <family val="2"/>
          </rPr>
          <t>LPA:</t>
        </r>
        <r>
          <rPr>
            <sz val="9"/>
            <color indexed="81"/>
            <rFont val="Tahoma"/>
            <family val="2"/>
          </rPr>
          <t xml:space="preserve">
проверити збир!
</t>
        </r>
      </text>
    </comment>
    <comment ref="I10833" authorId="0">
      <text>
        <r>
          <rPr>
            <b/>
            <sz val="9"/>
            <color indexed="81"/>
            <rFont val="Tahoma"/>
            <family val="2"/>
          </rPr>
          <t>LPA:</t>
        </r>
        <r>
          <rPr>
            <sz val="9"/>
            <color indexed="81"/>
            <rFont val="Tahoma"/>
            <family val="2"/>
          </rPr>
          <t xml:space="preserve">
проверити збир!
</t>
        </r>
      </text>
    </comment>
    <comment ref="I10834" authorId="0">
      <text>
        <r>
          <rPr>
            <b/>
            <sz val="9"/>
            <color indexed="81"/>
            <rFont val="Tahoma"/>
            <family val="2"/>
          </rPr>
          <t>LPA:</t>
        </r>
        <r>
          <rPr>
            <sz val="9"/>
            <color indexed="81"/>
            <rFont val="Tahoma"/>
            <family val="2"/>
          </rPr>
          <t xml:space="preserve">
проверити збир!
</t>
        </r>
      </text>
    </comment>
    <comment ref="I10835" authorId="0">
      <text>
        <r>
          <rPr>
            <b/>
            <sz val="9"/>
            <color indexed="81"/>
            <rFont val="Tahoma"/>
            <family val="2"/>
          </rPr>
          <t>LPA:</t>
        </r>
        <r>
          <rPr>
            <sz val="9"/>
            <color indexed="81"/>
            <rFont val="Tahoma"/>
            <family val="2"/>
          </rPr>
          <t xml:space="preserve">
проверити збир!
</t>
        </r>
      </text>
    </comment>
    <comment ref="I10836" authorId="0">
      <text>
        <r>
          <rPr>
            <b/>
            <sz val="9"/>
            <color indexed="81"/>
            <rFont val="Tahoma"/>
            <family val="2"/>
          </rPr>
          <t>LPA:</t>
        </r>
        <r>
          <rPr>
            <sz val="9"/>
            <color indexed="81"/>
            <rFont val="Tahoma"/>
            <family val="2"/>
          </rPr>
          <t xml:space="preserve">
проверити збир!
</t>
        </r>
      </text>
    </comment>
    <comment ref="I10837" authorId="0">
      <text>
        <r>
          <rPr>
            <b/>
            <sz val="9"/>
            <color indexed="81"/>
            <rFont val="Tahoma"/>
            <family val="2"/>
          </rPr>
          <t>LPA:</t>
        </r>
        <r>
          <rPr>
            <sz val="9"/>
            <color indexed="81"/>
            <rFont val="Tahoma"/>
            <family val="2"/>
          </rPr>
          <t xml:space="preserve">
проверити збир!
</t>
        </r>
      </text>
    </comment>
    <comment ref="I10838" authorId="0">
      <text>
        <r>
          <rPr>
            <b/>
            <sz val="9"/>
            <color indexed="81"/>
            <rFont val="Tahoma"/>
            <family val="2"/>
          </rPr>
          <t>LPA:</t>
        </r>
        <r>
          <rPr>
            <sz val="9"/>
            <color indexed="81"/>
            <rFont val="Tahoma"/>
            <family val="2"/>
          </rPr>
          <t xml:space="preserve">
проверити збир!
</t>
        </r>
      </text>
    </comment>
    <comment ref="I10839" authorId="0">
      <text>
        <r>
          <rPr>
            <b/>
            <sz val="9"/>
            <color indexed="81"/>
            <rFont val="Tahoma"/>
            <family val="2"/>
          </rPr>
          <t>LPA:</t>
        </r>
        <r>
          <rPr>
            <sz val="9"/>
            <color indexed="81"/>
            <rFont val="Tahoma"/>
            <family val="2"/>
          </rPr>
          <t xml:space="preserve">
проверити збир!
</t>
        </r>
      </text>
    </comment>
    <comment ref="I10908" authorId="0">
      <text>
        <r>
          <rPr>
            <b/>
            <sz val="9"/>
            <color indexed="81"/>
            <rFont val="Tahoma"/>
            <family val="2"/>
          </rPr>
          <t>LPA:</t>
        </r>
        <r>
          <rPr>
            <sz val="9"/>
            <color indexed="81"/>
            <rFont val="Tahoma"/>
            <family val="2"/>
          </rPr>
          <t xml:space="preserve">
проверити збир!
</t>
        </r>
      </text>
    </comment>
    <comment ref="I10909" authorId="0">
      <text>
        <r>
          <rPr>
            <b/>
            <sz val="9"/>
            <color indexed="81"/>
            <rFont val="Tahoma"/>
            <family val="2"/>
          </rPr>
          <t>LPA:</t>
        </r>
        <r>
          <rPr>
            <sz val="9"/>
            <color indexed="81"/>
            <rFont val="Tahoma"/>
            <family val="2"/>
          </rPr>
          <t xml:space="preserve">
проверити збир!
</t>
        </r>
      </text>
    </comment>
    <comment ref="I10910" authorId="0">
      <text>
        <r>
          <rPr>
            <b/>
            <sz val="9"/>
            <color indexed="81"/>
            <rFont val="Tahoma"/>
            <family val="2"/>
          </rPr>
          <t>LPA:</t>
        </r>
        <r>
          <rPr>
            <sz val="9"/>
            <color indexed="81"/>
            <rFont val="Tahoma"/>
            <family val="2"/>
          </rPr>
          <t xml:space="preserve">
проверити збир!
</t>
        </r>
      </text>
    </comment>
    <comment ref="I10911" authorId="0">
      <text>
        <r>
          <rPr>
            <b/>
            <sz val="9"/>
            <color indexed="81"/>
            <rFont val="Tahoma"/>
            <family val="2"/>
          </rPr>
          <t>LPA:</t>
        </r>
        <r>
          <rPr>
            <sz val="9"/>
            <color indexed="81"/>
            <rFont val="Tahoma"/>
            <family val="2"/>
          </rPr>
          <t xml:space="preserve">
проверити збир!
</t>
        </r>
      </text>
    </comment>
    <comment ref="I10912" authorId="0">
      <text>
        <r>
          <rPr>
            <b/>
            <sz val="9"/>
            <color indexed="81"/>
            <rFont val="Tahoma"/>
            <family val="2"/>
          </rPr>
          <t>LPA:</t>
        </r>
        <r>
          <rPr>
            <sz val="9"/>
            <color indexed="81"/>
            <rFont val="Tahoma"/>
            <family val="2"/>
          </rPr>
          <t xml:space="preserve">
проверити збир!
</t>
        </r>
      </text>
    </comment>
    <comment ref="I10913" authorId="0">
      <text>
        <r>
          <rPr>
            <b/>
            <sz val="9"/>
            <color indexed="81"/>
            <rFont val="Tahoma"/>
            <family val="2"/>
          </rPr>
          <t>LPA:</t>
        </r>
        <r>
          <rPr>
            <sz val="9"/>
            <color indexed="81"/>
            <rFont val="Tahoma"/>
            <family val="2"/>
          </rPr>
          <t xml:space="preserve">
проверити збир!
</t>
        </r>
      </text>
    </comment>
    <comment ref="I10914" authorId="0">
      <text>
        <r>
          <rPr>
            <b/>
            <sz val="9"/>
            <color indexed="81"/>
            <rFont val="Tahoma"/>
            <family val="2"/>
          </rPr>
          <t>LPA:</t>
        </r>
        <r>
          <rPr>
            <sz val="9"/>
            <color indexed="81"/>
            <rFont val="Tahoma"/>
            <family val="2"/>
          </rPr>
          <t xml:space="preserve">
проверити збир!
</t>
        </r>
      </text>
    </comment>
    <comment ref="I10915" authorId="0">
      <text>
        <r>
          <rPr>
            <b/>
            <sz val="9"/>
            <color indexed="81"/>
            <rFont val="Tahoma"/>
            <family val="2"/>
          </rPr>
          <t>LPA:</t>
        </r>
        <r>
          <rPr>
            <sz val="9"/>
            <color indexed="81"/>
            <rFont val="Tahoma"/>
            <family val="2"/>
          </rPr>
          <t xml:space="preserve">
проверити збир!
</t>
        </r>
      </text>
    </comment>
    <comment ref="I10916" authorId="0">
      <text>
        <r>
          <rPr>
            <b/>
            <sz val="9"/>
            <color indexed="81"/>
            <rFont val="Tahoma"/>
            <family val="2"/>
          </rPr>
          <t>LPA:</t>
        </r>
        <r>
          <rPr>
            <sz val="9"/>
            <color indexed="81"/>
            <rFont val="Tahoma"/>
            <family val="2"/>
          </rPr>
          <t xml:space="preserve">
проверити збир!
</t>
        </r>
      </text>
    </comment>
    <comment ref="I10917" authorId="0">
      <text>
        <r>
          <rPr>
            <b/>
            <sz val="9"/>
            <color indexed="81"/>
            <rFont val="Tahoma"/>
            <family val="2"/>
          </rPr>
          <t>LPA:</t>
        </r>
        <r>
          <rPr>
            <sz val="9"/>
            <color indexed="81"/>
            <rFont val="Tahoma"/>
            <family val="2"/>
          </rPr>
          <t xml:space="preserve">
проверити збир!
</t>
        </r>
      </text>
    </comment>
    <comment ref="I10918" authorId="0">
      <text>
        <r>
          <rPr>
            <b/>
            <sz val="9"/>
            <color indexed="81"/>
            <rFont val="Tahoma"/>
            <family val="2"/>
          </rPr>
          <t>LPA:</t>
        </r>
        <r>
          <rPr>
            <sz val="9"/>
            <color indexed="81"/>
            <rFont val="Tahoma"/>
            <family val="2"/>
          </rPr>
          <t xml:space="preserve">
проверити збир!
</t>
        </r>
      </text>
    </comment>
    <comment ref="I10919" authorId="0">
      <text>
        <r>
          <rPr>
            <b/>
            <sz val="9"/>
            <color indexed="81"/>
            <rFont val="Tahoma"/>
            <family val="2"/>
          </rPr>
          <t>LPA:</t>
        </r>
        <r>
          <rPr>
            <sz val="9"/>
            <color indexed="81"/>
            <rFont val="Tahoma"/>
            <family val="2"/>
          </rPr>
          <t xml:space="preserve">
проверити збир!
</t>
        </r>
      </text>
    </comment>
    <comment ref="I10920" authorId="0">
      <text>
        <r>
          <rPr>
            <b/>
            <sz val="9"/>
            <color indexed="81"/>
            <rFont val="Tahoma"/>
            <family val="2"/>
          </rPr>
          <t>LPA:</t>
        </r>
        <r>
          <rPr>
            <sz val="9"/>
            <color indexed="81"/>
            <rFont val="Tahoma"/>
            <family val="2"/>
          </rPr>
          <t xml:space="preserve">
проверити збир!
</t>
        </r>
      </text>
    </comment>
    <comment ref="H10923" authorId="0">
      <text>
        <r>
          <rPr>
            <b/>
            <sz val="9"/>
            <color indexed="81"/>
            <rFont val="Tahoma"/>
            <family val="2"/>
          </rPr>
          <t>LPA:</t>
        </r>
        <r>
          <rPr>
            <sz val="9"/>
            <color indexed="81"/>
            <rFont val="Tahoma"/>
            <family val="2"/>
          </rPr>
          <t xml:space="preserve">
проверити збир!</t>
        </r>
      </text>
    </comment>
    <comment ref="I10923" authorId="0">
      <text>
        <r>
          <rPr>
            <b/>
            <sz val="9"/>
            <color indexed="81"/>
            <rFont val="Tahoma"/>
            <family val="2"/>
          </rPr>
          <t>LPA:</t>
        </r>
        <r>
          <rPr>
            <sz val="9"/>
            <color indexed="81"/>
            <rFont val="Tahoma"/>
            <family val="2"/>
          </rPr>
          <t xml:space="preserve">
проверити збир!</t>
        </r>
      </text>
    </comment>
    <comment ref="I10924" authorId="0">
      <text>
        <r>
          <rPr>
            <b/>
            <sz val="9"/>
            <color indexed="81"/>
            <rFont val="Tahoma"/>
            <family val="2"/>
          </rPr>
          <t>LPA:</t>
        </r>
        <r>
          <rPr>
            <sz val="9"/>
            <color indexed="81"/>
            <rFont val="Tahoma"/>
            <family val="2"/>
          </rPr>
          <t xml:space="preserve">
проверити збир!
</t>
        </r>
      </text>
    </comment>
    <comment ref="I10925" authorId="0">
      <text>
        <r>
          <rPr>
            <b/>
            <sz val="9"/>
            <color indexed="81"/>
            <rFont val="Tahoma"/>
            <family val="2"/>
          </rPr>
          <t>LPA:</t>
        </r>
        <r>
          <rPr>
            <sz val="9"/>
            <color indexed="81"/>
            <rFont val="Tahoma"/>
            <family val="2"/>
          </rPr>
          <t xml:space="preserve">
проверити збир!
</t>
        </r>
      </text>
    </comment>
    <comment ref="I10926" authorId="0">
      <text>
        <r>
          <rPr>
            <b/>
            <sz val="9"/>
            <color indexed="81"/>
            <rFont val="Tahoma"/>
            <family val="2"/>
          </rPr>
          <t>LPA:</t>
        </r>
        <r>
          <rPr>
            <sz val="9"/>
            <color indexed="81"/>
            <rFont val="Tahoma"/>
            <family val="2"/>
          </rPr>
          <t xml:space="preserve">
проверити збир!
</t>
        </r>
      </text>
    </comment>
    <comment ref="I10927" authorId="0">
      <text>
        <r>
          <rPr>
            <b/>
            <sz val="9"/>
            <color indexed="81"/>
            <rFont val="Tahoma"/>
            <family val="2"/>
          </rPr>
          <t>LPA:</t>
        </r>
        <r>
          <rPr>
            <sz val="9"/>
            <color indexed="81"/>
            <rFont val="Tahoma"/>
            <family val="2"/>
          </rPr>
          <t xml:space="preserve">
проверити збир!
</t>
        </r>
      </text>
    </comment>
    <comment ref="I10928" authorId="0">
      <text>
        <r>
          <rPr>
            <b/>
            <sz val="9"/>
            <color indexed="81"/>
            <rFont val="Tahoma"/>
            <family val="2"/>
          </rPr>
          <t>LPA:</t>
        </r>
        <r>
          <rPr>
            <sz val="9"/>
            <color indexed="81"/>
            <rFont val="Tahoma"/>
            <family val="2"/>
          </rPr>
          <t xml:space="preserve">
проверити збир!
</t>
        </r>
      </text>
    </comment>
    <comment ref="I10929" authorId="0">
      <text>
        <r>
          <rPr>
            <b/>
            <sz val="9"/>
            <color indexed="81"/>
            <rFont val="Tahoma"/>
            <family val="2"/>
          </rPr>
          <t>LPA:</t>
        </r>
        <r>
          <rPr>
            <sz val="9"/>
            <color indexed="81"/>
            <rFont val="Tahoma"/>
            <family val="2"/>
          </rPr>
          <t xml:space="preserve">
проверити збир!
</t>
        </r>
      </text>
    </comment>
    <comment ref="I10930" authorId="0">
      <text>
        <r>
          <rPr>
            <b/>
            <sz val="9"/>
            <color indexed="81"/>
            <rFont val="Tahoma"/>
            <family val="2"/>
          </rPr>
          <t>LPA:</t>
        </r>
        <r>
          <rPr>
            <sz val="9"/>
            <color indexed="81"/>
            <rFont val="Tahoma"/>
            <family val="2"/>
          </rPr>
          <t xml:space="preserve">
проверити збир!
</t>
        </r>
      </text>
    </comment>
    <comment ref="I10931" authorId="0">
      <text>
        <r>
          <rPr>
            <b/>
            <sz val="9"/>
            <color indexed="81"/>
            <rFont val="Tahoma"/>
            <family val="2"/>
          </rPr>
          <t>LPA:</t>
        </r>
        <r>
          <rPr>
            <sz val="9"/>
            <color indexed="81"/>
            <rFont val="Tahoma"/>
            <family val="2"/>
          </rPr>
          <t xml:space="preserve">
проверити збир!
</t>
        </r>
      </text>
    </comment>
    <comment ref="I10932" authorId="0">
      <text>
        <r>
          <rPr>
            <b/>
            <sz val="9"/>
            <color indexed="81"/>
            <rFont val="Tahoma"/>
            <family val="2"/>
          </rPr>
          <t>LPA:</t>
        </r>
        <r>
          <rPr>
            <sz val="9"/>
            <color indexed="81"/>
            <rFont val="Tahoma"/>
            <family val="2"/>
          </rPr>
          <t xml:space="preserve">
проверити збир!
</t>
        </r>
      </text>
    </comment>
    <comment ref="I10933" authorId="0">
      <text>
        <r>
          <rPr>
            <b/>
            <sz val="9"/>
            <color indexed="81"/>
            <rFont val="Tahoma"/>
            <family val="2"/>
          </rPr>
          <t>LPA:</t>
        </r>
        <r>
          <rPr>
            <sz val="9"/>
            <color indexed="81"/>
            <rFont val="Tahoma"/>
            <family val="2"/>
          </rPr>
          <t xml:space="preserve">
проверити збир!
</t>
        </r>
      </text>
    </comment>
    <comment ref="I10934" authorId="0">
      <text>
        <r>
          <rPr>
            <b/>
            <sz val="9"/>
            <color indexed="81"/>
            <rFont val="Tahoma"/>
            <family val="2"/>
          </rPr>
          <t>LPA:</t>
        </r>
        <r>
          <rPr>
            <sz val="9"/>
            <color indexed="81"/>
            <rFont val="Tahoma"/>
            <family val="2"/>
          </rPr>
          <t xml:space="preserve">
проверити збир!
</t>
        </r>
      </text>
    </comment>
    <comment ref="I10935" authorId="0">
      <text>
        <r>
          <rPr>
            <b/>
            <sz val="9"/>
            <color indexed="81"/>
            <rFont val="Tahoma"/>
            <family val="2"/>
          </rPr>
          <t>LPA:</t>
        </r>
        <r>
          <rPr>
            <sz val="9"/>
            <color indexed="81"/>
            <rFont val="Tahoma"/>
            <family val="2"/>
          </rPr>
          <t xml:space="preserve">
проверити збир!
</t>
        </r>
      </text>
    </comment>
    <comment ref="I10936" authorId="0">
      <text>
        <r>
          <rPr>
            <b/>
            <sz val="9"/>
            <color indexed="81"/>
            <rFont val="Tahoma"/>
            <family val="2"/>
          </rPr>
          <t>LPA:</t>
        </r>
        <r>
          <rPr>
            <sz val="9"/>
            <color indexed="81"/>
            <rFont val="Tahoma"/>
            <family val="2"/>
          </rPr>
          <t xml:space="preserve">
проверити збир!
</t>
        </r>
      </text>
    </comment>
    <comment ref="I10937" authorId="0">
      <text>
        <r>
          <rPr>
            <b/>
            <sz val="9"/>
            <color indexed="81"/>
            <rFont val="Tahoma"/>
            <family val="2"/>
          </rPr>
          <t>LPA:</t>
        </r>
        <r>
          <rPr>
            <sz val="9"/>
            <color indexed="81"/>
            <rFont val="Tahoma"/>
            <family val="2"/>
          </rPr>
          <t xml:space="preserve">
проверити збир!
</t>
        </r>
      </text>
    </comment>
    <comment ref="I10938" authorId="0">
      <text>
        <r>
          <rPr>
            <b/>
            <sz val="9"/>
            <color indexed="81"/>
            <rFont val="Tahoma"/>
            <family val="2"/>
          </rPr>
          <t>LPA:</t>
        </r>
        <r>
          <rPr>
            <sz val="9"/>
            <color indexed="81"/>
            <rFont val="Tahoma"/>
            <family val="2"/>
          </rPr>
          <t xml:space="preserve">
проверити збир!
</t>
        </r>
      </text>
    </comment>
    <comment ref="I11007" authorId="0">
      <text>
        <r>
          <rPr>
            <b/>
            <sz val="9"/>
            <color indexed="81"/>
            <rFont val="Tahoma"/>
            <family val="2"/>
          </rPr>
          <t>LPA:</t>
        </r>
        <r>
          <rPr>
            <sz val="9"/>
            <color indexed="81"/>
            <rFont val="Tahoma"/>
            <family val="2"/>
          </rPr>
          <t xml:space="preserve">
проверити збир!
</t>
        </r>
      </text>
    </comment>
    <comment ref="I11008" authorId="0">
      <text>
        <r>
          <rPr>
            <b/>
            <sz val="9"/>
            <color indexed="81"/>
            <rFont val="Tahoma"/>
            <family val="2"/>
          </rPr>
          <t>LPA:</t>
        </r>
        <r>
          <rPr>
            <sz val="9"/>
            <color indexed="81"/>
            <rFont val="Tahoma"/>
            <family val="2"/>
          </rPr>
          <t xml:space="preserve">
проверити збир!
</t>
        </r>
      </text>
    </comment>
    <comment ref="I11009" authorId="0">
      <text>
        <r>
          <rPr>
            <b/>
            <sz val="9"/>
            <color indexed="81"/>
            <rFont val="Tahoma"/>
            <family val="2"/>
          </rPr>
          <t>LPA:</t>
        </r>
        <r>
          <rPr>
            <sz val="9"/>
            <color indexed="81"/>
            <rFont val="Tahoma"/>
            <family val="2"/>
          </rPr>
          <t xml:space="preserve">
проверити збир!
</t>
        </r>
      </text>
    </comment>
    <comment ref="I11010" authorId="0">
      <text>
        <r>
          <rPr>
            <b/>
            <sz val="9"/>
            <color indexed="81"/>
            <rFont val="Tahoma"/>
            <family val="2"/>
          </rPr>
          <t>LPA:</t>
        </r>
        <r>
          <rPr>
            <sz val="9"/>
            <color indexed="81"/>
            <rFont val="Tahoma"/>
            <family val="2"/>
          </rPr>
          <t xml:space="preserve">
проверити збир!
</t>
        </r>
      </text>
    </comment>
    <comment ref="I11011" authorId="0">
      <text>
        <r>
          <rPr>
            <b/>
            <sz val="9"/>
            <color indexed="81"/>
            <rFont val="Tahoma"/>
            <family val="2"/>
          </rPr>
          <t>LPA:</t>
        </r>
        <r>
          <rPr>
            <sz val="9"/>
            <color indexed="81"/>
            <rFont val="Tahoma"/>
            <family val="2"/>
          </rPr>
          <t xml:space="preserve">
проверити збир!
</t>
        </r>
      </text>
    </comment>
    <comment ref="I11012" authorId="0">
      <text>
        <r>
          <rPr>
            <b/>
            <sz val="9"/>
            <color indexed="81"/>
            <rFont val="Tahoma"/>
            <family val="2"/>
          </rPr>
          <t>LPA:</t>
        </r>
        <r>
          <rPr>
            <sz val="9"/>
            <color indexed="81"/>
            <rFont val="Tahoma"/>
            <family val="2"/>
          </rPr>
          <t xml:space="preserve">
проверити збир!
</t>
        </r>
      </text>
    </comment>
    <comment ref="I11013" authorId="0">
      <text>
        <r>
          <rPr>
            <b/>
            <sz val="9"/>
            <color indexed="81"/>
            <rFont val="Tahoma"/>
            <family val="2"/>
          </rPr>
          <t>LPA:</t>
        </r>
        <r>
          <rPr>
            <sz val="9"/>
            <color indexed="81"/>
            <rFont val="Tahoma"/>
            <family val="2"/>
          </rPr>
          <t xml:space="preserve">
проверити збир!
</t>
        </r>
      </text>
    </comment>
    <comment ref="I11014" authorId="0">
      <text>
        <r>
          <rPr>
            <b/>
            <sz val="9"/>
            <color indexed="81"/>
            <rFont val="Tahoma"/>
            <family val="2"/>
          </rPr>
          <t>LPA:</t>
        </r>
        <r>
          <rPr>
            <sz val="9"/>
            <color indexed="81"/>
            <rFont val="Tahoma"/>
            <family val="2"/>
          </rPr>
          <t xml:space="preserve">
проверити збир!
</t>
        </r>
      </text>
    </comment>
    <comment ref="I11015" authorId="0">
      <text>
        <r>
          <rPr>
            <b/>
            <sz val="9"/>
            <color indexed="81"/>
            <rFont val="Tahoma"/>
            <family val="2"/>
          </rPr>
          <t>LPA:</t>
        </r>
        <r>
          <rPr>
            <sz val="9"/>
            <color indexed="81"/>
            <rFont val="Tahoma"/>
            <family val="2"/>
          </rPr>
          <t xml:space="preserve">
проверити збир!
</t>
        </r>
      </text>
    </comment>
    <comment ref="I11016" authorId="0">
      <text>
        <r>
          <rPr>
            <b/>
            <sz val="9"/>
            <color indexed="81"/>
            <rFont val="Tahoma"/>
            <family val="2"/>
          </rPr>
          <t>LPA:</t>
        </r>
        <r>
          <rPr>
            <sz val="9"/>
            <color indexed="81"/>
            <rFont val="Tahoma"/>
            <family val="2"/>
          </rPr>
          <t xml:space="preserve">
проверити збир!
</t>
        </r>
      </text>
    </comment>
    <comment ref="I11017" authorId="0">
      <text>
        <r>
          <rPr>
            <b/>
            <sz val="9"/>
            <color indexed="81"/>
            <rFont val="Tahoma"/>
            <family val="2"/>
          </rPr>
          <t>LPA:</t>
        </r>
        <r>
          <rPr>
            <sz val="9"/>
            <color indexed="81"/>
            <rFont val="Tahoma"/>
            <family val="2"/>
          </rPr>
          <t xml:space="preserve">
проверити збир!
</t>
        </r>
      </text>
    </comment>
    <comment ref="I11018" authorId="0">
      <text>
        <r>
          <rPr>
            <b/>
            <sz val="9"/>
            <color indexed="81"/>
            <rFont val="Tahoma"/>
            <family val="2"/>
          </rPr>
          <t>LPA:</t>
        </r>
        <r>
          <rPr>
            <sz val="9"/>
            <color indexed="81"/>
            <rFont val="Tahoma"/>
            <family val="2"/>
          </rPr>
          <t xml:space="preserve">
проверити збир!
</t>
        </r>
      </text>
    </comment>
    <comment ref="I11019" authorId="0">
      <text>
        <r>
          <rPr>
            <b/>
            <sz val="9"/>
            <color indexed="81"/>
            <rFont val="Tahoma"/>
            <family val="2"/>
          </rPr>
          <t>LPA:</t>
        </r>
        <r>
          <rPr>
            <sz val="9"/>
            <color indexed="81"/>
            <rFont val="Tahoma"/>
            <family val="2"/>
          </rPr>
          <t xml:space="preserve">
проверити збир!
</t>
        </r>
      </text>
    </comment>
    <comment ref="H11022" authorId="0">
      <text>
        <r>
          <rPr>
            <b/>
            <sz val="9"/>
            <color indexed="81"/>
            <rFont val="Tahoma"/>
            <family val="2"/>
          </rPr>
          <t>LPA:</t>
        </r>
        <r>
          <rPr>
            <sz val="9"/>
            <color indexed="81"/>
            <rFont val="Tahoma"/>
            <family val="2"/>
          </rPr>
          <t xml:space="preserve">
проверити збир!</t>
        </r>
      </text>
    </comment>
    <comment ref="I11022" authorId="0">
      <text>
        <r>
          <rPr>
            <b/>
            <sz val="9"/>
            <color indexed="81"/>
            <rFont val="Tahoma"/>
            <family val="2"/>
          </rPr>
          <t>LPA:</t>
        </r>
        <r>
          <rPr>
            <sz val="9"/>
            <color indexed="81"/>
            <rFont val="Tahoma"/>
            <family val="2"/>
          </rPr>
          <t xml:space="preserve">
проверити збир!</t>
        </r>
      </text>
    </comment>
    <comment ref="I11023" authorId="0">
      <text>
        <r>
          <rPr>
            <b/>
            <sz val="9"/>
            <color indexed="81"/>
            <rFont val="Tahoma"/>
            <family val="2"/>
          </rPr>
          <t>LPA:</t>
        </r>
        <r>
          <rPr>
            <sz val="9"/>
            <color indexed="81"/>
            <rFont val="Tahoma"/>
            <family val="2"/>
          </rPr>
          <t xml:space="preserve">
проверити збир!
</t>
        </r>
      </text>
    </comment>
    <comment ref="I11024" authorId="0">
      <text>
        <r>
          <rPr>
            <b/>
            <sz val="9"/>
            <color indexed="81"/>
            <rFont val="Tahoma"/>
            <family val="2"/>
          </rPr>
          <t>LPA:</t>
        </r>
        <r>
          <rPr>
            <sz val="9"/>
            <color indexed="81"/>
            <rFont val="Tahoma"/>
            <family val="2"/>
          </rPr>
          <t xml:space="preserve">
проверити збир!
</t>
        </r>
      </text>
    </comment>
    <comment ref="I11025" authorId="0">
      <text>
        <r>
          <rPr>
            <b/>
            <sz val="9"/>
            <color indexed="81"/>
            <rFont val="Tahoma"/>
            <family val="2"/>
          </rPr>
          <t>LPA:</t>
        </r>
        <r>
          <rPr>
            <sz val="9"/>
            <color indexed="81"/>
            <rFont val="Tahoma"/>
            <family val="2"/>
          </rPr>
          <t xml:space="preserve">
проверити збир!
</t>
        </r>
      </text>
    </comment>
    <comment ref="I11026" authorId="0">
      <text>
        <r>
          <rPr>
            <b/>
            <sz val="9"/>
            <color indexed="81"/>
            <rFont val="Tahoma"/>
            <family val="2"/>
          </rPr>
          <t>LPA:</t>
        </r>
        <r>
          <rPr>
            <sz val="9"/>
            <color indexed="81"/>
            <rFont val="Tahoma"/>
            <family val="2"/>
          </rPr>
          <t xml:space="preserve">
проверити збир!
</t>
        </r>
      </text>
    </comment>
    <comment ref="I11027" authorId="0">
      <text>
        <r>
          <rPr>
            <b/>
            <sz val="9"/>
            <color indexed="81"/>
            <rFont val="Tahoma"/>
            <family val="2"/>
          </rPr>
          <t>LPA:</t>
        </r>
        <r>
          <rPr>
            <sz val="9"/>
            <color indexed="81"/>
            <rFont val="Tahoma"/>
            <family val="2"/>
          </rPr>
          <t xml:space="preserve">
проверити збир!
</t>
        </r>
      </text>
    </comment>
    <comment ref="I11028" authorId="0">
      <text>
        <r>
          <rPr>
            <b/>
            <sz val="9"/>
            <color indexed="81"/>
            <rFont val="Tahoma"/>
            <family val="2"/>
          </rPr>
          <t>LPA:</t>
        </r>
        <r>
          <rPr>
            <sz val="9"/>
            <color indexed="81"/>
            <rFont val="Tahoma"/>
            <family val="2"/>
          </rPr>
          <t xml:space="preserve">
проверити збир!
</t>
        </r>
      </text>
    </comment>
    <comment ref="I11029" authorId="0">
      <text>
        <r>
          <rPr>
            <b/>
            <sz val="9"/>
            <color indexed="81"/>
            <rFont val="Tahoma"/>
            <family val="2"/>
          </rPr>
          <t>LPA:</t>
        </r>
        <r>
          <rPr>
            <sz val="9"/>
            <color indexed="81"/>
            <rFont val="Tahoma"/>
            <family val="2"/>
          </rPr>
          <t xml:space="preserve">
проверити збир!
</t>
        </r>
      </text>
    </comment>
    <comment ref="I11030" authorId="0">
      <text>
        <r>
          <rPr>
            <b/>
            <sz val="9"/>
            <color indexed="81"/>
            <rFont val="Tahoma"/>
            <family val="2"/>
          </rPr>
          <t>LPA:</t>
        </r>
        <r>
          <rPr>
            <sz val="9"/>
            <color indexed="81"/>
            <rFont val="Tahoma"/>
            <family val="2"/>
          </rPr>
          <t xml:space="preserve">
проверити збир!
</t>
        </r>
      </text>
    </comment>
    <comment ref="I11031" authorId="0">
      <text>
        <r>
          <rPr>
            <b/>
            <sz val="9"/>
            <color indexed="81"/>
            <rFont val="Tahoma"/>
            <family val="2"/>
          </rPr>
          <t>LPA:</t>
        </r>
        <r>
          <rPr>
            <sz val="9"/>
            <color indexed="81"/>
            <rFont val="Tahoma"/>
            <family val="2"/>
          </rPr>
          <t xml:space="preserve">
проверити збир!
</t>
        </r>
      </text>
    </comment>
    <comment ref="I11032" authorId="0">
      <text>
        <r>
          <rPr>
            <b/>
            <sz val="9"/>
            <color indexed="81"/>
            <rFont val="Tahoma"/>
            <family val="2"/>
          </rPr>
          <t>LPA:</t>
        </r>
        <r>
          <rPr>
            <sz val="9"/>
            <color indexed="81"/>
            <rFont val="Tahoma"/>
            <family val="2"/>
          </rPr>
          <t xml:space="preserve">
проверити збир!
</t>
        </r>
      </text>
    </comment>
    <comment ref="I11033" authorId="0">
      <text>
        <r>
          <rPr>
            <b/>
            <sz val="9"/>
            <color indexed="81"/>
            <rFont val="Tahoma"/>
            <family val="2"/>
          </rPr>
          <t>LPA:</t>
        </r>
        <r>
          <rPr>
            <sz val="9"/>
            <color indexed="81"/>
            <rFont val="Tahoma"/>
            <family val="2"/>
          </rPr>
          <t xml:space="preserve">
проверити збир!
</t>
        </r>
      </text>
    </comment>
    <comment ref="I11034" authorId="0">
      <text>
        <r>
          <rPr>
            <b/>
            <sz val="9"/>
            <color indexed="81"/>
            <rFont val="Tahoma"/>
            <family val="2"/>
          </rPr>
          <t>LPA:</t>
        </r>
        <r>
          <rPr>
            <sz val="9"/>
            <color indexed="81"/>
            <rFont val="Tahoma"/>
            <family val="2"/>
          </rPr>
          <t xml:space="preserve">
проверити збир!
</t>
        </r>
      </text>
    </comment>
    <comment ref="I11035" authorId="0">
      <text>
        <r>
          <rPr>
            <b/>
            <sz val="9"/>
            <color indexed="81"/>
            <rFont val="Tahoma"/>
            <family val="2"/>
          </rPr>
          <t>LPA:</t>
        </r>
        <r>
          <rPr>
            <sz val="9"/>
            <color indexed="81"/>
            <rFont val="Tahoma"/>
            <family val="2"/>
          </rPr>
          <t xml:space="preserve">
проверити збир!
</t>
        </r>
      </text>
    </comment>
    <comment ref="I11036" authorId="0">
      <text>
        <r>
          <rPr>
            <b/>
            <sz val="9"/>
            <color indexed="81"/>
            <rFont val="Tahoma"/>
            <family val="2"/>
          </rPr>
          <t>LPA:</t>
        </r>
        <r>
          <rPr>
            <sz val="9"/>
            <color indexed="81"/>
            <rFont val="Tahoma"/>
            <family val="2"/>
          </rPr>
          <t xml:space="preserve">
проверити збир!
</t>
        </r>
      </text>
    </comment>
    <comment ref="I11037" authorId="0">
      <text>
        <r>
          <rPr>
            <b/>
            <sz val="9"/>
            <color indexed="81"/>
            <rFont val="Tahoma"/>
            <family val="2"/>
          </rPr>
          <t>LPA:</t>
        </r>
        <r>
          <rPr>
            <sz val="9"/>
            <color indexed="81"/>
            <rFont val="Tahoma"/>
            <family val="2"/>
          </rPr>
          <t xml:space="preserve">
проверити збир!
</t>
        </r>
      </text>
    </comment>
    <comment ref="I11106" authorId="0">
      <text>
        <r>
          <rPr>
            <b/>
            <sz val="9"/>
            <color indexed="81"/>
            <rFont val="Tahoma"/>
            <family val="2"/>
          </rPr>
          <t>LPA:</t>
        </r>
        <r>
          <rPr>
            <sz val="9"/>
            <color indexed="81"/>
            <rFont val="Tahoma"/>
            <family val="2"/>
          </rPr>
          <t xml:space="preserve">
проверити збир!
</t>
        </r>
      </text>
    </comment>
    <comment ref="I11107" authorId="0">
      <text>
        <r>
          <rPr>
            <b/>
            <sz val="9"/>
            <color indexed="81"/>
            <rFont val="Tahoma"/>
            <family val="2"/>
          </rPr>
          <t>LPA:</t>
        </r>
        <r>
          <rPr>
            <sz val="9"/>
            <color indexed="81"/>
            <rFont val="Tahoma"/>
            <family val="2"/>
          </rPr>
          <t xml:space="preserve">
проверити збир!
</t>
        </r>
      </text>
    </comment>
    <comment ref="I11108" authorId="0">
      <text>
        <r>
          <rPr>
            <b/>
            <sz val="9"/>
            <color indexed="81"/>
            <rFont val="Tahoma"/>
            <family val="2"/>
          </rPr>
          <t>LPA:</t>
        </r>
        <r>
          <rPr>
            <sz val="9"/>
            <color indexed="81"/>
            <rFont val="Tahoma"/>
            <family val="2"/>
          </rPr>
          <t xml:space="preserve">
проверити збир!
</t>
        </r>
      </text>
    </comment>
    <comment ref="I11109" authorId="0">
      <text>
        <r>
          <rPr>
            <b/>
            <sz val="9"/>
            <color indexed="81"/>
            <rFont val="Tahoma"/>
            <family val="2"/>
          </rPr>
          <t>LPA:</t>
        </r>
        <r>
          <rPr>
            <sz val="9"/>
            <color indexed="81"/>
            <rFont val="Tahoma"/>
            <family val="2"/>
          </rPr>
          <t xml:space="preserve">
проверити збир!
</t>
        </r>
      </text>
    </comment>
    <comment ref="I11110" authorId="0">
      <text>
        <r>
          <rPr>
            <b/>
            <sz val="9"/>
            <color indexed="81"/>
            <rFont val="Tahoma"/>
            <family val="2"/>
          </rPr>
          <t>LPA:</t>
        </r>
        <r>
          <rPr>
            <sz val="9"/>
            <color indexed="81"/>
            <rFont val="Tahoma"/>
            <family val="2"/>
          </rPr>
          <t xml:space="preserve">
проверити збир!
</t>
        </r>
      </text>
    </comment>
    <comment ref="I11111" authorId="0">
      <text>
        <r>
          <rPr>
            <b/>
            <sz val="9"/>
            <color indexed="81"/>
            <rFont val="Tahoma"/>
            <family val="2"/>
          </rPr>
          <t>LPA:</t>
        </r>
        <r>
          <rPr>
            <sz val="9"/>
            <color indexed="81"/>
            <rFont val="Tahoma"/>
            <family val="2"/>
          </rPr>
          <t xml:space="preserve">
проверити збир!
</t>
        </r>
      </text>
    </comment>
    <comment ref="I11112" authorId="0">
      <text>
        <r>
          <rPr>
            <b/>
            <sz val="9"/>
            <color indexed="81"/>
            <rFont val="Tahoma"/>
            <family val="2"/>
          </rPr>
          <t>LPA:</t>
        </r>
        <r>
          <rPr>
            <sz val="9"/>
            <color indexed="81"/>
            <rFont val="Tahoma"/>
            <family val="2"/>
          </rPr>
          <t xml:space="preserve">
проверити збир!
</t>
        </r>
      </text>
    </comment>
    <comment ref="I11113" authorId="0">
      <text>
        <r>
          <rPr>
            <b/>
            <sz val="9"/>
            <color indexed="81"/>
            <rFont val="Tahoma"/>
            <family val="2"/>
          </rPr>
          <t>LPA:</t>
        </r>
        <r>
          <rPr>
            <sz val="9"/>
            <color indexed="81"/>
            <rFont val="Tahoma"/>
            <family val="2"/>
          </rPr>
          <t xml:space="preserve">
проверити збир!
</t>
        </r>
      </text>
    </comment>
    <comment ref="I11114" authorId="0">
      <text>
        <r>
          <rPr>
            <b/>
            <sz val="9"/>
            <color indexed="81"/>
            <rFont val="Tahoma"/>
            <family val="2"/>
          </rPr>
          <t>LPA:</t>
        </r>
        <r>
          <rPr>
            <sz val="9"/>
            <color indexed="81"/>
            <rFont val="Tahoma"/>
            <family val="2"/>
          </rPr>
          <t xml:space="preserve">
проверити збир!
</t>
        </r>
      </text>
    </comment>
    <comment ref="I11115" authorId="0">
      <text>
        <r>
          <rPr>
            <b/>
            <sz val="9"/>
            <color indexed="81"/>
            <rFont val="Tahoma"/>
            <family val="2"/>
          </rPr>
          <t>LPA:</t>
        </r>
        <r>
          <rPr>
            <sz val="9"/>
            <color indexed="81"/>
            <rFont val="Tahoma"/>
            <family val="2"/>
          </rPr>
          <t xml:space="preserve">
проверити збир!
</t>
        </r>
      </text>
    </comment>
    <comment ref="I11116" authorId="0">
      <text>
        <r>
          <rPr>
            <b/>
            <sz val="9"/>
            <color indexed="81"/>
            <rFont val="Tahoma"/>
            <family val="2"/>
          </rPr>
          <t>LPA:</t>
        </r>
        <r>
          <rPr>
            <sz val="9"/>
            <color indexed="81"/>
            <rFont val="Tahoma"/>
            <family val="2"/>
          </rPr>
          <t xml:space="preserve">
проверити збир!
</t>
        </r>
      </text>
    </comment>
    <comment ref="I11117" authorId="0">
      <text>
        <r>
          <rPr>
            <b/>
            <sz val="9"/>
            <color indexed="81"/>
            <rFont val="Tahoma"/>
            <family val="2"/>
          </rPr>
          <t>LPA:</t>
        </r>
        <r>
          <rPr>
            <sz val="9"/>
            <color indexed="81"/>
            <rFont val="Tahoma"/>
            <family val="2"/>
          </rPr>
          <t xml:space="preserve">
проверити збир!
</t>
        </r>
      </text>
    </comment>
    <comment ref="I11118" authorId="0">
      <text>
        <r>
          <rPr>
            <b/>
            <sz val="9"/>
            <color indexed="81"/>
            <rFont val="Tahoma"/>
            <family val="2"/>
          </rPr>
          <t>LPA:</t>
        </r>
        <r>
          <rPr>
            <sz val="9"/>
            <color indexed="81"/>
            <rFont val="Tahoma"/>
            <family val="2"/>
          </rPr>
          <t xml:space="preserve">
проверити збир!
</t>
        </r>
      </text>
    </comment>
    <comment ref="H11121" authorId="0">
      <text>
        <r>
          <rPr>
            <b/>
            <sz val="9"/>
            <color indexed="81"/>
            <rFont val="Tahoma"/>
            <family val="2"/>
          </rPr>
          <t>LPA:</t>
        </r>
        <r>
          <rPr>
            <sz val="9"/>
            <color indexed="81"/>
            <rFont val="Tahoma"/>
            <family val="2"/>
          </rPr>
          <t xml:space="preserve">
проверити збир!</t>
        </r>
      </text>
    </comment>
    <comment ref="I11121" authorId="0">
      <text>
        <r>
          <rPr>
            <b/>
            <sz val="9"/>
            <color indexed="81"/>
            <rFont val="Tahoma"/>
            <family val="2"/>
          </rPr>
          <t>LPA:</t>
        </r>
        <r>
          <rPr>
            <sz val="9"/>
            <color indexed="81"/>
            <rFont val="Tahoma"/>
            <family val="2"/>
          </rPr>
          <t xml:space="preserve">
проверити збир!</t>
        </r>
      </text>
    </comment>
    <comment ref="I11122" authorId="0">
      <text>
        <r>
          <rPr>
            <b/>
            <sz val="9"/>
            <color indexed="81"/>
            <rFont val="Tahoma"/>
            <family val="2"/>
          </rPr>
          <t>LPA:</t>
        </r>
        <r>
          <rPr>
            <sz val="9"/>
            <color indexed="81"/>
            <rFont val="Tahoma"/>
            <family val="2"/>
          </rPr>
          <t xml:space="preserve">
проверити збир!
</t>
        </r>
      </text>
    </comment>
    <comment ref="I11123" authorId="0">
      <text>
        <r>
          <rPr>
            <b/>
            <sz val="9"/>
            <color indexed="81"/>
            <rFont val="Tahoma"/>
            <family val="2"/>
          </rPr>
          <t>LPA:</t>
        </r>
        <r>
          <rPr>
            <sz val="9"/>
            <color indexed="81"/>
            <rFont val="Tahoma"/>
            <family val="2"/>
          </rPr>
          <t xml:space="preserve">
проверити збир!
</t>
        </r>
      </text>
    </comment>
    <comment ref="I11124" authorId="0">
      <text>
        <r>
          <rPr>
            <b/>
            <sz val="9"/>
            <color indexed="81"/>
            <rFont val="Tahoma"/>
            <family val="2"/>
          </rPr>
          <t>LPA:</t>
        </r>
        <r>
          <rPr>
            <sz val="9"/>
            <color indexed="81"/>
            <rFont val="Tahoma"/>
            <family val="2"/>
          </rPr>
          <t xml:space="preserve">
проверити збир!
</t>
        </r>
      </text>
    </comment>
    <comment ref="I11125" authorId="0">
      <text>
        <r>
          <rPr>
            <b/>
            <sz val="9"/>
            <color indexed="81"/>
            <rFont val="Tahoma"/>
            <family val="2"/>
          </rPr>
          <t>LPA:</t>
        </r>
        <r>
          <rPr>
            <sz val="9"/>
            <color indexed="81"/>
            <rFont val="Tahoma"/>
            <family val="2"/>
          </rPr>
          <t xml:space="preserve">
проверити збир!
</t>
        </r>
      </text>
    </comment>
    <comment ref="I11126" authorId="0">
      <text>
        <r>
          <rPr>
            <b/>
            <sz val="9"/>
            <color indexed="81"/>
            <rFont val="Tahoma"/>
            <family val="2"/>
          </rPr>
          <t>LPA:</t>
        </r>
        <r>
          <rPr>
            <sz val="9"/>
            <color indexed="81"/>
            <rFont val="Tahoma"/>
            <family val="2"/>
          </rPr>
          <t xml:space="preserve">
проверити збир!
</t>
        </r>
      </text>
    </comment>
    <comment ref="I11127" authorId="0">
      <text>
        <r>
          <rPr>
            <b/>
            <sz val="9"/>
            <color indexed="81"/>
            <rFont val="Tahoma"/>
            <family val="2"/>
          </rPr>
          <t>LPA:</t>
        </r>
        <r>
          <rPr>
            <sz val="9"/>
            <color indexed="81"/>
            <rFont val="Tahoma"/>
            <family val="2"/>
          </rPr>
          <t xml:space="preserve">
проверити збир!
</t>
        </r>
      </text>
    </comment>
    <comment ref="I11128" authorId="0">
      <text>
        <r>
          <rPr>
            <b/>
            <sz val="9"/>
            <color indexed="81"/>
            <rFont val="Tahoma"/>
            <family val="2"/>
          </rPr>
          <t>LPA:</t>
        </r>
        <r>
          <rPr>
            <sz val="9"/>
            <color indexed="81"/>
            <rFont val="Tahoma"/>
            <family val="2"/>
          </rPr>
          <t xml:space="preserve">
проверити збир!
</t>
        </r>
      </text>
    </comment>
    <comment ref="I11129" authorId="0">
      <text>
        <r>
          <rPr>
            <b/>
            <sz val="9"/>
            <color indexed="81"/>
            <rFont val="Tahoma"/>
            <family val="2"/>
          </rPr>
          <t>LPA:</t>
        </r>
        <r>
          <rPr>
            <sz val="9"/>
            <color indexed="81"/>
            <rFont val="Tahoma"/>
            <family val="2"/>
          </rPr>
          <t xml:space="preserve">
проверити збир!
</t>
        </r>
      </text>
    </comment>
    <comment ref="I11130" authorId="0">
      <text>
        <r>
          <rPr>
            <b/>
            <sz val="9"/>
            <color indexed="81"/>
            <rFont val="Tahoma"/>
            <family val="2"/>
          </rPr>
          <t>LPA:</t>
        </r>
        <r>
          <rPr>
            <sz val="9"/>
            <color indexed="81"/>
            <rFont val="Tahoma"/>
            <family val="2"/>
          </rPr>
          <t xml:space="preserve">
проверити збир!
</t>
        </r>
      </text>
    </comment>
    <comment ref="I11131" authorId="0">
      <text>
        <r>
          <rPr>
            <b/>
            <sz val="9"/>
            <color indexed="81"/>
            <rFont val="Tahoma"/>
            <family val="2"/>
          </rPr>
          <t>LPA:</t>
        </r>
        <r>
          <rPr>
            <sz val="9"/>
            <color indexed="81"/>
            <rFont val="Tahoma"/>
            <family val="2"/>
          </rPr>
          <t xml:space="preserve">
проверити збир!
</t>
        </r>
      </text>
    </comment>
    <comment ref="I11132" authorId="0">
      <text>
        <r>
          <rPr>
            <b/>
            <sz val="9"/>
            <color indexed="81"/>
            <rFont val="Tahoma"/>
            <family val="2"/>
          </rPr>
          <t>LPA:</t>
        </r>
        <r>
          <rPr>
            <sz val="9"/>
            <color indexed="81"/>
            <rFont val="Tahoma"/>
            <family val="2"/>
          </rPr>
          <t xml:space="preserve">
проверити збир!
</t>
        </r>
      </text>
    </comment>
    <comment ref="I11133" authorId="0">
      <text>
        <r>
          <rPr>
            <b/>
            <sz val="9"/>
            <color indexed="81"/>
            <rFont val="Tahoma"/>
            <family val="2"/>
          </rPr>
          <t>LPA:</t>
        </r>
        <r>
          <rPr>
            <sz val="9"/>
            <color indexed="81"/>
            <rFont val="Tahoma"/>
            <family val="2"/>
          </rPr>
          <t xml:space="preserve">
проверити збир!
</t>
        </r>
      </text>
    </comment>
    <comment ref="I11134" authorId="0">
      <text>
        <r>
          <rPr>
            <b/>
            <sz val="9"/>
            <color indexed="81"/>
            <rFont val="Tahoma"/>
            <family val="2"/>
          </rPr>
          <t>LPA:</t>
        </r>
        <r>
          <rPr>
            <sz val="9"/>
            <color indexed="81"/>
            <rFont val="Tahoma"/>
            <family val="2"/>
          </rPr>
          <t xml:space="preserve">
проверити збир!
</t>
        </r>
      </text>
    </comment>
    <comment ref="I11135" authorId="0">
      <text>
        <r>
          <rPr>
            <b/>
            <sz val="9"/>
            <color indexed="81"/>
            <rFont val="Tahoma"/>
            <family val="2"/>
          </rPr>
          <t>LPA:</t>
        </r>
        <r>
          <rPr>
            <sz val="9"/>
            <color indexed="81"/>
            <rFont val="Tahoma"/>
            <family val="2"/>
          </rPr>
          <t xml:space="preserve">
проверити збир!
</t>
        </r>
      </text>
    </comment>
    <comment ref="I11136" authorId="0">
      <text>
        <r>
          <rPr>
            <b/>
            <sz val="9"/>
            <color indexed="81"/>
            <rFont val="Tahoma"/>
            <family val="2"/>
          </rPr>
          <t>LPA:</t>
        </r>
        <r>
          <rPr>
            <sz val="9"/>
            <color indexed="81"/>
            <rFont val="Tahoma"/>
            <family val="2"/>
          </rPr>
          <t xml:space="preserve">
проверити збир!
</t>
        </r>
      </text>
    </comment>
    <comment ref="I11205" authorId="0">
      <text>
        <r>
          <rPr>
            <b/>
            <sz val="9"/>
            <color indexed="81"/>
            <rFont val="Tahoma"/>
            <family val="2"/>
          </rPr>
          <t>LPA:</t>
        </r>
        <r>
          <rPr>
            <sz val="9"/>
            <color indexed="81"/>
            <rFont val="Tahoma"/>
            <family val="2"/>
          </rPr>
          <t xml:space="preserve">
проверити збир!
</t>
        </r>
      </text>
    </comment>
    <comment ref="I11206" authorId="0">
      <text>
        <r>
          <rPr>
            <b/>
            <sz val="9"/>
            <color indexed="81"/>
            <rFont val="Tahoma"/>
            <family val="2"/>
          </rPr>
          <t>LPA:</t>
        </r>
        <r>
          <rPr>
            <sz val="9"/>
            <color indexed="81"/>
            <rFont val="Tahoma"/>
            <family val="2"/>
          </rPr>
          <t xml:space="preserve">
проверити збир!
</t>
        </r>
      </text>
    </comment>
    <comment ref="I11207" authorId="0">
      <text>
        <r>
          <rPr>
            <b/>
            <sz val="9"/>
            <color indexed="81"/>
            <rFont val="Tahoma"/>
            <family val="2"/>
          </rPr>
          <t>LPA:</t>
        </r>
        <r>
          <rPr>
            <sz val="9"/>
            <color indexed="81"/>
            <rFont val="Tahoma"/>
            <family val="2"/>
          </rPr>
          <t xml:space="preserve">
проверити збир!
</t>
        </r>
      </text>
    </comment>
    <comment ref="I11208" authorId="0">
      <text>
        <r>
          <rPr>
            <b/>
            <sz val="9"/>
            <color indexed="81"/>
            <rFont val="Tahoma"/>
            <family val="2"/>
          </rPr>
          <t>LPA:</t>
        </r>
        <r>
          <rPr>
            <sz val="9"/>
            <color indexed="81"/>
            <rFont val="Tahoma"/>
            <family val="2"/>
          </rPr>
          <t xml:space="preserve">
проверити збир!
</t>
        </r>
      </text>
    </comment>
    <comment ref="I11209" authorId="0">
      <text>
        <r>
          <rPr>
            <b/>
            <sz val="9"/>
            <color indexed="81"/>
            <rFont val="Tahoma"/>
            <family val="2"/>
          </rPr>
          <t>LPA:</t>
        </r>
        <r>
          <rPr>
            <sz val="9"/>
            <color indexed="81"/>
            <rFont val="Tahoma"/>
            <family val="2"/>
          </rPr>
          <t xml:space="preserve">
проверити збир!
</t>
        </r>
      </text>
    </comment>
    <comment ref="I11210" authorId="0">
      <text>
        <r>
          <rPr>
            <b/>
            <sz val="9"/>
            <color indexed="81"/>
            <rFont val="Tahoma"/>
            <family val="2"/>
          </rPr>
          <t>LPA:</t>
        </r>
        <r>
          <rPr>
            <sz val="9"/>
            <color indexed="81"/>
            <rFont val="Tahoma"/>
            <family val="2"/>
          </rPr>
          <t xml:space="preserve">
проверити збир!
</t>
        </r>
      </text>
    </comment>
    <comment ref="I11211" authorId="0">
      <text>
        <r>
          <rPr>
            <b/>
            <sz val="9"/>
            <color indexed="81"/>
            <rFont val="Tahoma"/>
            <family val="2"/>
          </rPr>
          <t>LPA:</t>
        </r>
        <r>
          <rPr>
            <sz val="9"/>
            <color indexed="81"/>
            <rFont val="Tahoma"/>
            <family val="2"/>
          </rPr>
          <t xml:space="preserve">
проверити збир!
</t>
        </r>
      </text>
    </comment>
    <comment ref="I11212" authorId="0">
      <text>
        <r>
          <rPr>
            <b/>
            <sz val="9"/>
            <color indexed="81"/>
            <rFont val="Tahoma"/>
            <family val="2"/>
          </rPr>
          <t>LPA:</t>
        </r>
        <r>
          <rPr>
            <sz val="9"/>
            <color indexed="81"/>
            <rFont val="Tahoma"/>
            <family val="2"/>
          </rPr>
          <t xml:space="preserve">
проверити збир!
</t>
        </r>
      </text>
    </comment>
    <comment ref="I11213" authorId="0">
      <text>
        <r>
          <rPr>
            <b/>
            <sz val="9"/>
            <color indexed="81"/>
            <rFont val="Tahoma"/>
            <family val="2"/>
          </rPr>
          <t>LPA:</t>
        </r>
        <r>
          <rPr>
            <sz val="9"/>
            <color indexed="81"/>
            <rFont val="Tahoma"/>
            <family val="2"/>
          </rPr>
          <t xml:space="preserve">
проверити збир!
</t>
        </r>
      </text>
    </comment>
    <comment ref="I11214" authorId="0">
      <text>
        <r>
          <rPr>
            <b/>
            <sz val="9"/>
            <color indexed="81"/>
            <rFont val="Tahoma"/>
            <family val="2"/>
          </rPr>
          <t>LPA:</t>
        </r>
        <r>
          <rPr>
            <sz val="9"/>
            <color indexed="81"/>
            <rFont val="Tahoma"/>
            <family val="2"/>
          </rPr>
          <t xml:space="preserve">
проверити збир!
</t>
        </r>
      </text>
    </comment>
    <comment ref="I11215" authorId="0">
      <text>
        <r>
          <rPr>
            <b/>
            <sz val="9"/>
            <color indexed="81"/>
            <rFont val="Tahoma"/>
            <family val="2"/>
          </rPr>
          <t>LPA:</t>
        </r>
        <r>
          <rPr>
            <sz val="9"/>
            <color indexed="81"/>
            <rFont val="Tahoma"/>
            <family val="2"/>
          </rPr>
          <t xml:space="preserve">
проверити збир!
</t>
        </r>
      </text>
    </comment>
    <comment ref="I11216" authorId="0">
      <text>
        <r>
          <rPr>
            <b/>
            <sz val="9"/>
            <color indexed="81"/>
            <rFont val="Tahoma"/>
            <family val="2"/>
          </rPr>
          <t>LPA:</t>
        </r>
        <r>
          <rPr>
            <sz val="9"/>
            <color indexed="81"/>
            <rFont val="Tahoma"/>
            <family val="2"/>
          </rPr>
          <t xml:space="preserve">
проверити збир!
</t>
        </r>
      </text>
    </comment>
    <comment ref="I11217" authorId="0">
      <text>
        <r>
          <rPr>
            <b/>
            <sz val="9"/>
            <color indexed="81"/>
            <rFont val="Tahoma"/>
            <family val="2"/>
          </rPr>
          <t>LPA:</t>
        </r>
        <r>
          <rPr>
            <sz val="9"/>
            <color indexed="81"/>
            <rFont val="Tahoma"/>
            <family val="2"/>
          </rPr>
          <t xml:space="preserve">
проверити збир!
</t>
        </r>
      </text>
    </comment>
    <comment ref="H11220" authorId="0">
      <text>
        <r>
          <rPr>
            <b/>
            <sz val="9"/>
            <color indexed="81"/>
            <rFont val="Tahoma"/>
            <family val="2"/>
          </rPr>
          <t>LPA:</t>
        </r>
        <r>
          <rPr>
            <sz val="9"/>
            <color indexed="81"/>
            <rFont val="Tahoma"/>
            <family val="2"/>
          </rPr>
          <t xml:space="preserve">
проверити збир!</t>
        </r>
      </text>
    </comment>
    <comment ref="I11220" authorId="0">
      <text>
        <r>
          <rPr>
            <b/>
            <sz val="9"/>
            <color indexed="81"/>
            <rFont val="Tahoma"/>
            <family val="2"/>
          </rPr>
          <t>LPA:</t>
        </r>
        <r>
          <rPr>
            <sz val="9"/>
            <color indexed="81"/>
            <rFont val="Tahoma"/>
            <family val="2"/>
          </rPr>
          <t xml:space="preserve">
проверити збир!</t>
        </r>
      </text>
    </comment>
    <comment ref="I11221" authorId="0">
      <text>
        <r>
          <rPr>
            <b/>
            <sz val="9"/>
            <color indexed="81"/>
            <rFont val="Tahoma"/>
            <family val="2"/>
          </rPr>
          <t>LPA:</t>
        </r>
        <r>
          <rPr>
            <sz val="9"/>
            <color indexed="81"/>
            <rFont val="Tahoma"/>
            <family val="2"/>
          </rPr>
          <t xml:space="preserve">
проверити збир!
</t>
        </r>
      </text>
    </comment>
    <comment ref="I11222" authorId="0">
      <text>
        <r>
          <rPr>
            <b/>
            <sz val="9"/>
            <color indexed="81"/>
            <rFont val="Tahoma"/>
            <family val="2"/>
          </rPr>
          <t>LPA:</t>
        </r>
        <r>
          <rPr>
            <sz val="9"/>
            <color indexed="81"/>
            <rFont val="Tahoma"/>
            <family val="2"/>
          </rPr>
          <t xml:space="preserve">
проверити збир!
</t>
        </r>
      </text>
    </comment>
    <comment ref="I11223" authorId="0">
      <text>
        <r>
          <rPr>
            <b/>
            <sz val="9"/>
            <color indexed="81"/>
            <rFont val="Tahoma"/>
            <family val="2"/>
          </rPr>
          <t>LPA:</t>
        </r>
        <r>
          <rPr>
            <sz val="9"/>
            <color indexed="81"/>
            <rFont val="Tahoma"/>
            <family val="2"/>
          </rPr>
          <t xml:space="preserve">
проверити збир!
</t>
        </r>
      </text>
    </comment>
    <comment ref="I11224" authorId="0">
      <text>
        <r>
          <rPr>
            <b/>
            <sz val="9"/>
            <color indexed="81"/>
            <rFont val="Tahoma"/>
            <family val="2"/>
          </rPr>
          <t>LPA:</t>
        </r>
        <r>
          <rPr>
            <sz val="9"/>
            <color indexed="81"/>
            <rFont val="Tahoma"/>
            <family val="2"/>
          </rPr>
          <t xml:space="preserve">
проверити збир!
</t>
        </r>
      </text>
    </comment>
    <comment ref="I11225" authorId="0">
      <text>
        <r>
          <rPr>
            <b/>
            <sz val="9"/>
            <color indexed="81"/>
            <rFont val="Tahoma"/>
            <family val="2"/>
          </rPr>
          <t>LPA:</t>
        </r>
        <r>
          <rPr>
            <sz val="9"/>
            <color indexed="81"/>
            <rFont val="Tahoma"/>
            <family val="2"/>
          </rPr>
          <t xml:space="preserve">
проверити збир!
</t>
        </r>
      </text>
    </comment>
    <comment ref="I11226" authorId="0">
      <text>
        <r>
          <rPr>
            <b/>
            <sz val="9"/>
            <color indexed="81"/>
            <rFont val="Tahoma"/>
            <family val="2"/>
          </rPr>
          <t>LPA:</t>
        </r>
        <r>
          <rPr>
            <sz val="9"/>
            <color indexed="81"/>
            <rFont val="Tahoma"/>
            <family val="2"/>
          </rPr>
          <t xml:space="preserve">
проверити збир!
</t>
        </r>
      </text>
    </comment>
    <comment ref="I11227" authorId="0">
      <text>
        <r>
          <rPr>
            <b/>
            <sz val="9"/>
            <color indexed="81"/>
            <rFont val="Tahoma"/>
            <family val="2"/>
          </rPr>
          <t>LPA:</t>
        </r>
        <r>
          <rPr>
            <sz val="9"/>
            <color indexed="81"/>
            <rFont val="Tahoma"/>
            <family val="2"/>
          </rPr>
          <t xml:space="preserve">
проверити збир!
</t>
        </r>
      </text>
    </comment>
    <comment ref="I11228" authorId="0">
      <text>
        <r>
          <rPr>
            <b/>
            <sz val="9"/>
            <color indexed="81"/>
            <rFont val="Tahoma"/>
            <family val="2"/>
          </rPr>
          <t>LPA:</t>
        </r>
        <r>
          <rPr>
            <sz val="9"/>
            <color indexed="81"/>
            <rFont val="Tahoma"/>
            <family val="2"/>
          </rPr>
          <t xml:space="preserve">
проверити збир!
</t>
        </r>
      </text>
    </comment>
    <comment ref="I11229" authorId="0">
      <text>
        <r>
          <rPr>
            <b/>
            <sz val="9"/>
            <color indexed="81"/>
            <rFont val="Tahoma"/>
            <family val="2"/>
          </rPr>
          <t>LPA:</t>
        </r>
        <r>
          <rPr>
            <sz val="9"/>
            <color indexed="81"/>
            <rFont val="Tahoma"/>
            <family val="2"/>
          </rPr>
          <t xml:space="preserve">
проверити збир!
</t>
        </r>
      </text>
    </comment>
    <comment ref="I11230" authorId="0">
      <text>
        <r>
          <rPr>
            <b/>
            <sz val="9"/>
            <color indexed="81"/>
            <rFont val="Tahoma"/>
            <family val="2"/>
          </rPr>
          <t>LPA:</t>
        </r>
        <r>
          <rPr>
            <sz val="9"/>
            <color indexed="81"/>
            <rFont val="Tahoma"/>
            <family val="2"/>
          </rPr>
          <t xml:space="preserve">
проверити збир!
</t>
        </r>
      </text>
    </comment>
    <comment ref="I11231" authorId="0">
      <text>
        <r>
          <rPr>
            <b/>
            <sz val="9"/>
            <color indexed="81"/>
            <rFont val="Tahoma"/>
            <family val="2"/>
          </rPr>
          <t>LPA:</t>
        </r>
        <r>
          <rPr>
            <sz val="9"/>
            <color indexed="81"/>
            <rFont val="Tahoma"/>
            <family val="2"/>
          </rPr>
          <t xml:space="preserve">
проверити збир!
</t>
        </r>
      </text>
    </comment>
    <comment ref="I11232" authorId="0">
      <text>
        <r>
          <rPr>
            <b/>
            <sz val="9"/>
            <color indexed="81"/>
            <rFont val="Tahoma"/>
            <family val="2"/>
          </rPr>
          <t>LPA:</t>
        </r>
        <r>
          <rPr>
            <sz val="9"/>
            <color indexed="81"/>
            <rFont val="Tahoma"/>
            <family val="2"/>
          </rPr>
          <t xml:space="preserve">
проверити збир!
</t>
        </r>
      </text>
    </comment>
    <comment ref="I11233" authorId="0">
      <text>
        <r>
          <rPr>
            <b/>
            <sz val="9"/>
            <color indexed="81"/>
            <rFont val="Tahoma"/>
            <family val="2"/>
          </rPr>
          <t>LPA:</t>
        </r>
        <r>
          <rPr>
            <sz val="9"/>
            <color indexed="81"/>
            <rFont val="Tahoma"/>
            <family val="2"/>
          </rPr>
          <t xml:space="preserve">
проверити збир!
</t>
        </r>
      </text>
    </comment>
    <comment ref="I11234" authorId="0">
      <text>
        <r>
          <rPr>
            <b/>
            <sz val="9"/>
            <color indexed="81"/>
            <rFont val="Tahoma"/>
            <family val="2"/>
          </rPr>
          <t>LPA:</t>
        </r>
        <r>
          <rPr>
            <sz val="9"/>
            <color indexed="81"/>
            <rFont val="Tahoma"/>
            <family val="2"/>
          </rPr>
          <t xml:space="preserve">
проверити збир!
</t>
        </r>
      </text>
    </comment>
    <comment ref="I11235" authorId="0">
      <text>
        <r>
          <rPr>
            <b/>
            <sz val="9"/>
            <color indexed="81"/>
            <rFont val="Tahoma"/>
            <family val="2"/>
          </rPr>
          <t>LPA:</t>
        </r>
        <r>
          <rPr>
            <sz val="9"/>
            <color indexed="81"/>
            <rFont val="Tahoma"/>
            <family val="2"/>
          </rPr>
          <t xml:space="preserve">
проверити збир!
</t>
        </r>
      </text>
    </comment>
    <comment ref="I11304" authorId="0">
      <text>
        <r>
          <rPr>
            <b/>
            <sz val="9"/>
            <color indexed="81"/>
            <rFont val="Tahoma"/>
            <family val="2"/>
          </rPr>
          <t>LPA:</t>
        </r>
        <r>
          <rPr>
            <sz val="9"/>
            <color indexed="81"/>
            <rFont val="Tahoma"/>
            <family val="2"/>
          </rPr>
          <t xml:space="preserve">
проверити збир!
</t>
        </r>
      </text>
    </comment>
    <comment ref="I11305" authorId="0">
      <text>
        <r>
          <rPr>
            <b/>
            <sz val="9"/>
            <color indexed="81"/>
            <rFont val="Tahoma"/>
            <family val="2"/>
          </rPr>
          <t>LPA:</t>
        </r>
        <r>
          <rPr>
            <sz val="9"/>
            <color indexed="81"/>
            <rFont val="Tahoma"/>
            <family val="2"/>
          </rPr>
          <t xml:space="preserve">
проверити збир!
</t>
        </r>
      </text>
    </comment>
    <comment ref="I11306" authorId="0">
      <text>
        <r>
          <rPr>
            <b/>
            <sz val="9"/>
            <color indexed="81"/>
            <rFont val="Tahoma"/>
            <family val="2"/>
          </rPr>
          <t>LPA:</t>
        </r>
        <r>
          <rPr>
            <sz val="9"/>
            <color indexed="81"/>
            <rFont val="Tahoma"/>
            <family val="2"/>
          </rPr>
          <t xml:space="preserve">
проверити збир!
</t>
        </r>
      </text>
    </comment>
    <comment ref="I11307" authorId="0">
      <text>
        <r>
          <rPr>
            <b/>
            <sz val="9"/>
            <color indexed="81"/>
            <rFont val="Tahoma"/>
            <family val="2"/>
          </rPr>
          <t>LPA:</t>
        </r>
        <r>
          <rPr>
            <sz val="9"/>
            <color indexed="81"/>
            <rFont val="Tahoma"/>
            <family val="2"/>
          </rPr>
          <t xml:space="preserve">
проверити збир!
</t>
        </r>
      </text>
    </comment>
    <comment ref="I11308" authorId="0">
      <text>
        <r>
          <rPr>
            <b/>
            <sz val="9"/>
            <color indexed="81"/>
            <rFont val="Tahoma"/>
            <family val="2"/>
          </rPr>
          <t>LPA:</t>
        </r>
        <r>
          <rPr>
            <sz val="9"/>
            <color indexed="81"/>
            <rFont val="Tahoma"/>
            <family val="2"/>
          </rPr>
          <t xml:space="preserve">
проверити збир!
</t>
        </r>
      </text>
    </comment>
    <comment ref="I11309" authorId="0">
      <text>
        <r>
          <rPr>
            <b/>
            <sz val="9"/>
            <color indexed="81"/>
            <rFont val="Tahoma"/>
            <family val="2"/>
          </rPr>
          <t>LPA:</t>
        </r>
        <r>
          <rPr>
            <sz val="9"/>
            <color indexed="81"/>
            <rFont val="Tahoma"/>
            <family val="2"/>
          </rPr>
          <t xml:space="preserve">
проверити збир!
</t>
        </r>
      </text>
    </comment>
    <comment ref="I11310" authorId="0">
      <text>
        <r>
          <rPr>
            <b/>
            <sz val="9"/>
            <color indexed="81"/>
            <rFont val="Tahoma"/>
            <family val="2"/>
          </rPr>
          <t>LPA:</t>
        </r>
        <r>
          <rPr>
            <sz val="9"/>
            <color indexed="81"/>
            <rFont val="Tahoma"/>
            <family val="2"/>
          </rPr>
          <t xml:space="preserve">
проверити збир!
</t>
        </r>
      </text>
    </comment>
    <comment ref="I11311" authorId="0">
      <text>
        <r>
          <rPr>
            <b/>
            <sz val="9"/>
            <color indexed="81"/>
            <rFont val="Tahoma"/>
            <family val="2"/>
          </rPr>
          <t>LPA:</t>
        </r>
        <r>
          <rPr>
            <sz val="9"/>
            <color indexed="81"/>
            <rFont val="Tahoma"/>
            <family val="2"/>
          </rPr>
          <t xml:space="preserve">
проверити збир!
</t>
        </r>
      </text>
    </comment>
    <comment ref="I11312" authorId="0">
      <text>
        <r>
          <rPr>
            <b/>
            <sz val="9"/>
            <color indexed="81"/>
            <rFont val="Tahoma"/>
            <family val="2"/>
          </rPr>
          <t>LPA:</t>
        </r>
        <r>
          <rPr>
            <sz val="9"/>
            <color indexed="81"/>
            <rFont val="Tahoma"/>
            <family val="2"/>
          </rPr>
          <t xml:space="preserve">
проверити збир!
</t>
        </r>
      </text>
    </comment>
    <comment ref="I11313" authorId="0">
      <text>
        <r>
          <rPr>
            <b/>
            <sz val="9"/>
            <color indexed="81"/>
            <rFont val="Tahoma"/>
            <family val="2"/>
          </rPr>
          <t>LPA:</t>
        </r>
        <r>
          <rPr>
            <sz val="9"/>
            <color indexed="81"/>
            <rFont val="Tahoma"/>
            <family val="2"/>
          </rPr>
          <t xml:space="preserve">
проверити збир!
</t>
        </r>
      </text>
    </comment>
    <comment ref="I11314" authorId="0">
      <text>
        <r>
          <rPr>
            <b/>
            <sz val="9"/>
            <color indexed="81"/>
            <rFont val="Tahoma"/>
            <family val="2"/>
          </rPr>
          <t>LPA:</t>
        </r>
        <r>
          <rPr>
            <sz val="9"/>
            <color indexed="81"/>
            <rFont val="Tahoma"/>
            <family val="2"/>
          </rPr>
          <t xml:space="preserve">
проверити збир!
</t>
        </r>
      </text>
    </comment>
    <comment ref="I11315" authorId="0">
      <text>
        <r>
          <rPr>
            <b/>
            <sz val="9"/>
            <color indexed="81"/>
            <rFont val="Tahoma"/>
            <family val="2"/>
          </rPr>
          <t>LPA:</t>
        </r>
        <r>
          <rPr>
            <sz val="9"/>
            <color indexed="81"/>
            <rFont val="Tahoma"/>
            <family val="2"/>
          </rPr>
          <t xml:space="preserve">
проверити збир!
</t>
        </r>
      </text>
    </comment>
    <comment ref="I11316" authorId="0">
      <text>
        <r>
          <rPr>
            <b/>
            <sz val="9"/>
            <color indexed="81"/>
            <rFont val="Tahoma"/>
            <family val="2"/>
          </rPr>
          <t>LPA:</t>
        </r>
        <r>
          <rPr>
            <sz val="9"/>
            <color indexed="81"/>
            <rFont val="Tahoma"/>
            <family val="2"/>
          </rPr>
          <t xml:space="preserve">
проверити збир!
</t>
        </r>
      </text>
    </comment>
    <comment ref="H11319" authorId="0">
      <text>
        <r>
          <rPr>
            <b/>
            <sz val="9"/>
            <color indexed="81"/>
            <rFont val="Tahoma"/>
            <family val="2"/>
          </rPr>
          <t>LPA:</t>
        </r>
        <r>
          <rPr>
            <sz val="9"/>
            <color indexed="81"/>
            <rFont val="Tahoma"/>
            <family val="2"/>
          </rPr>
          <t xml:space="preserve">
проверити збир!</t>
        </r>
      </text>
    </comment>
    <comment ref="I11319" authorId="0">
      <text>
        <r>
          <rPr>
            <b/>
            <sz val="9"/>
            <color indexed="81"/>
            <rFont val="Tahoma"/>
            <family val="2"/>
          </rPr>
          <t>LPA:</t>
        </r>
        <r>
          <rPr>
            <sz val="9"/>
            <color indexed="81"/>
            <rFont val="Tahoma"/>
            <family val="2"/>
          </rPr>
          <t xml:space="preserve">
проверити збир!</t>
        </r>
      </text>
    </comment>
    <comment ref="I11320" authorId="0">
      <text>
        <r>
          <rPr>
            <b/>
            <sz val="9"/>
            <color indexed="81"/>
            <rFont val="Tahoma"/>
            <family val="2"/>
          </rPr>
          <t>LPA:</t>
        </r>
        <r>
          <rPr>
            <sz val="9"/>
            <color indexed="81"/>
            <rFont val="Tahoma"/>
            <family val="2"/>
          </rPr>
          <t xml:space="preserve">
проверити збир!
</t>
        </r>
      </text>
    </comment>
    <comment ref="I11321" authorId="0">
      <text>
        <r>
          <rPr>
            <b/>
            <sz val="9"/>
            <color indexed="81"/>
            <rFont val="Tahoma"/>
            <family val="2"/>
          </rPr>
          <t>LPA:</t>
        </r>
        <r>
          <rPr>
            <sz val="9"/>
            <color indexed="81"/>
            <rFont val="Tahoma"/>
            <family val="2"/>
          </rPr>
          <t xml:space="preserve">
проверити збир!
</t>
        </r>
      </text>
    </comment>
    <comment ref="I11322" authorId="0">
      <text>
        <r>
          <rPr>
            <b/>
            <sz val="9"/>
            <color indexed="81"/>
            <rFont val="Tahoma"/>
            <family val="2"/>
          </rPr>
          <t>LPA:</t>
        </r>
        <r>
          <rPr>
            <sz val="9"/>
            <color indexed="81"/>
            <rFont val="Tahoma"/>
            <family val="2"/>
          </rPr>
          <t xml:space="preserve">
проверити збир!
</t>
        </r>
      </text>
    </comment>
    <comment ref="I11323" authorId="0">
      <text>
        <r>
          <rPr>
            <b/>
            <sz val="9"/>
            <color indexed="81"/>
            <rFont val="Tahoma"/>
            <family val="2"/>
          </rPr>
          <t>LPA:</t>
        </r>
        <r>
          <rPr>
            <sz val="9"/>
            <color indexed="81"/>
            <rFont val="Tahoma"/>
            <family val="2"/>
          </rPr>
          <t xml:space="preserve">
проверити збир!
</t>
        </r>
      </text>
    </comment>
    <comment ref="I11324" authorId="0">
      <text>
        <r>
          <rPr>
            <b/>
            <sz val="9"/>
            <color indexed="81"/>
            <rFont val="Tahoma"/>
            <family val="2"/>
          </rPr>
          <t>LPA:</t>
        </r>
        <r>
          <rPr>
            <sz val="9"/>
            <color indexed="81"/>
            <rFont val="Tahoma"/>
            <family val="2"/>
          </rPr>
          <t xml:space="preserve">
проверити збир!
</t>
        </r>
      </text>
    </comment>
    <comment ref="I11325" authorId="0">
      <text>
        <r>
          <rPr>
            <b/>
            <sz val="9"/>
            <color indexed="81"/>
            <rFont val="Tahoma"/>
            <family val="2"/>
          </rPr>
          <t>LPA:</t>
        </r>
        <r>
          <rPr>
            <sz val="9"/>
            <color indexed="81"/>
            <rFont val="Tahoma"/>
            <family val="2"/>
          </rPr>
          <t xml:space="preserve">
проверити збир!
</t>
        </r>
      </text>
    </comment>
    <comment ref="I11326" authorId="0">
      <text>
        <r>
          <rPr>
            <b/>
            <sz val="9"/>
            <color indexed="81"/>
            <rFont val="Tahoma"/>
            <family val="2"/>
          </rPr>
          <t>LPA:</t>
        </r>
        <r>
          <rPr>
            <sz val="9"/>
            <color indexed="81"/>
            <rFont val="Tahoma"/>
            <family val="2"/>
          </rPr>
          <t xml:space="preserve">
проверити збир!
</t>
        </r>
      </text>
    </comment>
    <comment ref="I11327" authorId="0">
      <text>
        <r>
          <rPr>
            <b/>
            <sz val="9"/>
            <color indexed="81"/>
            <rFont val="Tahoma"/>
            <family val="2"/>
          </rPr>
          <t>LPA:</t>
        </r>
        <r>
          <rPr>
            <sz val="9"/>
            <color indexed="81"/>
            <rFont val="Tahoma"/>
            <family val="2"/>
          </rPr>
          <t xml:space="preserve">
проверити збир!
</t>
        </r>
      </text>
    </comment>
    <comment ref="I11328" authorId="0">
      <text>
        <r>
          <rPr>
            <b/>
            <sz val="9"/>
            <color indexed="81"/>
            <rFont val="Tahoma"/>
            <family val="2"/>
          </rPr>
          <t>LPA:</t>
        </r>
        <r>
          <rPr>
            <sz val="9"/>
            <color indexed="81"/>
            <rFont val="Tahoma"/>
            <family val="2"/>
          </rPr>
          <t xml:space="preserve">
проверити збир!
</t>
        </r>
      </text>
    </comment>
    <comment ref="I11329" authorId="0">
      <text>
        <r>
          <rPr>
            <b/>
            <sz val="9"/>
            <color indexed="81"/>
            <rFont val="Tahoma"/>
            <family val="2"/>
          </rPr>
          <t>LPA:</t>
        </r>
        <r>
          <rPr>
            <sz val="9"/>
            <color indexed="81"/>
            <rFont val="Tahoma"/>
            <family val="2"/>
          </rPr>
          <t xml:space="preserve">
проверити збир!
</t>
        </r>
      </text>
    </comment>
    <comment ref="I11330" authorId="0">
      <text>
        <r>
          <rPr>
            <b/>
            <sz val="9"/>
            <color indexed="81"/>
            <rFont val="Tahoma"/>
            <family val="2"/>
          </rPr>
          <t>LPA:</t>
        </r>
        <r>
          <rPr>
            <sz val="9"/>
            <color indexed="81"/>
            <rFont val="Tahoma"/>
            <family val="2"/>
          </rPr>
          <t xml:space="preserve">
проверити збир!
</t>
        </r>
      </text>
    </comment>
    <comment ref="I11331" authorId="0">
      <text>
        <r>
          <rPr>
            <b/>
            <sz val="9"/>
            <color indexed="81"/>
            <rFont val="Tahoma"/>
            <family val="2"/>
          </rPr>
          <t>LPA:</t>
        </r>
        <r>
          <rPr>
            <sz val="9"/>
            <color indexed="81"/>
            <rFont val="Tahoma"/>
            <family val="2"/>
          </rPr>
          <t xml:space="preserve">
проверити збир!
</t>
        </r>
      </text>
    </comment>
    <comment ref="I11332" authorId="0">
      <text>
        <r>
          <rPr>
            <b/>
            <sz val="9"/>
            <color indexed="81"/>
            <rFont val="Tahoma"/>
            <family val="2"/>
          </rPr>
          <t>LPA:</t>
        </r>
        <r>
          <rPr>
            <sz val="9"/>
            <color indexed="81"/>
            <rFont val="Tahoma"/>
            <family val="2"/>
          </rPr>
          <t xml:space="preserve">
проверити збир!
</t>
        </r>
      </text>
    </comment>
    <comment ref="I11333" authorId="0">
      <text>
        <r>
          <rPr>
            <b/>
            <sz val="9"/>
            <color indexed="81"/>
            <rFont val="Tahoma"/>
            <family val="2"/>
          </rPr>
          <t>LPA:</t>
        </r>
        <r>
          <rPr>
            <sz val="9"/>
            <color indexed="81"/>
            <rFont val="Tahoma"/>
            <family val="2"/>
          </rPr>
          <t xml:space="preserve">
проверити збир!
</t>
        </r>
      </text>
    </comment>
    <comment ref="I11334" authorId="0">
      <text>
        <r>
          <rPr>
            <b/>
            <sz val="9"/>
            <color indexed="81"/>
            <rFont val="Tahoma"/>
            <family val="2"/>
          </rPr>
          <t>LPA:</t>
        </r>
        <r>
          <rPr>
            <sz val="9"/>
            <color indexed="81"/>
            <rFont val="Tahoma"/>
            <family val="2"/>
          </rPr>
          <t xml:space="preserve">
проверити збир!
</t>
        </r>
      </text>
    </comment>
    <comment ref="I11403" authorId="0">
      <text>
        <r>
          <rPr>
            <b/>
            <sz val="9"/>
            <color indexed="81"/>
            <rFont val="Tahoma"/>
            <family val="2"/>
          </rPr>
          <t>LPA:</t>
        </r>
        <r>
          <rPr>
            <sz val="9"/>
            <color indexed="81"/>
            <rFont val="Tahoma"/>
            <family val="2"/>
          </rPr>
          <t xml:space="preserve">
проверити збир!
</t>
        </r>
      </text>
    </comment>
    <comment ref="I11404" authorId="0">
      <text>
        <r>
          <rPr>
            <b/>
            <sz val="9"/>
            <color indexed="81"/>
            <rFont val="Tahoma"/>
            <family val="2"/>
          </rPr>
          <t>LPA:</t>
        </r>
        <r>
          <rPr>
            <sz val="9"/>
            <color indexed="81"/>
            <rFont val="Tahoma"/>
            <family val="2"/>
          </rPr>
          <t xml:space="preserve">
проверити збир!
</t>
        </r>
      </text>
    </comment>
    <comment ref="I11405" authorId="0">
      <text>
        <r>
          <rPr>
            <b/>
            <sz val="9"/>
            <color indexed="81"/>
            <rFont val="Tahoma"/>
            <family val="2"/>
          </rPr>
          <t>LPA:</t>
        </r>
        <r>
          <rPr>
            <sz val="9"/>
            <color indexed="81"/>
            <rFont val="Tahoma"/>
            <family val="2"/>
          </rPr>
          <t xml:space="preserve">
проверити збир!
</t>
        </r>
      </text>
    </comment>
    <comment ref="I11406" authorId="0">
      <text>
        <r>
          <rPr>
            <b/>
            <sz val="9"/>
            <color indexed="81"/>
            <rFont val="Tahoma"/>
            <family val="2"/>
          </rPr>
          <t>LPA:</t>
        </r>
        <r>
          <rPr>
            <sz val="9"/>
            <color indexed="81"/>
            <rFont val="Tahoma"/>
            <family val="2"/>
          </rPr>
          <t xml:space="preserve">
проверити збир!
</t>
        </r>
      </text>
    </comment>
    <comment ref="I11407" authorId="0">
      <text>
        <r>
          <rPr>
            <b/>
            <sz val="9"/>
            <color indexed="81"/>
            <rFont val="Tahoma"/>
            <family val="2"/>
          </rPr>
          <t>LPA:</t>
        </r>
        <r>
          <rPr>
            <sz val="9"/>
            <color indexed="81"/>
            <rFont val="Tahoma"/>
            <family val="2"/>
          </rPr>
          <t xml:space="preserve">
проверити збир!
</t>
        </r>
      </text>
    </comment>
    <comment ref="I11408" authorId="0">
      <text>
        <r>
          <rPr>
            <b/>
            <sz val="9"/>
            <color indexed="81"/>
            <rFont val="Tahoma"/>
            <family val="2"/>
          </rPr>
          <t>LPA:</t>
        </r>
        <r>
          <rPr>
            <sz val="9"/>
            <color indexed="81"/>
            <rFont val="Tahoma"/>
            <family val="2"/>
          </rPr>
          <t xml:space="preserve">
проверити збир!
</t>
        </r>
      </text>
    </comment>
    <comment ref="I11409" authorId="0">
      <text>
        <r>
          <rPr>
            <b/>
            <sz val="9"/>
            <color indexed="81"/>
            <rFont val="Tahoma"/>
            <family val="2"/>
          </rPr>
          <t>LPA:</t>
        </r>
        <r>
          <rPr>
            <sz val="9"/>
            <color indexed="81"/>
            <rFont val="Tahoma"/>
            <family val="2"/>
          </rPr>
          <t xml:space="preserve">
проверити збир!
</t>
        </r>
      </text>
    </comment>
    <comment ref="I11410" authorId="0">
      <text>
        <r>
          <rPr>
            <b/>
            <sz val="9"/>
            <color indexed="81"/>
            <rFont val="Tahoma"/>
            <family val="2"/>
          </rPr>
          <t>LPA:</t>
        </r>
        <r>
          <rPr>
            <sz val="9"/>
            <color indexed="81"/>
            <rFont val="Tahoma"/>
            <family val="2"/>
          </rPr>
          <t xml:space="preserve">
проверити збир!
</t>
        </r>
      </text>
    </comment>
    <comment ref="I11411" authorId="0">
      <text>
        <r>
          <rPr>
            <b/>
            <sz val="9"/>
            <color indexed="81"/>
            <rFont val="Tahoma"/>
            <family val="2"/>
          </rPr>
          <t>LPA:</t>
        </r>
        <r>
          <rPr>
            <sz val="9"/>
            <color indexed="81"/>
            <rFont val="Tahoma"/>
            <family val="2"/>
          </rPr>
          <t xml:space="preserve">
проверити збир!
</t>
        </r>
      </text>
    </comment>
    <comment ref="I11412" authorId="0">
      <text>
        <r>
          <rPr>
            <b/>
            <sz val="9"/>
            <color indexed="81"/>
            <rFont val="Tahoma"/>
            <family val="2"/>
          </rPr>
          <t>LPA:</t>
        </r>
        <r>
          <rPr>
            <sz val="9"/>
            <color indexed="81"/>
            <rFont val="Tahoma"/>
            <family val="2"/>
          </rPr>
          <t xml:space="preserve">
проверити збир!
</t>
        </r>
      </text>
    </comment>
    <comment ref="I11413" authorId="0">
      <text>
        <r>
          <rPr>
            <b/>
            <sz val="9"/>
            <color indexed="81"/>
            <rFont val="Tahoma"/>
            <family val="2"/>
          </rPr>
          <t>LPA:</t>
        </r>
        <r>
          <rPr>
            <sz val="9"/>
            <color indexed="81"/>
            <rFont val="Tahoma"/>
            <family val="2"/>
          </rPr>
          <t xml:space="preserve">
проверити збир!
</t>
        </r>
      </text>
    </comment>
    <comment ref="I11414" authorId="0">
      <text>
        <r>
          <rPr>
            <b/>
            <sz val="9"/>
            <color indexed="81"/>
            <rFont val="Tahoma"/>
            <family val="2"/>
          </rPr>
          <t>LPA:</t>
        </r>
        <r>
          <rPr>
            <sz val="9"/>
            <color indexed="81"/>
            <rFont val="Tahoma"/>
            <family val="2"/>
          </rPr>
          <t xml:space="preserve">
проверити збир!
</t>
        </r>
      </text>
    </comment>
    <comment ref="I11415" authorId="0">
      <text>
        <r>
          <rPr>
            <b/>
            <sz val="9"/>
            <color indexed="81"/>
            <rFont val="Tahoma"/>
            <family val="2"/>
          </rPr>
          <t>LPA:</t>
        </r>
        <r>
          <rPr>
            <sz val="9"/>
            <color indexed="81"/>
            <rFont val="Tahoma"/>
            <family val="2"/>
          </rPr>
          <t xml:space="preserve">
проверити збир!
</t>
        </r>
      </text>
    </comment>
    <comment ref="H11418" authorId="0">
      <text>
        <r>
          <rPr>
            <b/>
            <sz val="9"/>
            <color indexed="81"/>
            <rFont val="Tahoma"/>
            <family val="2"/>
          </rPr>
          <t>LPA:</t>
        </r>
        <r>
          <rPr>
            <sz val="9"/>
            <color indexed="81"/>
            <rFont val="Tahoma"/>
            <family val="2"/>
          </rPr>
          <t xml:space="preserve">
проверити збир!</t>
        </r>
      </text>
    </comment>
    <comment ref="I11418" authorId="0">
      <text>
        <r>
          <rPr>
            <b/>
            <sz val="9"/>
            <color indexed="81"/>
            <rFont val="Tahoma"/>
            <family val="2"/>
          </rPr>
          <t>LPA:</t>
        </r>
        <r>
          <rPr>
            <sz val="9"/>
            <color indexed="81"/>
            <rFont val="Tahoma"/>
            <family val="2"/>
          </rPr>
          <t xml:space="preserve">
проверити збир!</t>
        </r>
      </text>
    </comment>
    <comment ref="I11419" authorId="0">
      <text>
        <r>
          <rPr>
            <b/>
            <sz val="9"/>
            <color indexed="81"/>
            <rFont val="Tahoma"/>
            <family val="2"/>
          </rPr>
          <t>LPA:</t>
        </r>
        <r>
          <rPr>
            <sz val="9"/>
            <color indexed="81"/>
            <rFont val="Tahoma"/>
            <family val="2"/>
          </rPr>
          <t xml:space="preserve">
проверити збир!
</t>
        </r>
      </text>
    </comment>
    <comment ref="I11420" authorId="0">
      <text>
        <r>
          <rPr>
            <b/>
            <sz val="9"/>
            <color indexed="81"/>
            <rFont val="Tahoma"/>
            <family val="2"/>
          </rPr>
          <t>LPA:</t>
        </r>
        <r>
          <rPr>
            <sz val="9"/>
            <color indexed="81"/>
            <rFont val="Tahoma"/>
            <family val="2"/>
          </rPr>
          <t xml:space="preserve">
проверити збир!
</t>
        </r>
      </text>
    </comment>
    <comment ref="I11421" authorId="0">
      <text>
        <r>
          <rPr>
            <b/>
            <sz val="9"/>
            <color indexed="81"/>
            <rFont val="Tahoma"/>
            <family val="2"/>
          </rPr>
          <t>LPA:</t>
        </r>
        <r>
          <rPr>
            <sz val="9"/>
            <color indexed="81"/>
            <rFont val="Tahoma"/>
            <family val="2"/>
          </rPr>
          <t xml:space="preserve">
проверити збир!
</t>
        </r>
      </text>
    </comment>
    <comment ref="I11422" authorId="0">
      <text>
        <r>
          <rPr>
            <b/>
            <sz val="9"/>
            <color indexed="81"/>
            <rFont val="Tahoma"/>
            <family val="2"/>
          </rPr>
          <t>LPA:</t>
        </r>
        <r>
          <rPr>
            <sz val="9"/>
            <color indexed="81"/>
            <rFont val="Tahoma"/>
            <family val="2"/>
          </rPr>
          <t xml:space="preserve">
проверити збир!
</t>
        </r>
      </text>
    </comment>
    <comment ref="I11423" authorId="0">
      <text>
        <r>
          <rPr>
            <b/>
            <sz val="9"/>
            <color indexed="81"/>
            <rFont val="Tahoma"/>
            <family val="2"/>
          </rPr>
          <t>LPA:</t>
        </r>
        <r>
          <rPr>
            <sz val="9"/>
            <color indexed="81"/>
            <rFont val="Tahoma"/>
            <family val="2"/>
          </rPr>
          <t xml:space="preserve">
проверити збир!
</t>
        </r>
      </text>
    </comment>
    <comment ref="I11424" authorId="0">
      <text>
        <r>
          <rPr>
            <b/>
            <sz val="9"/>
            <color indexed="81"/>
            <rFont val="Tahoma"/>
            <family val="2"/>
          </rPr>
          <t>LPA:</t>
        </r>
        <r>
          <rPr>
            <sz val="9"/>
            <color indexed="81"/>
            <rFont val="Tahoma"/>
            <family val="2"/>
          </rPr>
          <t xml:space="preserve">
проверити збир!
</t>
        </r>
      </text>
    </comment>
    <comment ref="I11425" authorId="0">
      <text>
        <r>
          <rPr>
            <b/>
            <sz val="9"/>
            <color indexed="81"/>
            <rFont val="Tahoma"/>
            <family val="2"/>
          </rPr>
          <t>LPA:</t>
        </r>
        <r>
          <rPr>
            <sz val="9"/>
            <color indexed="81"/>
            <rFont val="Tahoma"/>
            <family val="2"/>
          </rPr>
          <t xml:space="preserve">
проверити збир!
</t>
        </r>
      </text>
    </comment>
    <comment ref="I11426" authorId="0">
      <text>
        <r>
          <rPr>
            <b/>
            <sz val="9"/>
            <color indexed="81"/>
            <rFont val="Tahoma"/>
            <family val="2"/>
          </rPr>
          <t>LPA:</t>
        </r>
        <r>
          <rPr>
            <sz val="9"/>
            <color indexed="81"/>
            <rFont val="Tahoma"/>
            <family val="2"/>
          </rPr>
          <t xml:space="preserve">
проверити збир!
</t>
        </r>
      </text>
    </comment>
    <comment ref="I11427" authorId="0">
      <text>
        <r>
          <rPr>
            <b/>
            <sz val="9"/>
            <color indexed="81"/>
            <rFont val="Tahoma"/>
            <family val="2"/>
          </rPr>
          <t>LPA:</t>
        </r>
        <r>
          <rPr>
            <sz val="9"/>
            <color indexed="81"/>
            <rFont val="Tahoma"/>
            <family val="2"/>
          </rPr>
          <t xml:space="preserve">
проверити збир!
</t>
        </r>
      </text>
    </comment>
    <comment ref="I11428" authorId="0">
      <text>
        <r>
          <rPr>
            <b/>
            <sz val="9"/>
            <color indexed="81"/>
            <rFont val="Tahoma"/>
            <family val="2"/>
          </rPr>
          <t>LPA:</t>
        </r>
        <r>
          <rPr>
            <sz val="9"/>
            <color indexed="81"/>
            <rFont val="Tahoma"/>
            <family val="2"/>
          </rPr>
          <t xml:space="preserve">
проверити збир!
</t>
        </r>
      </text>
    </comment>
    <comment ref="I11429" authorId="0">
      <text>
        <r>
          <rPr>
            <b/>
            <sz val="9"/>
            <color indexed="81"/>
            <rFont val="Tahoma"/>
            <family val="2"/>
          </rPr>
          <t>LPA:</t>
        </r>
        <r>
          <rPr>
            <sz val="9"/>
            <color indexed="81"/>
            <rFont val="Tahoma"/>
            <family val="2"/>
          </rPr>
          <t xml:space="preserve">
проверити збир!
</t>
        </r>
      </text>
    </comment>
    <comment ref="I11430" authorId="0">
      <text>
        <r>
          <rPr>
            <b/>
            <sz val="9"/>
            <color indexed="81"/>
            <rFont val="Tahoma"/>
            <family val="2"/>
          </rPr>
          <t>LPA:</t>
        </r>
        <r>
          <rPr>
            <sz val="9"/>
            <color indexed="81"/>
            <rFont val="Tahoma"/>
            <family val="2"/>
          </rPr>
          <t xml:space="preserve">
проверити збир!
</t>
        </r>
      </text>
    </comment>
    <comment ref="I11431" authorId="0">
      <text>
        <r>
          <rPr>
            <b/>
            <sz val="9"/>
            <color indexed="81"/>
            <rFont val="Tahoma"/>
            <family val="2"/>
          </rPr>
          <t>LPA:</t>
        </r>
        <r>
          <rPr>
            <sz val="9"/>
            <color indexed="81"/>
            <rFont val="Tahoma"/>
            <family val="2"/>
          </rPr>
          <t xml:space="preserve">
проверити збир!
</t>
        </r>
      </text>
    </comment>
    <comment ref="I11432" authorId="0">
      <text>
        <r>
          <rPr>
            <b/>
            <sz val="9"/>
            <color indexed="81"/>
            <rFont val="Tahoma"/>
            <family val="2"/>
          </rPr>
          <t>LPA:</t>
        </r>
        <r>
          <rPr>
            <sz val="9"/>
            <color indexed="81"/>
            <rFont val="Tahoma"/>
            <family val="2"/>
          </rPr>
          <t xml:space="preserve">
проверити збир!
</t>
        </r>
      </text>
    </comment>
    <comment ref="I11433" authorId="0">
      <text>
        <r>
          <rPr>
            <b/>
            <sz val="9"/>
            <color indexed="81"/>
            <rFont val="Tahoma"/>
            <family val="2"/>
          </rPr>
          <t>LPA:</t>
        </r>
        <r>
          <rPr>
            <sz val="9"/>
            <color indexed="81"/>
            <rFont val="Tahoma"/>
            <family val="2"/>
          </rPr>
          <t xml:space="preserve">
проверити збир!
</t>
        </r>
      </text>
    </comment>
    <comment ref="I11502" authorId="0">
      <text>
        <r>
          <rPr>
            <b/>
            <sz val="9"/>
            <color indexed="81"/>
            <rFont val="Tahoma"/>
            <family val="2"/>
          </rPr>
          <t>LPA:</t>
        </r>
        <r>
          <rPr>
            <sz val="9"/>
            <color indexed="81"/>
            <rFont val="Tahoma"/>
            <family val="2"/>
          </rPr>
          <t xml:space="preserve">
проверити збир!
</t>
        </r>
      </text>
    </comment>
    <comment ref="I11503" authorId="0">
      <text>
        <r>
          <rPr>
            <b/>
            <sz val="9"/>
            <color indexed="81"/>
            <rFont val="Tahoma"/>
            <family val="2"/>
          </rPr>
          <t>LPA:</t>
        </r>
        <r>
          <rPr>
            <sz val="9"/>
            <color indexed="81"/>
            <rFont val="Tahoma"/>
            <family val="2"/>
          </rPr>
          <t xml:space="preserve">
проверити збир!
</t>
        </r>
      </text>
    </comment>
    <comment ref="I11504" authorId="0">
      <text>
        <r>
          <rPr>
            <b/>
            <sz val="9"/>
            <color indexed="81"/>
            <rFont val="Tahoma"/>
            <family val="2"/>
          </rPr>
          <t>LPA:</t>
        </r>
        <r>
          <rPr>
            <sz val="9"/>
            <color indexed="81"/>
            <rFont val="Tahoma"/>
            <family val="2"/>
          </rPr>
          <t xml:space="preserve">
проверити збир!
</t>
        </r>
      </text>
    </comment>
    <comment ref="I11505" authorId="0">
      <text>
        <r>
          <rPr>
            <b/>
            <sz val="9"/>
            <color indexed="81"/>
            <rFont val="Tahoma"/>
            <family val="2"/>
          </rPr>
          <t>LPA:</t>
        </r>
        <r>
          <rPr>
            <sz val="9"/>
            <color indexed="81"/>
            <rFont val="Tahoma"/>
            <family val="2"/>
          </rPr>
          <t xml:space="preserve">
проверити збир!
</t>
        </r>
      </text>
    </comment>
    <comment ref="I11506" authorId="0">
      <text>
        <r>
          <rPr>
            <b/>
            <sz val="9"/>
            <color indexed="81"/>
            <rFont val="Tahoma"/>
            <family val="2"/>
          </rPr>
          <t>LPA:</t>
        </r>
        <r>
          <rPr>
            <sz val="9"/>
            <color indexed="81"/>
            <rFont val="Tahoma"/>
            <family val="2"/>
          </rPr>
          <t xml:space="preserve">
проверити збир!
</t>
        </r>
      </text>
    </comment>
    <comment ref="I11507" authorId="0">
      <text>
        <r>
          <rPr>
            <b/>
            <sz val="9"/>
            <color indexed="81"/>
            <rFont val="Tahoma"/>
            <family val="2"/>
          </rPr>
          <t>LPA:</t>
        </r>
        <r>
          <rPr>
            <sz val="9"/>
            <color indexed="81"/>
            <rFont val="Tahoma"/>
            <family val="2"/>
          </rPr>
          <t xml:space="preserve">
проверити збир!
</t>
        </r>
      </text>
    </comment>
    <comment ref="I11508" authorId="0">
      <text>
        <r>
          <rPr>
            <b/>
            <sz val="9"/>
            <color indexed="81"/>
            <rFont val="Tahoma"/>
            <family val="2"/>
          </rPr>
          <t>LPA:</t>
        </r>
        <r>
          <rPr>
            <sz val="9"/>
            <color indexed="81"/>
            <rFont val="Tahoma"/>
            <family val="2"/>
          </rPr>
          <t xml:space="preserve">
проверити збир!
</t>
        </r>
      </text>
    </comment>
    <comment ref="I11509" authorId="0">
      <text>
        <r>
          <rPr>
            <b/>
            <sz val="9"/>
            <color indexed="81"/>
            <rFont val="Tahoma"/>
            <family val="2"/>
          </rPr>
          <t>LPA:</t>
        </r>
        <r>
          <rPr>
            <sz val="9"/>
            <color indexed="81"/>
            <rFont val="Tahoma"/>
            <family val="2"/>
          </rPr>
          <t xml:space="preserve">
проверити збир!
</t>
        </r>
      </text>
    </comment>
    <comment ref="I11510" authorId="0">
      <text>
        <r>
          <rPr>
            <b/>
            <sz val="9"/>
            <color indexed="81"/>
            <rFont val="Tahoma"/>
            <family val="2"/>
          </rPr>
          <t>LPA:</t>
        </r>
        <r>
          <rPr>
            <sz val="9"/>
            <color indexed="81"/>
            <rFont val="Tahoma"/>
            <family val="2"/>
          </rPr>
          <t xml:space="preserve">
проверити збир!
</t>
        </r>
      </text>
    </comment>
    <comment ref="I11511" authorId="0">
      <text>
        <r>
          <rPr>
            <b/>
            <sz val="9"/>
            <color indexed="81"/>
            <rFont val="Tahoma"/>
            <family val="2"/>
          </rPr>
          <t>LPA:</t>
        </r>
        <r>
          <rPr>
            <sz val="9"/>
            <color indexed="81"/>
            <rFont val="Tahoma"/>
            <family val="2"/>
          </rPr>
          <t xml:space="preserve">
проверити збир!
</t>
        </r>
      </text>
    </comment>
    <comment ref="I11512" authorId="0">
      <text>
        <r>
          <rPr>
            <b/>
            <sz val="9"/>
            <color indexed="81"/>
            <rFont val="Tahoma"/>
            <family val="2"/>
          </rPr>
          <t>LPA:</t>
        </r>
        <r>
          <rPr>
            <sz val="9"/>
            <color indexed="81"/>
            <rFont val="Tahoma"/>
            <family val="2"/>
          </rPr>
          <t xml:space="preserve">
проверити збир!
</t>
        </r>
      </text>
    </comment>
    <comment ref="I11513" authorId="0">
      <text>
        <r>
          <rPr>
            <b/>
            <sz val="9"/>
            <color indexed="81"/>
            <rFont val="Tahoma"/>
            <family val="2"/>
          </rPr>
          <t>LPA:</t>
        </r>
        <r>
          <rPr>
            <sz val="9"/>
            <color indexed="81"/>
            <rFont val="Tahoma"/>
            <family val="2"/>
          </rPr>
          <t xml:space="preserve">
проверити збир!
</t>
        </r>
      </text>
    </comment>
    <comment ref="I11514" authorId="0">
      <text>
        <r>
          <rPr>
            <b/>
            <sz val="9"/>
            <color indexed="81"/>
            <rFont val="Tahoma"/>
            <family val="2"/>
          </rPr>
          <t>LPA:</t>
        </r>
        <r>
          <rPr>
            <sz val="9"/>
            <color indexed="81"/>
            <rFont val="Tahoma"/>
            <family val="2"/>
          </rPr>
          <t xml:space="preserve">
проверити збир!
</t>
        </r>
      </text>
    </comment>
    <comment ref="H11517" authorId="0">
      <text>
        <r>
          <rPr>
            <b/>
            <sz val="9"/>
            <color indexed="81"/>
            <rFont val="Tahoma"/>
            <family val="2"/>
          </rPr>
          <t>LPA:</t>
        </r>
        <r>
          <rPr>
            <sz val="9"/>
            <color indexed="81"/>
            <rFont val="Tahoma"/>
            <family val="2"/>
          </rPr>
          <t xml:space="preserve">
проверити збир!</t>
        </r>
      </text>
    </comment>
    <comment ref="I11517" authorId="0">
      <text>
        <r>
          <rPr>
            <b/>
            <sz val="9"/>
            <color indexed="81"/>
            <rFont val="Tahoma"/>
            <family val="2"/>
          </rPr>
          <t>LPA:</t>
        </r>
        <r>
          <rPr>
            <sz val="9"/>
            <color indexed="81"/>
            <rFont val="Tahoma"/>
            <family val="2"/>
          </rPr>
          <t xml:space="preserve">
проверити збир!</t>
        </r>
      </text>
    </comment>
    <comment ref="I11518" authorId="0">
      <text>
        <r>
          <rPr>
            <b/>
            <sz val="9"/>
            <color indexed="81"/>
            <rFont val="Tahoma"/>
            <family val="2"/>
          </rPr>
          <t>LPA:</t>
        </r>
        <r>
          <rPr>
            <sz val="9"/>
            <color indexed="81"/>
            <rFont val="Tahoma"/>
            <family val="2"/>
          </rPr>
          <t xml:space="preserve">
проверити збир!
</t>
        </r>
      </text>
    </comment>
    <comment ref="I11519" authorId="0">
      <text>
        <r>
          <rPr>
            <b/>
            <sz val="9"/>
            <color indexed="81"/>
            <rFont val="Tahoma"/>
            <family val="2"/>
          </rPr>
          <t>LPA:</t>
        </r>
        <r>
          <rPr>
            <sz val="9"/>
            <color indexed="81"/>
            <rFont val="Tahoma"/>
            <family val="2"/>
          </rPr>
          <t xml:space="preserve">
проверити збир!
</t>
        </r>
      </text>
    </comment>
    <comment ref="I11520" authorId="0">
      <text>
        <r>
          <rPr>
            <b/>
            <sz val="9"/>
            <color indexed="81"/>
            <rFont val="Tahoma"/>
            <family val="2"/>
          </rPr>
          <t>LPA:</t>
        </r>
        <r>
          <rPr>
            <sz val="9"/>
            <color indexed="81"/>
            <rFont val="Tahoma"/>
            <family val="2"/>
          </rPr>
          <t xml:space="preserve">
проверити збир!
</t>
        </r>
      </text>
    </comment>
    <comment ref="I11521" authorId="0">
      <text>
        <r>
          <rPr>
            <b/>
            <sz val="9"/>
            <color indexed="81"/>
            <rFont val="Tahoma"/>
            <family val="2"/>
          </rPr>
          <t>LPA:</t>
        </r>
        <r>
          <rPr>
            <sz val="9"/>
            <color indexed="81"/>
            <rFont val="Tahoma"/>
            <family val="2"/>
          </rPr>
          <t xml:space="preserve">
проверити збир!
</t>
        </r>
      </text>
    </comment>
    <comment ref="I11522" authorId="0">
      <text>
        <r>
          <rPr>
            <b/>
            <sz val="9"/>
            <color indexed="81"/>
            <rFont val="Tahoma"/>
            <family val="2"/>
          </rPr>
          <t>LPA:</t>
        </r>
        <r>
          <rPr>
            <sz val="9"/>
            <color indexed="81"/>
            <rFont val="Tahoma"/>
            <family val="2"/>
          </rPr>
          <t xml:space="preserve">
проверити збир!
</t>
        </r>
      </text>
    </comment>
    <comment ref="I11523" authorId="0">
      <text>
        <r>
          <rPr>
            <b/>
            <sz val="9"/>
            <color indexed="81"/>
            <rFont val="Tahoma"/>
            <family val="2"/>
          </rPr>
          <t>LPA:</t>
        </r>
        <r>
          <rPr>
            <sz val="9"/>
            <color indexed="81"/>
            <rFont val="Tahoma"/>
            <family val="2"/>
          </rPr>
          <t xml:space="preserve">
проверити збир!
</t>
        </r>
      </text>
    </comment>
    <comment ref="I11524" authorId="0">
      <text>
        <r>
          <rPr>
            <b/>
            <sz val="9"/>
            <color indexed="81"/>
            <rFont val="Tahoma"/>
            <family val="2"/>
          </rPr>
          <t>LPA:</t>
        </r>
        <r>
          <rPr>
            <sz val="9"/>
            <color indexed="81"/>
            <rFont val="Tahoma"/>
            <family val="2"/>
          </rPr>
          <t xml:space="preserve">
проверити збир!
</t>
        </r>
      </text>
    </comment>
    <comment ref="I11525" authorId="0">
      <text>
        <r>
          <rPr>
            <b/>
            <sz val="9"/>
            <color indexed="81"/>
            <rFont val="Tahoma"/>
            <family val="2"/>
          </rPr>
          <t>LPA:</t>
        </r>
        <r>
          <rPr>
            <sz val="9"/>
            <color indexed="81"/>
            <rFont val="Tahoma"/>
            <family val="2"/>
          </rPr>
          <t xml:space="preserve">
проверити збир!
</t>
        </r>
      </text>
    </comment>
    <comment ref="I11526" authorId="0">
      <text>
        <r>
          <rPr>
            <b/>
            <sz val="9"/>
            <color indexed="81"/>
            <rFont val="Tahoma"/>
            <family val="2"/>
          </rPr>
          <t>LPA:</t>
        </r>
        <r>
          <rPr>
            <sz val="9"/>
            <color indexed="81"/>
            <rFont val="Tahoma"/>
            <family val="2"/>
          </rPr>
          <t xml:space="preserve">
проверити збир!
</t>
        </r>
      </text>
    </comment>
    <comment ref="I11527" authorId="0">
      <text>
        <r>
          <rPr>
            <b/>
            <sz val="9"/>
            <color indexed="81"/>
            <rFont val="Tahoma"/>
            <family val="2"/>
          </rPr>
          <t>LPA:</t>
        </r>
        <r>
          <rPr>
            <sz val="9"/>
            <color indexed="81"/>
            <rFont val="Tahoma"/>
            <family val="2"/>
          </rPr>
          <t xml:space="preserve">
проверити збир!
</t>
        </r>
      </text>
    </comment>
    <comment ref="I11528" authorId="0">
      <text>
        <r>
          <rPr>
            <b/>
            <sz val="9"/>
            <color indexed="81"/>
            <rFont val="Tahoma"/>
            <family val="2"/>
          </rPr>
          <t>LPA:</t>
        </r>
        <r>
          <rPr>
            <sz val="9"/>
            <color indexed="81"/>
            <rFont val="Tahoma"/>
            <family val="2"/>
          </rPr>
          <t xml:space="preserve">
проверити збир!
</t>
        </r>
      </text>
    </comment>
    <comment ref="I11529" authorId="0">
      <text>
        <r>
          <rPr>
            <b/>
            <sz val="9"/>
            <color indexed="81"/>
            <rFont val="Tahoma"/>
            <family val="2"/>
          </rPr>
          <t>LPA:</t>
        </r>
        <r>
          <rPr>
            <sz val="9"/>
            <color indexed="81"/>
            <rFont val="Tahoma"/>
            <family val="2"/>
          </rPr>
          <t xml:space="preserve">
проверити збир!
</t>
        </r>
      </text>
    </comment>
    <comment ref="I11530" authorId="0">
      <text>
        <r>
          <rPr>
            <b/>
            <sz val="9"/>
            <color indexed="81"/>
            <rFont val="Tahoma"/>
            <family val="2"/>
          </rPr>
          <t>LPA:</t>
        </r>
        <r>
          <rPr>
            <sz val="9"/>
            <color indexed="81"/>
            <rFont val="Tahoma"/>
            <family val="2"/>
          </rPr>
          <t xml:space="preserve">
проверити збир!
</t>
        </r>
      </text>
    </comment>
    <comment ref="I11531" authorId="0">
      <text>
        <r>
          <rPr>
            <b/>
            <sz val="9"/>
            <color indexed="81"/>
            <rFont val="Tahoma"/>
            <family val="2"/>
          </rPr>
          <t>LPA:</t>
        </r>
        <r>
          <rPr>
            <sz val="9"/>
            <color indexed="81"/>
            <rFont val="Tahoma"/>
            <family val="2"/>
          </rPr>
          <t xml:space="preserve">
проверити збир!
</t>
        </r>
      </text>
    </comment>
    <comment ref="I11532" authorId="0">
      <text>
        <r>
          <rPr>
            <b/>
            <sz val="9"/>
            <color indexed="81"/>
            <rFont val="Tahoma"/>
            <family val="2"/>
          </rPr>
          <t>LPA:</t>
        </r>
        <r>
          <rPr>
            <sz val="9"/>
            <color indexed="81"/>
            <rFont val="Tahoma"/>
            <family val="2"/>
          </rPr>
          <t xml:space="preserve">
проверити збир!
</t>
        </r>
      </text>
    </comment>
    <comment ref="H11537" authorId="0">
      <text>
        <r>
          <rPr>
            <b/>
            <sz val="9"/>
            <color indexed="81"/>
            <rFont val="Tahoma"/>
            <family val="2"/>
          </rPr>
          <t>LPA:</t>
        </r>
        <r>
          <rPr>
            <sz val="9"/>
            <color indexed="81"/>
            <rFont val="Tahoma"/>
            <family val="2"/>
          </rPr>
          <t xml:space="preserve">
проверити збир!</t>
        </r>
      </text>
    </comment>
    <comment ref="I11537" authorId="0">
      <text>
        <r>
          <rPr>
            <b/>
            <sz val="9"/>
            <color indexed="81"/>
            <rFont val="Tahoma"/>
            <family val="2"/>
          </rPr>
          <t>LPA:</t>
        </r>
        <r>
          <rPr>
            <sz val="9"/>
            <color indexed="81"/>
            <rFont val="Tahoma"/>
            <family val="2"/>
          </rPr>
          <t xml:space="preserve">
проверити збир!
</t>
        </r>
      </text>
    </comment>
    <comment ref="I11538" authorId="0">
      <text>
        <r>
          <rPr>
            <b/>
            <sz val="9"/>
            <color indexed="81"/>
            <rFont val="Tahoma"/>
            <family val="2"/>
          </rPr>
          <t>LPA:</t>
        </r>
        <r>
          <rPr>
            <sz val="9"/>
            <color indexed="81"/>
            <rFont val="Tahoma"/>
            <family val="2"/>
          </rPr>
          <t xml:space="preserve">
проверити збир!
</t>
        </r>
      </text>
    </comment>
    <comment ref="I11539" authorId="0">
      <text>
        <r>
          <rPr>
            <b/>
            <sz val="9"/>
            <color indexed="81"/>
            <rFont val="Tahoma"/>
            <family val="2"/>
          </rPr>
          <t>LPA:</t>
        </r>
        <r>
          <rPr>
            <sz val="9"/>
            <color indexed="81"/>
            <rFont val="Tahoma"/>
            <family val="2"/>
          </rPr>
          <t xml:space="preserve">
проверити збир!
</t>
        </r>
      </text>
    </comment>
    <comment ref="I11540" authorId="0">
      <text>
        <r>
          <rPr>
            <b/>
            <sz val="9"/>
            <color indexed="81"/>
            <rFont val="Tahoma"/>
            <family val="2"/>
          </rPr>
          <t>LPA:</t>
        </r>
        <r>
          <rPr>
            <sz val="9"/>
            <color indexed="81"/>
            <rFont val="Tahoma"/>
            <family val="2"/>
          </rPr>
          <t xml:space="preserve">
проверити збир!
</t>
        </r>
      </text>
    </comment>
    <comment ref="I11541" authorId="0">
      <text>
        <r>
          <rPr>
            <b/>
            <sz val="9"/>
            <color indexed="81"/>
            <rFont val="Tahoma"/>
            <family val="2"/>
          </rPr>
          <t>LPA:</t>
        </r>
        <r>
          <rPr>
            <sz val="9"/>
            <color indexed="81"/>
            <rFont val="Tahoma"/>
            <family val="2"/>
          </rPr>
          <t xml:space="preserve">
проверити збир!
</t>
        </r>
      </text>
    </comment>
    <comment ref="I11542" authorId="0">
      <text>
        <r>
          <rPr>
            <b/>
            <sz val="9"/>
            <color indexed="81"/>
            <rFont val="Tahoma"/>
            <family val="2"/>
          </rPr>
          <t>LPA:</t>
        </r>
        <r>
          <rPr>
            <sz val="9"/>
            <color indexed="81"/>
            <rFont val="Tahoma"/>
            <family val="2"/>
          </rPr>
          <t xml:space="preserve">
проверити збир!
</t>
        </r>
      </text>
    </comment>
    <comment ref="I11543" authorId="0">
      <text>
        <r>
          <rPr>
            <b/>
            <sz val="9"/>
            <color indexed="81"/>
            <rFont val="Tahoma"/>
            <family val="2"/>
          </rPr>
          <t>LPA:</t>
        </r>
        <r>
          <rPr>
            <sz val="9"/>
            <color indexed="81"/>
            <rFont val="Tahoma"/>
            <family val="2"/>
          </rPr>
          <t xml:space="preserve">
проверити збир!
</t>
        </r>
      </text>
    </comment>
    <comment ref="I11544" authorId="0">
      <text>
        <r>
          <rPr>
            <b/>
            <sz val="9"/>
            <color indexed="81"/>
            <rFont val="Tahoma"/>
            <family val="2"/>
          </rPr>
          <t>LPA:</t>
        </r>
        <r>
          <rPr>
            <sz val="9"/>
            <color indexed="81"/>
            <rFont val="Tahoma"/>
            <family val="2"/>
          </rPr>
          <t xml:space="preserve">
проверити збир!
</t>
        </r>
      </text>
    </comment>
    <comment ref="I11545" authorId="0">
      <text>
        <r>
          <rPr>
            <b/>
            <sz val="9"/>
            <color indexed="81"/>
            <rFont val="Tahoma"/>
            <family val="2"/>
          </rPr>
          <t>LPA:</t>
        </r>
        <r>
          <rPr>
            <sz val="9"/>
            <color indexed="81"/>
            <rFont val="Tahoma"/>
            <family val="2"/>
          </rPr>
          <t xml:space="preserve">
проверити збир!
</t>
        </r>
      </text>
    </comment>
    <comment ref="I11546" authorId="0">
      <text>
        <r>
          <rPr>
            <b/>
            <sz val="9"/>
            <color indexed="81"/>
            <rFont val="Tahoma"/>
            <family val="2"/>
          </rPr>
          <t>LPA:</t>
        </r>
        <r>
          <rPr>
            <sz val="9"/>
            <color indexed="81"/>
            <rFont val="Tahoma"/>
            <family val="2"/>
          </rPr>
          <t xml:space="preserve">
проверити збир!
</t>
        </r>
      </text>
    </comment>
    <comment ref="I11547" authorId="0">
      <text>
        <r>
          <rPr>
            <b/>
            <sz val="9"/>
            <color indexed="81"/>
            <rFont val="Tahoma"/>
            <family val="2"/>
          </rPr>
          <t>LPA:</t>
        </r>
        <r>
          <rPr>
            <sz val="9"/>
            <color indexed="81"/>
            <rFont val="Tahoma"/>
            <family val="2"/>
          </rPr>
          <t xml:space="preserve">
проверити збир!
</t>
        </r>
      </text>
    </comment>
    <comment ref="I11548" authorId="0">
      <text>
        <r>
          <rPr>
            <b/>
            <sz val="9"/>
            <color indexed="81"/>
            <rFont val="Tahoma"/>
            <family val="2"/>
          </rPr>
          <t>LPA:</t>
        </r>
        <r>
          <rPr>
            <sz val="9"/>
            <color indexed="81"/>
            <rFont val="Tahoma"/>
            <family val="2"/>
          </rPr>
          <t xml:space="preserve">
проверити збир!
</t>
        </r>
      </text>
    </comment>
    <comment ref="I11549" authorId="0">
      <text>
        <r>
          <rPr>
            <b/>
            <sz val="9"/>
            <color indexed="81"/>
            <rFont val="Tahoma"/>
            <family val="2"/>
          </rPr>
          <t>LPA:</t>
        </r>
        <r>
          <rPr>
            <sz val="9"/>
            <color indexed="81"/>
            <rFont val="Tahoma"/>
            <family val="2"/>
          </rPr>
          <t xml:space="preserve">
проверити збир!
</t>
        </r>
      </text>
    </comment>
    <comment ref="I11550" authorId="0">
      <text>
        <r>
          <rPr>
            <b/>
            <sz val="9"/>
            <color indexed="81"/>
            <rFont val="Tahoma"/>
            <family val="2"/>
          </rPr>
          <t>LPA:</t>
        </r>
        <r>
          <rPr>
            <sz val="9"/>
            <color indexed="81"/>
            <rFont val="Tahoma"/>
            <family val="2"/>
          </rPr>
          <t xml:space="preserve">
проверити збир!
</t>
        </r>
      </text>
    </comment>
    <comment ref="I11551" authorId="0">
      <text>
        <r>
          <rPr>
            <b/>
            <sz val="9"/>
            <color indexed="81"/>
            <rFont val="Tahoma"/>
            <family val="2"/>
          </rPr>
          <t>LPA:</t>
        </r>
        <r>
          <rPr>
            <sz val="9"/>
            <color indexed="81"/>
            <rFont val="Tahoma"/>
            <family val="2"/>
          </rPr>
          <t xml:space="preserve">
проверити збир!
</t>
        </r>
      </text>
    </comment>
    <comment ref="I11552" authorId="0">
      <text>
        <r>
          <rPr>
            <b/>
            <sz val="9"/>
            <color indexed="81"/>
            <rFont val="Tahoma"/>
            <family val="2"/>
          </rPr>
          <t>LPA:</t>
        </r>
        <r>
          <rPr>
            <sz val="9"/>
            <color indexed="81"/>
            <rFont val="Tahoma"/>
            <family val="2"/>
          </rPr>
          <t xml:space="preserve">
проверити збир!
</t>
        </r>
      </text>
    </comment>
    <comment ref="H11556" authorId="0">
      <text>
        <r>
          <rPr>
            <b/>
            <sz val="9"/>
            <color indexed="81"/>
            <rFont val="Tahoma"/>
            <family val="2"/>
          </rPr>
          <t>LPA:</t>
        </r>
        <r>
          <rPr>
            <sz val="9"/>
            <color indexed="81"/>
            <rFont val="Tahoma"/>
            <family val="2"/>
          </rPr>
          <t xml:space="preserve">
провери збир!</t>
        </r>
      </text>
    </comment>
    <comment ref="I11556" authorId="0">
      <text>
        <r>
          <rPr>
            <b/>
            <sz val="9"/>
            <color indexed="81"/>
            <rFont val="Tahoma"/>
            <family val="2"/>
          </rPr>
          <t>LPA:</t>
        </r>
        <r>
          <rPr>
            <sz val="9"/>
            <color indexed="81"/>
            <rFont val="Tahoma"/>
            <family val="2"/>
          </rPr>
          <t xml:space="preserve">
проверити збир!
</t>
        </r>
      </text>
    </comment>
    <comment ref="I11557" authorId="0">
      <text>
        <r>
          <rPr>
            <b/>
            <sz val="9"/>
            <color indexed="81"/>
            <rFont val="Tahoma"/>
            <family val="2"/>
          </rPr>
          <t>LPA:</t>
        </r>
        <r>
          <rPr>
            <sz val="9"/>
            <color indexed="81"/>
            <rFont val="Tahoma"/>
            <family val="2"/>
          </rPr>
          <t xml:space="preserve">
проверити збир!
</t>
        </r>
      </text>
    </comment>
    <comment ref="I11558" authorId="0">
      <text>
        <r>
          <rPr>
            <b/>
            <sz val="9"/>
            <color indexed="81"/>
            <rFont val="Tahoma"/>
            <family val="2"/>
          </rPr>
          <t>LPA:</t>
        </r>
        <r>
          <rPr>
            <sz val="9"/>
            <color indexed="81"/>
            <rFont val="Tahoma"/>
            <family val="2"/>
          </rPr>
          <t xml:space="preserve">
проверити збир!
</t>
        </r>
      </text>
    </comment>
    <comment ref="I11559" authorId="0">
      <text>
        <r>
          <rPr>
            <b/>
            <sz val="9"/>
            <color indexed="81"/>
            <rFont val="Tahoma"/>
            <family val="2"/>
          </rPr>
          <t>LPA:</t>
        </r>
        <r>
          <rPr>
            <sz val="9"/>
            <color indexed="81"/>
            <rFont val="Tahoma"/>
            <family val="2"/>
          </rPr>
          <t xml:space="preserve">
проверити збир!
</t>
        </r>
      </text>
    </comment>
    <comment ref="I11560" authorId="0">
      <text>
        <r>
          <rPr>
            <b/>
            <sz val="9"/>
            <color indexed="81"/>
            <rFont val="Tahoma"/>
            <family val="2"/>
          </rPr>
          <t>LPA:</t>
        </r>
        <r>
          <rPr>
            <sz val="9"/>
            <color indexed="81"/>
            <rFont val="Tahoma"/>
            <family val="2"/>
          </rPr>
          <t xml:space="preserve">
проверити збир!
</t>
        </r>
      </text>
    </comment>
    <comment ref="I11561" authorId="0">
      <text>
        <r>
          <rPr>
            <b/>
            <sz val="9"/>
            <color indexed="81"/>
            <rFont val="Tahoma"/>
            <family val="2"/>
          </rPr>
          <t>LPA:</t>
        </r>
        <r>
          <rPr>
            <sz val="9"/>
            <color indexed="81"/>
            <rFont val="Tahoma"/>
            <family val="2"/>
          </rPr>
          <t xml:space="preserve">
проверити збир!
</t>
        </r>
      </text>
    </comment>
    <comment ref="I11562" authorId="0">
      <text>
        <r>
          <rPr>
            <b/>
            <sz val="9"/>
            <color indexed="81"/>
            <rFont val="Tahoma"/>
            <family val="2"/>
          </rPr>
          <t>LPA:</t>
        </r>
        <r>
          <rPr>
            <sz val="9"/>
            <color indexed="81"/>
            <rFont val="Tahoma"/>
            <family val="2"/>
          </rPr>
          <t xml:space="preserve">
проверити збир!
</t>
        </r>
      </text>
    </comment>
    <comment ref="I11563" authorId="0">
      <text>
        <r>
          <rPr>
            <b/>
            <sz val="9"/>
            <color indexed="81"/>
            <rFont val="Tahoma"/>
            <family val="2"/>
          </rPr>
          <t>LPA:</t>
        </r>
        <r>
          <rPr>
            <sz val="9"/>
            <color indexed="81"/>
            <rFont val="Tahoma"/>
            <family val="2"/>
          </rPr>
          <t xml:space="preserve">
проверити збир!
</t>
        </r>
      </text>
    </comment>
    <comment ref="I11564" authorId="0">
      <text>
        <r>
          <rPr>
            <b/>
            <sz val="9"/>
            <color indexed="81"/>
            <rFont val="Tahoma"/>
            <family val="2"/>
          </rPr>
          <t>LPA:</t>
        </r>
        <r>
          <rPr>
            <sz val="9"/>
            <color indexed="81"/>
            <rFont val="Tahoma"/>
            <family val="2"/>
          </rPr>
          <t xml:space="preserve">
проверити збир!
</t>
        </r>
      </text>
    </comment>
    <comment ref="I11565" authorId="0">
      <text>
        <r>
          <rPr>
            <b/>
            <sz val="9"/>
            <color indexed="81"/>
            <rFont val="Tahoma"/>
            <family val="2"/>
          </rPr>
          <t>LPA:</t>
        </r>
        <r>
          <rPr>
            <sz val="9"/>
            <color indexed="81"/>
            <rFont val="Tahoma"/>
            <family val="2"/>
          </rPr>
          <t xml:space="preserve">
проверити збир!
</t>
        </r>
      </text>
    </comment>
    <comment ref="I11566" authorId="0">
      <text>
        <r>
          <rPr>
            <b/>
            <sz val="9"/>
            <color indexed="81"/>
            <rFont val="Tahoma"/>
            <family val="2"/>
          </rPr>
          <t>LPA:</t>
        </r>
        <r>
          <rPr>
            <sz val="9"/>
            <color indexed="81"/>
            <rFont val="Tahoma"/>
            <family val="2"/>
          </rPr>
          <t xml:space="preserve">
проверити збир!
</t>
        </r>
      </text>
    </comment>
    <comment ref="I11567" authorId="0">
      <text>
        <r>
          <rPr>
            <b/>
            <sz val="9"/>
            <color indexed="81"/>
            <rFont val="Tahoma"/>
            <family val="2"/>
          </rPr>
          <t>LPA:</t>
        </r>
        <r>
          <rPr>
            <sz val="9"/>
            <color indexed="81"/>
            <rFont val="Tahoma"/>
            <family val="2"/>
          </rPr>
          <t xml:space="preserve">
проверити збир!
</t>
        </r>
      </text>
    </comment>
    <comment ref="I11568" authorId="0">
      <text>
        <r>
          <rPr>
            <b/>
            <sz val="9"/>
            <color indexed="81"/>
            <rFont val="Tahoma"/>
            <family val="2"/>
          </rPr>
          <t>LPA:</t>
        </r>
        <r>
          <rPr>
            <sz val="9"/>
            <color indexed="81"/>
            <rFont val="Tahoma"/>
            <family val="2"/>
          </rPr>
          <t xml:space="preserve">
проверити збир!
</t>
        </r>
      </text>
    </comment>
    <comment ref="I11569" authorId="0">
      <text>
        <r>
          <rPr>
            <b/>
            <sz val="9"/>
            <color indexed="81"/>
            <rFont val="Tahoma"/>
            <family val="2"/>
          </rPr>
          <t>LPA:</t>
        </r>
        <r>
          <rPr>
            <sz val="9"/>
            <color indexed="81"/>
            <rFont val="Tahoma"/>
            <family val="2"/>
          </rPr>
          <t xml:space="preserve">
проверити збир!
</t>
        </r>
      </text>
    </comment>
    <comment ref="I11570" authorId="0">
      <text>
        <r>
          <rPr>
            <b/>
            <sz val="9"/>
            <color indexed="81"/>
            <rFont val="Tahoma"/>
            <family val="2"/>
          </rPr>
          <t>LPA:</t>
        </r>
        <r>
          <rPr>
            <sz val="9"/>
            <color indexed="81"/>
            <rFont val="Tahoma"/>
            <family val="2"/>
          </rPr>
          <t xml:space="preserve">
проверити збир!
</t>
        </r>
      </text>
    </comment>
    <comment ref="I11571" authorId="0">
      <text>
        <r>
          <rPr>
            <b/>
            <sz val="9"/>
            <color indexed="81"/>
            <rFont val="Tahoma"/>
            <family val="2"/>
          </rPr>
          <t>LPA:</t>
        </r>
        <r>
          <rPr>
            <sz val="9"/>
            <color indexed="81"/>
            <rFont val="Tahoma"/>
            <family val="2"/>
          </rPr>
          <t xml:space="preserve">
проверити збир!
</t>
        </r>
      </text>
    </comment>
    <comment ref="I11642" authorId="0">
      <text>
        <r>
          <rPr>
            <b/>
            <sz val="9"/>
            <color indexed="81"/>
            <rFont val="Tahoma"/>
            <family val="2"/>
          </rPr>
          <t>LPA:</t>
        </r>
        <r>
          <rPr>
            <sz val="9"/>
            <color indexed="81"/>
            <rFont val="Tahoma"/>
            <family val="2"/>
          </rPr>
          <t xml:space="preserve">
проверити збир!
</t>
        </r>
      </text>
    </comment>
    <comment ref="I11643" authorId="0">
      <text>
        <r>
          <rPr>
            <b/>
            <sz val="9"/>
            <color indexed="81"/>
            <rFont val="Tahoma"/>
            <family val="2"/>
          </rPr>
          <t>LPA:</t>
        </r>
        <r>
          <rPr>
            <sz val="9"/>
            <color indexed="81"/>
            <rFont val="Tahoma"/>
            <family val="2"/>
          </rPr>
          <t xml:space="preserve">
проверити збир!
</t>
        </r>
      </text>
    </comment>
    <comment ref="I11644" authorId="0">
      <text>
        <r>
          <rPr>
            <b/>
            <sz val="9"/>
            <color indexed="81"/>
            <rFont val="Tahoma"/>
            <family val="2"/>
          </rPr>
          <t>LPA:</t>
        </r>
        <r>
          <rPr>
            <sz val="9"/>
            <color indexed="81"/>
            <rFont val="Tahoma"/>
            <family val="2"/>
          </rPr>
          <t xml:space="preserve">
проверити збир!
</t>
        </r>
      </text>
    </comment>
    <comment ref="I11645" authorId="0">
      <text>
        <r>
          <rPr>
            <b/>
            <sz val="9"/>
            <color indexed="81"/>
            <rFont val="Tahoma"/>
            <family val="2"/>
          </rPr>
          <t>LPA:</t>
        </r>
        <r>
          <rPr>
            <sz val="9"/>
            <color indexed="81"/>
            <rFont val="Tahoma"/>
            <family val="2"/>
          </rPr>
          <t xml:space="preserve">
проверити збир!
</t>
        </r>
      </text>
    </comment>
    <comment ref="I11646" authorId="0">
      <text>
        <r>
          <rPr>
            <b/>
            <sz val="9"/>
            <color indexed="81"/>
            <rFont val="Tahoma"/>
            <family val="2"/>
          </rPr>
          <t>LPA:</t>
        </r>
        <r>
          <rPr>
            <sz val="9"/>
            <color indexed="81"/>
            <rFont val="Tahoma"/>
            <family val="2"/>
          </rPr>
          <t xml:space="preserve">
проверити збир!
</t>
        </r>
      </text>
    </comment>
    <comment ref="I11647" authorId="0">
      <text>
        <r>
          <rPr>
            <b/>
            <sz val="9"/>
            <color indexed="81"/>
            <rFont val="Tahoma"/>
            <family val="2"/>
          </rPr>
          <t>LPA:</t>
        </r>
        <r>
          <rPr>
            <sz val="9"/>
            <color indexed="81"/>
            <rFont val="Tahoma"/>
            <family val="2"/>
          </rPr>
          <t xml:space="preserve">
проверити збир!
</t>
        </r>
      </text>
    </comment>
    <comment ref="I11648" authorId="0">
      <text>
        <r>
          <rPr>
            <b/>
            <sz val="9"/>
            <color indexed="81"/>
            <rFont val="Tahoma"/>
            <family val="2"/>
          </rPr>
          <t>LPA:</t>
        </r>
        <r>
          <rPr>
            <sz val="9"/>
            <color indexed="81"/>
            <rFont val="Tahoma"/>
            <family val="2"/>
          </rPr>
          <t xml:space="preserve">
проверити збир!
</t>
        </r>
      </text>
    </comment>
    <comment ref="I11649" authorId="0">
      <text>
        <r>
          <rPr>
            <b/>
            <sz val="9"/>
            <color indexed="81"/>
            <rFont val="Tahoma"/>
            <family val="2"/>
          </rPr>
          <t>LPA:</t>
        </r>
        <r>
          <rPr>
            <sz val="9"/>
            <color indexed="81"/>
            <rFont val="Tahoma"/>
            <family val="2"/>
          </rPr>
          <t xml:space="preserve">
проверити збир!
</t>
        </r>
      </text>
    </comment>
    <comment ref="I11650" authorId="0">
      <text>
        <r>
          <rPr>
            <b/>
            <sz val="9"/>
            <color indexed="81"/>
            <rFont val="Tahoma"/>
            <family val="2"/>
          </rPr>
          <t>LPA:</t>
        </r>
        <r>
          <rPr>
            <sz val="9"/>
            <color indexed="81"/>
            <rFont val="Tahoma"/>
            <family val="2"/>
          </rPr>
          <t xml:space="preserve">
проверити збир!
</t>
        </r>
      </text>
    </comment>
    <comment ref="I11651" authorId="0">
      <text>
        <r>
          <rPr>
            <b/>
            <sz val="9"/>
            <color indexed="81"/>
            <rFont val="Tahoma"/>
            <family val="2"/>
          </rPr>
          <t>LPA:</t>
        </r>
        <r>
          <rPr>
            <sz val="9"/>
            <color indexed="81"/>
            <rFont val="Tahoma"/>
            <family val="2"/>
          </rPr>
          <t xml:space="preserve">
проверити збир!
</t>
        </r>
      </text>
    </comment>
    <comment ref="I11652" authorId="0">
      <text>
        <r>
          <rPr>
            <b/>
            <sz val="9"/>
            <color indexed="81"/>
            <rFont val="Tahoma"/>
            <family val="2"/>
          </rPr>
          <t>LPA:</t>
        </r>
        <r>
          <rPr>
            <sz val="9"/>
            <color indexed="81"/>
            <rFont val="Tahoma"/>
            <family val="2"/>
          </rPr>
          <t xml:space="preserve">
проверити збир!
</t>
        </r>
      </text>
    </comment>
    <comment ref="I11653" authorId="0">
      <text>
        <r>
          <rPr>
            <b/>
            <sz val="9"/>
            <color indexed="81"/>
            <rFont val="Tahoma"/>
            <family val="2"/>
          </rPr>
          <t>LPA:</t>
        </r>
        <r>
          <rPr>
            <sz val="9"/>
            <color indexed="81"/>
            <rFont val="Tahoma"/>
            <family val="2"/>
          </rPr>
          <t xml:space="preserve">
проверити збир!
</t>
        </r>
      </text>
    </comment>
    <comment ref="I11654" authorId="0">
      <text>
        <r>
          <rPr>
            <b/>
            <sz val="9"/>
            <color indexed="81"/>
            <rFont val="Tahoma"/>
            <family val="2"/>
          </rPr>
          <t>LPA:</t>
        </r>
        <r>
          <rPr>
            <sz val="9"/>
            <color indexed="81"/>
            <rFont val="Tahoma"/>
            <family val="2"/>
          </rPr>
          <t xml:space="preserve">
проверити збир!
</t>
        </r>
      </text>
    </comment>
    <comment ref="H11657" authorId="0">
      <text>
        <r>
          <rPr>
            <b/>
            <sz val="9"/>
            <color indexed="81"/>
            <rFont val="Tahoma"/>
            <family val="2"/>
          </rPr>
          <t>LPA:</t>
        </r>
        <r>
          <rPr>
            <sz val="9"/>
            <color indexed="81"/>
            <rFont val="Tahoma"/>
            <family val="2"/>
          </rPr>
          <t xml:space="preserve">
проверити збир!</t>
        </r>
      </text>
    </comment>
    <comment ref="I11657" authorId="0">
      <text>
        <r>
          <rPr>
            <b/>
            <sz val="9"/>
            <color indexed="81"/>
            <rFont val="Tahoma"/>
            <family val="2"/>
          </rPr>
          <t>LPA:</t>
        </r>
        <r>
          <rPr>
            <sz val="9"/>
            <color indexed="81"/>
            <rFont val="Tahoma"/>
            <family val="2"/>
          </rPr>
          <t xml:space="preserve">
проверити збир!</t>
        </r>
      </text>
    </comment>
    <comment ref="I11658" authorId="0">
      <text>
        <r>
          <rPr>
            <b/>
            <sz val="9"/>
            <color indexed="81"/>
            <rFont val="Tahoma"/>
            <family val="2"/>
          </rPr>
          <t>LPA:</t>
        </r>
        <r>
          <rPr>
            <sz val="9"/>
            <color indexed="81"/>
            <rFont val="Tahoma"/>
            <family val="2"/>
          </rPr>
          <t xml:space="preserve">
проверити збир!
</t>
        </r>
      </text>
    </comment>
    <comment ref="I11659" authorId="0">
      <text>
        <r>
          <rPr>
            <b/>
            <sz val="9"/>
            <color indexed="81"/>
            <rFont val="Tahoma"/>
            <family val="2"/>
          </rPr>
          <t>LPA:</t>
        </r>
        <r>
          <rPr>
            <sz val="9"/>
            <color indexed="81"/>
            <rFont val="Tahoma"/>
            <family val="2"/>
          </rPr>
          <t xml:space="preserve">
проверити збир!
</t>
        </r>
      </text>
    </comment>
    <comment ref="I11660" authorId="0">
      <text>
        <r>
          <rPr>
            <b/>
            <sz val="9"/>
            <color indexed="81"/>
            <rFont val="Tahoma"/>
            <family val="2"/>
          </rPr>
          <t>LPA:</t>
        </r>
        <r>
          <rPr>
            <sz val="9"/>
            <color indexed="81"/>
            <rFont val="Tahoma"/>
            <family val="2"/>
          </rPr>
          <t xml:space="preserve">
проверити збир!
</t>
        </r>
      </text>
    </comment>
    <comment ref="I11661" authorId="0">
      <text>
        <r>
          <rPr>
            <b/>
            <sz val="9"/>
            <color indexed="81"/>
            <rFont val="Tahoma"/>
            <family val="2"/>
          </rPr>
          <t>LPA:</t>
        </r>
        <r>
          <rPr>
            <sz val="9"/>
            <color indexed="81"/>
            <rFont val="Tahoma"/>
            <family val="2"/>
          </rPr>
          <t xml:space="preserve">
проверити збир!
</t>
        </r>
      </text>
    </comment>
    <comment ref="I11662" authorId="0">
      <text>
        <r>
          <rPr>
            <b/>
            <sz val="9"/>
            <color indexed="81"/>
            <rFont val="Tahoma"/>
            <family val="2"/>
          </rPr>
          <t>LPA:</t>
        </r>
        <r>
          <rPr>
            <sz val="9"/>
            <color indexed="81"/>
            <rFont val="Tahoma"/>
            <family val="2"/>
          </rPr>
          <t xml:space="preserve">
проверити збир!
</t>
        </r>
      </text>
    </comment>
    <comment ref="I11663" authorId="0">
      <text>
        <r>
          <rPr>
            <b/>
            <sz val="9"/>
            <color indexed="81"/>
            <rFont val="Tahoma"/>
            <family val="2"/>
          </rPr>
          <t>LPA:</t>
        </r>
        <r>
          <rPr>
            <sz val="9"/>
            <color indexed="81"/>
            <rFont val="Tahoma"/>
            <family val="2"/>
          </rPr>
          <t xml:space="preserve">
проверити збир!
</t>
        </r>
      </text>
    </comment>
    <comment ref="I11664" authorId="0">
      <text>
        <r>
          <rPr>
            <b/>
            <sz val="9"/>
            <color indexed="81"/>
            <rFont val="Tahoma"/>
            <family val="2"/>
          </rPr>
          <t>LPA:</t>
        </r>
        <r>
          <rPr>
            <sz val="9"/>
            <color indexed="81"/>
            <rFont val="Tahoma"/>
            <family val="2"/>
          </rPr>
          <t xml:space="preserve">
проверити збир!
</t>
        </r>
      </text>
    </comment>
    <comment ref="I11665" authorId="0">
      <text>
        <r>
          <rPr>
            <b/>
            <sz val="9"/>
            <color indexed="81"/>
            <rFont val="Tahoma"/>
            <family val="2"/>
          </rPr>
          <t>LPA:</t>
        </r>
        <r>
          <rPr>
            <sz val="9"/>
            <color indexed="81"/>
            <rFont val="Tahoma"/>
            <family val="2"/>
          </rPr>
          <t xml:space="preserve">
проверити збир!
</t>
        </r>
      </text>
    </comment>
    <comment ref="I11666" authorId="0">
      <text>
        <r>
          <rPr>
            <b/>
            <sz val="9"/>
            <color indexed="81"/>
            <rFont val="Tahoma"/>
            <family val="2"/>
          </rPr>
          <t>LPA:</t>
        </r>
        <r>
          <rPr>
            <sz val="9"/>
            <color indexed="81"/>
            <rFont val="Tahoma"/>
            <family val="2"/>
          </rPr>
          <t xml:space="preserve">
проверити збир!
</t>
        </r>
      </text>
    </comment>
    <comment ref="I11667" authorId="0">
      <text>
        <r>
          <rPr>
            <b/>
            <sz val="9"/>
            <color indexed="81"/>
            <rFont val="Tahoma"/>
            <family val="2"/>
          </rPr>
          <t>LPA:</t>
        </r>
        <r>
          <rPr>
            <sz val="9"/>
            <color indexed="81"/>
            <rFont val="Tahoma"/>
            <family val="2"/>
          </rPr>
          <t xml:space="preserve">
проверити збир!
</t>
        </r>
      </text>
    </comment>
    <comment ref="I11668" authorId="0">
      <text>
        <r>
          <rPr>
            <b/>
            <sz val="9"/>
            <color indexed="81"/>
            <rFont val="Tahoma"/>
            <family val="2"/>
          </rPr>
          <t>LPA:</t>
        </r>
        <r>
          <rPr>
            <sz val="9"/>
            <color indexed="81"/>
            <rFont val="Tahoma"/>
            <family val="2"/>
          </rPr>
          <t xml:space="preserve">
проверити збир!
</t>
        </r>
      </text>
    </comment>
    <comment ref="I11669" authorId="0">
      <text>
        <r>
          <rPr>
            <b/>
            <sz val="9"/>
            <color indexed="81"/>
            <rFont val="Tahoma"/>
            <family val="2"/>
          </rPr>
          <t>LPA:</t>
        </r>
        <r>
          <rPr>
            <sz val="9"/>
            <color indexed="81"/>
            <rFont val="Tahoma"/>
            <family val="2"/>
          </rPr>
          <t xml:space="preserve">
проверити збир!
</t>
        </r>
      </text>
    </comment>
    <comment ref="I11670" authorId="0">
      <text>
        <r>
          <rPr>
            <b/>
            <sz val="9"/>
            <color indexed="81"/>
            <rFont val="Tahoma"/>
            <family val="2"/>
          </rPr>
          <t>LPA:</t>
        </r>
        <r>
          <rPr>
            <sz val="9"/>
            <color indexed="81"/>
            <rFont val="Tahoma"/>
            <family val="2"/>
          </rPr>
          <t xml:space="preserve">
проверити збир!
</t>
        </r>
      </text>
    </comment>
    <comment ref="I11671" authorId="0">
      <text>
        <r>
          <rPr>
            <b/>
            <sz val="9"/>
            <color indexed="81"/>
            <rFont val="Tahoma"/>
            <family val="2"/>
          </rPr>
          <t>LPA:</t>
        </r>
        <r>
          <rPr>
            <sz val="9"/>
            <color indexed="81"/>
            <rFont val="Tahoma"/>
            <family val="2"/>
          </rPr>
          <t xml:space="preserve">
проверити збир!
</t>
        </r>
      </text>
    </comment>
    <comment ref="I11672" authorId="0">
      <text>
        <r>
          <rPr>
            <b/>
            <sz val="9"/>
            <color indexed="81"/>
            <rFont val="Tahoma"/>
            <family val="2"/>
          </rPr>
          <t>LPA:</t>
        </r>
        <r>
          <rPr>
            <sz val="9"/>
            <color indexed="81"/>
            <rFont val="Tahoma"/>
            <family val="2"/>
          </rPr>
          <t xml:space="preserve">
проверити збир!
</t>
        </r>
      </text>
    </comment>
    <comment ref="I11741" authorId="0">
      <text>
        <r>
          <rPr>
            <b/>
            <sz val="9"/>
            <color indexed="81"/>
            <rFont val="Tahoma"/>
            <family val="2"/>
          </rPr>
          <t>LPA:</t>
        </r>
        <r>
          <rPr>
            <sz val="9"/>
            <color indexed="81"/>
            <rFont val="Tahoma"/>
            <family val="2"/>
          </rPr>
          <t xml:space="preserve">
проверити збир!
</t>
        </r>
      </text>
    </comment>
    <comment ref="I11742" authorId="0">
      <text>
        <r>
          <rPr>
            <b/>
            <sz val="9"/>
            <color indexed="81"/>
            <rFont val="Tahoma"/>
            <family val="2"/>
          </rPr>
          <t>LPA:</t>
        </r>
        <r>
          <rPr>
            <sz val="9"/>
            <color indexed="81"/>
            <rFont val="Tahoma"/>
            <family val="2"/>
          </rPr>
          <t xml:space="preserve">
проверити збир!
</t>
        </r>
      </text>
    </comment>
    <comment ref="I11743" authorId="0">
      <text>
        <r>
          <rPr>
            <b/>
            <sz val="9"/>
            <color indexed="81"/>
            <rFont val="Tahoma"/>
            <family val="2"/>
          </rPr>
          <t>LPA:</t>
        </r>
        <r>
          <rPr>
            <sz val="9"/>
            <color indexed="81"/>
            <rFont val="Tahoma"/>
            <family val="2"/>
          </rPr>
          <t xml:space="preserve">
проверити збир!
</t>
        </r>
      </text>
    </comment>
    <comment ref="I11744" authorId="0">
      <text>
        <r>
          <rPr>
            <b/>
            <sz val="9"/>
            <color indexed="81"/>
            <rFont val="Tahoma"/>
            <family val="2"/>
          </rPr>
          <t>LPA:</t>
        </r>
        <r>
          <rPr>
            <sz val="9"/>
            <color indexed="81"/>
            <rFont val="Tahoma"/>
            <family val="2"/>
          </rPr>
          <t xml:space="preserve">
проверити збир!
</t>
        </r>
      </text>
    </comment>
    <comment ref="I11745" authorId="0">
      <text>
        <r>
          <rPr>
            <b/>
            <sz val="9"/>
            <color indexed="81"/>
            <rFont val="Tahoma"/>
            <family val="2"/>
          </rPr>
          <t>LPA:</t>
        </r>
        <r>
          <rPr>
            <sz val="9"/>
            <color indexed="81"/>
            <rFont val="Tahoma"/>
            <family val="2"/>
          </rPr>
          <t xml:space="preserve">
проверити збир!
</t>
        </r>
      </text>
    </comment>
    <comment ref="I11746" authorId="0">
      <text>
        <r>
          <rPr>
            <b/>
            <sz val="9"/>
            <color indexed="81"/>
            <rFont val="Tahoma"/>
            <family val="2"/>
          </rPr>
          <t>LPA:</t>
        </r>
        <r>
          <rPr>
            <sz val="9"/>
            <color indexed="81"/>
            <rFont val="Tahoma"/>
            <family val="2"/>
          </rPr>
          <t xml:space="preserve">
проверити збир!
</t>
        </r>
      </text>
    </comment>
    <comment ref="I11747" authorId="0">
      <text>
        <r>
          <rPr>
            <b/>
            <sz val="9"/>
            <color indexed="81"/>
            <rFont val="Tahoma"/>
            <family val="2"/>
          </rPr>
          <t>LPA:</t>
        </r>
        <r>
          <rPr>
            <sz val="9"/>
            <color indexed="81"/>
            <rFont val="Tahoma"/>
            <family val="2"/>
          </rPr>
          <t xml:space="preserve">
проверити збир!
</t>
        </r>
      </text>
    </comment>
    <comment ref="I11748" authorId="0">
      <text>
        <r>
          <rPr>
            <b/>
            <sz val="9"/>
            <color indexed="81"/>
            <rFont val="Tahoma"/>
            <family val="2"/>
          </rPr>
          <t>LPA:</t>
        </r>
        <r>
          <rPr>
            <sz val="9"/>
            <color indexed="81"/>
            <rFont val="Tahoma"/>
            <family val="2"/>
          </rPr>
          <t xml:space="preserve">
проверити збир!
</t>
        </r>
      </text>
    </comment>
    <comment ref="I11749" authorId="0">
      <text>
        <r>
          <rPr>
            <b/>
            <sz val="9"/>
            <color indexed="81"/>
            <rFont val="Tahoma"/>
            <family val="2"/>
          </rPr>
          <t>LPA:</t>
        </r>
        <r>
          <rPr>
            <sz val="9"/>
            <color indexed="81"/>
            <rFont val="Tahoma"/>
            <family val="2"/>
          </rPr>
          <t xml:space="preserve">
проверити збир!
</t>
        </r>
      </text>
    </comment>
    <comment ref="I11750" authorId="0">
      <text>
        <r>
          <rPr>
            <b/>
            <sz val="9"/>
            <color indexed="81"/>
            <rFont val="Tahoma"/>
            <family val="2"/>
          </rPr>
          <t>LPA:</t>
        </r>
        <r>
          <rPr>
            <sz val="9"/>
            <color indexed="81"/>
            <rFont val="Tahoma"/>
            <family val="2"/>
          </rPr>
          <t xml:space="preserve">
проверити збир!
</t>
        </r>
      </text>
    </comment>
    <comment ref="I11751" authorId="0">
      <text>
        <r>
          <rPr>
            <b/>
            <sz val="9"/>
            <color indexed="81"/>
            <rFont val="Tahoma"/>
            <family val="2"/>
          </rPr>
          <t>LPA:</t>
        </r>
        <r>
          <rPr>
            <sz val="9"/>
            <color indexed="81"/>
            <rFont val="Tahoma"/>
            <family val="2"/>
          </rPr>
          <t xml:space="preserve">
проверити збир!
</t>
        </r>
      </text>
    </comment>
    <comment ref="I11752" authorId="0">
      <text>
        <r>
          <rPr>
            <b/>
            <sz val="9"/>
            <color indexed="81"/>
            <rFont val="Tahoma"/>
            <family val="2"/>
          </rPr>
          <t>LPA:</t>
        </r>
        <r>
          <rPr>
            <sz val="9"/>
            <color indexed="81"/>
            <rFont val="Tahoma"/>
            <family val="2"/>
          </rPr>
          <t xml:space="preserve">
проверити збир!
</t>
        </r>
      </text>
    </comment>
    <comment ref="I11753" authorId="0">
      <text>
        <r>
          <rPr>
            <b/>
            <sz val="9"/>
            <color indexed="81"/>
            <rFont val="Tahoma"/>
            <family val="2"/>
          </rPr>
          <t>LPA:</t>
        </r>
        <r>
          <rPr>
            <sz val="9"/>
            <color indexed="81"/>
            <rFont val="Tahoma"/>
            <family val="2"/>
          </rPr>
          <t xml:space="preserve">
проверити збир!
</t>
        </r>
      </text>
    </comment>
    <comment ref="H11756" authorId="0">
      <text>
        <r>
          <rPr>
            <b/>
            <sz val="9"/>
            <color indexed="81"/>
            <rFont val="Tahoma"/>
            <family val="2"/>
          </rPr>
          <t>LPA:</t>
        </r>
        <r>
          <rPr>
            <sz val="9"/>
            <color indexed="81"/>
            <rFont val="Tahoma"/>
            <family val="2"/>
          </rPr>
          <t xml:space="preserve">
проверити збир!</t>
        </r>
      </text>
    </comment>
    <comment ref="I11756" authorId="0">
      <text>
        <r>
          <rPr>
            <b/>
            <sz val="9"/>
            <color indexed="81"/>
            <rFont val="Tahoma"/>
            <family val="2"/>
          </rPr>
          <t>LPA:</t>
        </r>
        <r>
          <rPr>
            <sz val="9"/>
            <color indexed="81"/>
            <rFont val="Tahoma"/>
            <family val="2"/>
          </rPr>
          <t xml:space="preserve">
проверити збир!</t>
        </r>
      </text>
    </comment>
    <comment ref="I11757" authorId="0">
      <text>
        <r>
          <rPr>
            <b/>
            <sz val="9"/>
            <color indexed="81"/>
            <rFont val="Tahoma"/>
            <family val="2"/>
          </rPr>
          <t>LPA:</t>
        </r>
        <r>
          <rPr>
            <sz val="9"/>
            <color indexed="81"/>
            <rFont val="Tahoma"/>
            <family val="2"/>
          </rPr>
          <t xml:space="preserve">
проверити збир!
</t>
        </r>
      </text>
    </comment>
    <comment ref="I11758" authorId="0">
      <text>
        <r>
          <rPr>
            <b/>
            <sz val="9"/>
            <color indexed="81"/>
            <rFont val="Tahoma"/>
            <family val="2"/>
          </rPr>
          <t>LPA:</t>
        </r>
        <r>
          <rPr>
            <sz val="9"/>
            <color indexed="81"/>
            <rFont val="Tahoma"/>
            <family val="2"/>
          </rPr>
          <t xml:space="preserve">
проверити збир!
</t>
        </r>
      </text>
    </comment>
    <comment ref="I11759" authorId="0">
      <text>
        <r>
          <rPr>
            <b/>
            <sz val="9"/>
            <color indexed="81"/>
            <rFont val="Tahoma"/>
            <family val="2"/>
          </rPr>
          <t>LPA:</t>
        </r>
        <r>
          <rPr>
            <sz val="9"/>
            <color indexed="81"/>
            <rFont val="Tahoma"/>
            <family val="2"/>
          </rPr>
          <t xml:space="preserve">
проверити збир!
</t>
        </r>
      </text>
    </comment>
    <comment ref="I11760" authorId="0">
      <text>
        <r>
          <rPr>
            <b/>
            <sz val="9"/>
            <color indexed="81"/>
            <rFont val="Tahoma"/>
            <family val="2"/>
          </rPr>
          <t>LPA:</t>
        </r>
        <r>
          <rPr>
            <sz val="9"/>
            <color indexed="81"/>
            <rFont val="Tahoma"/>
            <family val="2"/>
          </rPr>
          <t xml:space="preserve">
проверити збир!
</t>
        </r>
      </text>
    </comment>
    <comment ref="I11761" authorId="0">
      <text>
        <r>
          <rPr>
            <b/>
            <sz val="9"/>
            <color indexed="81"/>
            <rFont val="Tahoma"/>
            <family val="2"/>
          </rPr>
          <t>LPA:</t>
        </r>
        <r>
          <rPr>
            <sz val="9"/>
            <color indexed="81"/>
            <rFont val="Tahoma"/>
            <family val="2"/>
          </rPr>
          <t xml:space="preserve">
проверити збир!
</t>
        </r>
      </text>
    </comment>
    <comment ref="I11762" authorId="0">
      <text>
        <r>
          <rPr>
            <b/>
            <sz val="9"/>
            <color indexed="81"/>
            <rFont val="Tahoma"/>
            <family val="2"/>
          </rPr>
          <t>LPA:</t>
        </r>
        <r>
          <rPr>
            <sz val="9"/>
            <color indexed="81"/>
            <rFont val="Tahoma"/>
            <family val="2"/>
          </rPr>
          <t xml:space="preserve">
проверити збир!
</t>
        </r>
      </text>
    </comment>
    <comment ref="I11763" authorId="0">
      <text>
        <r>
          <rPr>
            <b/>
            <sz val="9"/>
            <color indexed="81"/>
            <rFont val="Tahoma"/>
            <family val="2"/>
          </rPr>
          <t>LPA:</t>
        </r>
        <r>
          <rPr>
            <sz val="9"/>
            <color indexed="81"/>
            <rFont val="Tahoma"/>
            <family val="2"/>
          </rPr>
          <t xml:space="preserve">
проверити збир!
</t>
        </r>
      </text>
    </comment>
    <comment ref="I11764" authorId="0">
      <text>
        <r>
          <rPr>
            <b/>
            <sz val="9"/>
            <color indexed="81"/>
            <rFont val="Tahoma"/>
            <family val="2"/>
          </rPr>
          <t>LPA:</t>
        </r>
        <r>
          <rPr>
            <sz val="9"/>
            <color indexed="81"/>
            <rFont val="Tahoma"/>
            <family val="2"/>
          </rPr>
          <t xml:space="preserve">
проверити збир!
</t>
        </r>
      </text>
    </comment>
    <comment ref="I11765" authorId="0">
      <text>
        <r>
          <rPr>
            <b/>
            <sz val="9"/>
            <color indexed="81"/>
            <rFont val="Tahoma"/>
            <family val="2"/>
          </rPr>
          <t>LPA:</t>
        </r>
        <r>
          <rPr>
            <sz val="9"/>
            <color indexed="81"/>
            <rFont val="Tahoma"/>
            <family val="2"/>
          </rPr>
          <t xml:space="preserve">
проверити збир!
</t>
        </r>
      </text>
    </comment>
    <comment ref="I11766" authorId="0">
      <text>
        <r>
          <rPr>
            <b/>
            <sz val="9"/>
            <color indexed="81"/>
            <rFont val="Tahoma"/>
            <family val="2"/>
          </rPr>
          <t>LPA:</t>
        </r>
        <r>
          <rPr>
            <sz val="9"/>
            <color indexed="81"/>
            <rFont val="Tahoma"/>
            <family val="2"/>
          </rPr>
          <t xml:space="preserve">
проверити збир!
</t>
        </r>
      </text>
    </comment>
    <comment ref="I11767" authorId="0">
      <text>
        <r>
          <rPr>
            <b/>
            <sz val="9"/>
            <color indexed="81"/>
            <rFont val="Tahoma"/>
            <family val="2"/>
          </rPr>
          <t>LPA:</t>
        </r>
        <r>
          <rPr>
            <sz val="9"/>
            <color indexed="81"/>
            <rFont val="Tahoma"/>
            <family val="2"/>
          </rPr>
          <t xml:space="preserve">
проверити збир!
</t>
        </r>
      </text>
    </comment>
    <comment ref="I11768" authorId="0">
      <text>
        <r>
          <rPr>
            <b/>
            <sz val="9"/>
            <color indexed="81"/>
            <rFont val="Tahoma"/>
            <family val="2"/>
          </rPr>
          <t>LPA:</t>
        </r>
        <r>
          <rPr>
            <sz val="9"/>
            <color indexed="81"/>
            <rFont val="Tahoma"/>
            <family val="2"/>
          </rPr>
          <t xml:space="preserve">
проверити збир!
</t>
        </r>
      </text>
    </comment>
    <comment ref="I11769" authorId="0">
      <text>
        <r>
          <rPr>
            <b/>
            <sz val="9"/>
            <color indexed="81"/>
            <rFont val="Tahoma"/>
            <family val="2"/>
          </rPr>
          <t>LPA:</t>
        </r>
        <r>
          <rPr>
            <sz val="9"/>
            <color indexed="81"/>
            <rFont val="Tahoma"/>
            <family val="2"/>
          </rPr>
          <t xml:space="preserve">
проверити збир!
</t>
        </r>
      </text>
    </comment>
    <comment ref="I11770" authorId="0">
      <text>
        <r>
          <rPr>
            <b/>
            <sz val="9"/>
            <color indexed="81"/>
            <rFont val="Tahoma"/>
            <family val="2"/>
          </rPr>
          <t>LPA:</t>
        </r>
        <r>
          <rPr>
            <sz val="9"/>
            <color indexed="81"/>
            <rFont val="Tahoma"/>
            <family val="2"/>
          </rPr>
          <t xml:space="preserve">
проверити збир!
</t>
        </r>
      </text>
    </comment>
    <comment ref="I11771" authorId="0">
      <text>
        <r>
          <rPr>
            <b/>
            <sz val="9"/>
            <color indexed="81"/>
            <rFont val="Tahoma"/>
            <family val="2"/>
          </rPr>
          <t>LPA:</t>
        </r>
        <r>
          <rPr>
            <sz val="9"/>
            <color indexed="81"/>
            <rFont val="Tahoma"/>
            <family val="2"/>
          </rPr>
          <t xml:space="preserve">
проверити збир!
</t>
        </r>
      </text>
    </comment>
    <comment ref="H11775" authorId="0">
      <text>
        <r>
          <rPr>
            <b/>
            <sz val="9"/>
            <color indexed="81"/>
            <rFont val="Tahoma"/>
            <family val="2"/>
          </rPr>
          <t>LPA:</t>
        </r>
        <r>
          <rPr>
            <sz val="9"/>
            <color indexed="81"/>
            <rFont val="Tahoma"/>
            <family val="2"/>
          </rPr>
          <t xml:space="preserve">
проверити збир!</t>
        </r>
      </text>
    </comment>
    <comment ref="I11775" authorId="0">
      <text>
        <r>
          <rPr>
            <b/>
            <sz val="9"/>
            <color indexed="81"/>
            <rFont val="Tahoma"/>
            <family val="2"/>
          </rPr>
          <t>LPA:</t>
        </r>
        <r>
          <rPr>
            <sz val="9"/>
            <color indexed="81"/>
            <rFont val="Tahoma"/>
            <family val="2"/>
          </rPr>
          <t xml:space="preserve">
проверити збир!
</t>
        </r>
      </text>
    </comment>
    <comment ref="I11776" authorId="0">
      <text>
        <r>
          <rPr>
            <b/>
            <sz val="9"/>
            <color indexed="81"/>
            <rFont val="Tahoma"/>
            <family val="2"/>
          </rPr>
          <t>LPA:</t>
        </r>
        <r>
          <rPr>
            <sz val="9"/>
            <color indexed="81"/>
            <rFont val="Tahoma"/>
            <family val="2"/>
          </rPr>
          <t xml:space="preserve">
проверити збир!
</t>
        </r>
      </text>
    </comment>
    <comment ref="I11777" authorId="0">
      <text>
        <r>
          <rPr>
            <b/>
            <sz val="9"/>
            <color indexed="81"/>
            <rFont val="Tahoma"/>
            <family val="2"/>
          </rPr>
          <t>LPA:</t>
        </r>
        <r>
          <rPr>
            <sz val="9"/>
            <color indexed="81"/>
            <rFont val="Tahoma"/>
            <family val="2"/>
          </rPr>
          <t xml:space="preserve">
проверити збир!
</t>
        </r>
      </text>
    </comment>
    <comment ref="I11778" authorId="0">
      <text>
        <r>
          <rPr>
            <b/>
            <sz val="9"/>
            <color indexed="81"/>
            <rFont val="Tahoma"/>
            <family val="2"/>
          </rPr>
          <t>LPA:</t>
        </r>
        <r>
          <rPr>
            <sz val="9"/>
            <color indexed="81"/>
            <rFont val="Tahoma"/>
            <family val="2"/>
          </rPr>
          <t xml:space="preserve">
проверити збир!
</t>
        </r>
      </text>
    </comment>
    <comment ref="I11779" authorId="0">
      <text>
        <r>
          <rPr>
            <b/>
            <sz val="9"/>
            <color indexed="81"/>
            <rFont val="Tahoma"/>
            <family val="2"/>
          </rPr>
          <t>LPA:</t>
        </r>
        <r>
          <rPr>
            <sz val="9"/>
            <color indexed="81"/>
            <rFont val="Tahoma"/>
            <family val="2"/>
          </rPr>
          <t xml:space="preserve">
проверити збир!
</t>
        </r>
      </text>
    </comment>
    <comment ref="I11780" authorId="0">
      <text>
        <r>
          <rPr>
            <b/>
            <sz val="9"/>
            <color indexed="81"/>
            <rFont val="Tahoma"/>
            <family val="2"/>
          </rPr>
          <t>LPA:</t>
        </r>
        <r>
          <rPr>
            <sz val="9"/>
            <color indexed="81"/>
            <rFont val="Tahoma"/>
            <family val="2"/>
          </rPr>
          <t xml:space="preserve">
проверити збир!
</t>
        </r>
      </text>
    </comment>
    <comment ref="I11781" authorId="0">
      <text>
        <r>
          <rPr>
            <b/>
            <sz val="9"/>
            <color indexed="81"/>
            <rFont val="Tahoma"/>
            <family val="2"/>
          </rPr>
          <t>LPA:</t>
        </r>
        <r>
          <rPr>
            <sz val="9"/>
            <color indexed="81"/>
            <rFont val="Tahoma"/>
            <family val="2"/>
          </rPr>
          <t xml:space="preserve">
проверити збир!
</t>
        </r>
      </text>
    </comment>
    <comment ref="I11782" authorId="0">
      <text>
        <r>
          <rPr>
            <b/>
            <sz val="9"/>
            <color indexed="81"/>
            <rFont val="Tahoma"/>
            <family val="2"/>
          </rPr>
          <t>LPA:</t>
        </r>
        <r>
          <rPr>
            <sz val="9"/>
            <color indexed="81"/>
            <rFont val="Tahoma"/>
            <family val="2"/>
          </rPr>
          <t xml:space="preserve">
проверити збир!
</t>
        </r>
      </text>
    </comment>
    <comment ref="I11783" authorId="0">
      <text>
        <r>
          <rPr>
            <b/>
            <sz val="9"/>
            <color indexed="81"/>
            <rFont val="Tahoma"/>
            <family val="2"/>
          </rPr>
          <t>LPA:</t>
        </r>
        <r>
          <rPr>
            <sz val="9"/>
            <color indexed="81"/>
            <rFont val="Tahoma"/>
            <family val="2"/>
          </rPr>
          <t xml:space="preserve">
проверити збир!
</t>
        </r>
      </text>
    </comment>
    <comment ref="I11784" authorId="0">
      <text>
        <r>
          <rPr>
            <b/>
            <sz val="9"/>
            <color indexed="81"/>
            <rFont val="Tahoma"/>
            <family val="2"/>
          </rPr>
          <t>LPA:</t>
        </r>
        <r>
          <rPr>
            <sz val="9"/>
            <color indexed="81"/>
            <rFont val="Tahoma"/>
            <family val="2"/>
          </rPr>
          <t xml:space="preserve">
проверити збир!
</t>
        </r>
      </text>
    </comment>
    <comment ref="I11785" authorId="0">
      <text>
        <r>
          <rPr>
            <b/>
            <sz val="9"/>
            <color indexed="81"/>
            <rFont val="Tahoma"/>
            <family val="2"/>
          </rPr>
          <t>LPA:</t>
        </r>
        <r>
          <rPr>
            <sz val="9"/>
            <color indexed="81"/>
            <rFont val="Tahoma"/>
            <family val="2"/>
          </rPr>
          <t xml:space="preserve">
проверити збир!
</t>
        </r>
      </text>
    </comment>
    <comment ref="I11786" authorId="0">
      <text>
        <r>
          <rPr>
            <b/>
            <sz val="9"/>
            <color indexed="81"/>
            <rFont val="Tahoma"/>
            <family val="2"/>
          </rPr>
          <t>LPA:</t>
        </r>
        <r>
          <rPr>
            <sz val="9"/>
            <color indexed="81"/>
            <rFont val="Tahoma"/>
            <family val="2"/>
          </rPr>
          <t xml:space="preserve">
проверити збир!
</t>
        </r>
      </text>
    </comment>
    <comment ref="I11787" authorId="0">
      <text>
        <r>
          <rPr>
            <b/>
            <sz val="9"/>
            <color indexed="81"/>
            <rFont val="Tahoma"/>
            <family val="2"/>
          </rPr>
          <t>LPA:</t>
        </r>
        <r>
          <rPr>
            <sz val="9"/>
            <color indexed="81"/>
            <rFont val="Tahoma"/>
            <family val="2"/>
          </rPr>
          <t xml:space="preserve">
проверити збир!
</t>
        </r>
      </text>
    </comment>
    <comment ref="I11788" authorId="0">
      <text>
        <r>
          <rPr>
            <b/>
            <sz val="9"/>
            <color indexed="81"/>
            <rFont val="Tahoma"/>
            <family val="2"/>
          </rPr>
          <t>LPA:</t>
        </r>
        <r>
          <rPr>
            <sz val="9"/>
            <color indexed="81"/>
            <rFont val="Tahoma"/>
            <family val="2"/>
          </rPr>
          <t xml:space="preserve">
проверити збир!
</t>
        </r>
      </text>
    </comment>
    <comment ref="I11789" authorId="0">
      <text>
        <r>
          <rPr>
            <b/>
            <sz val="9"/>
            <color indexed="81"/>
            <rFont val="Tahoma"/>
            <family val="2"/>
          </rPr>
          <t>LPA:</t>
        </r>
        <r>
          <rPr>
            <sz val="9"/>
            <color indexed="81"/>
            <rFont val="Tahoma"/>
            <family val="2"/>
          </rPr>
          <t xml:space="preserve">
проверити збир!
</t>
        </r>
      </text>
    </comment>
    <comment ref="I11790" authorId="0">
      <text>
        <r>
          <rPr>
            <b/>
            <sz val="9"/>
            <color indexed="81"/>
            <rFont val="Tahoma"/>
            <family val="2"/>
          </rPr>
          <t>LPA:</t>
        </r>
        <r>
          <rPr>
            <sz val="9"/>
            <color indexed="81"/>
            <rFont val="Tahoma"/>
            <family val="2"/>
          </rPr>
          <t xml:space="preserve">
проверити збир!
</t>
        </r>
      </text>
    </comment>
    <comment ref="H11794" authorId="0">
      <text>
        <r>
          <rPr>
            <b/>
            <sz val="9"/>
            <color indexed="81"/>
            <rFont val="Tahoma"/>
            <family val="2"/>
          </rPr>
          <t>LPA:</t>
        </r>
        <r>
          <rPr>
            <sz val="9"/>
            <color indexed="81"/>
            <rFont val="Tahoma"/>
            <family val="2"/>
          </rPr>
          <t xml:space="preserve">
провери збир!</t>
        </r>
      </text>
    </comment>
    <comment ref="I11794" authorId="0">
      <text>
        <r>
          <rPr>
            <b/>
            <sz val="9"/>
            <color indexed="81"/>
            <rFont val="Tahoma"/>
            <family val="2"/>
          </rPr>
          <t>LPA:</t>
        </r>
        <r>
          <rPr>
            <sz val="9"/>
            <color indexed="81"/>
            <rFont val="Tahoma"/>
            <family val="2"/>
          </rPr>
          <t xml:space="preserve">
проверити збир!
</t>
        </r>
      </text>
    </comment>
    <comment ref="I11795" authorId="0">
      <text>
        <r>
          <rPr>
            <b/>
            <sz val="9"/>
            <color indexed="81"/>
            <rFont val="Tahoma"/>
            <family val="2"/>
          </rPr>
          <t>LPA:</t>
        </r>
        <r>
          <rPr>
            <sz val="9"/>
            <color indexed="81"/>
            <rFont val="Tahoma"/>
            <family val="2"/>
          </rPr>
          <t xml:space="preserve">
проверити збир!
</t>
        </r>
      </text>
    </comment>
    <comment ref="I11796" authorId="0">
      <text>
        <r>
          <rPr>
            <b/>
            <sz val="9"/>
            <color indexed="81"/>
            <rFont val="Tahoma"/>
            <family val="2"/>
          </rPr>
          <t>LPA:</t>
        </r>
        <r>
          <rPr>
            <sz val="9"/>
            <color indexed="81"/>
            <rFont val="Tahoma"/>
            <family val="2"/>
          </rPr>
          <t xml:space="preserve">
проверити збир!
</t>
        </r>
      </text>
    </comment>
    <comment ref="I11797" authorId="0">
      <text>
        <r>
          <rPr>
            <b/>
            <sz val="9"/>
            <color indexed="81"/>
            <rFont val="Tahoma"/>
            <family val="2"/>
          </rPr>
          <t>LPA:</t>
        </r>
        <r>
          <rPr>
            <sz val="9"/>
            <color indexed="81"/>
            <rFont val="Tahoma"/>
            <family val="2"/>
          </rPr>
          <t xml:space="preserve">
проверити збир!
</t>
        </r>
      </text>
    </comment>
    <comment ref="I11798" authorId="0">
      <text>
        <r>
          <rPr>
            <b/>
            <sz val="9"/>
            <color indexed="81"/>
            <rFont val="Tahoma"/>
            <family val="2"/>
          </rPr>
          <t>LPA:</t>
        </r>
        <r>
          <rPr>
            <sz val="9"/>
            <color indexed="81"/>
            <rFont val="Tahoma"/>
            <family val="2"/>
          </rPr>
          <t xml:space="preserve">
проверити збир!
</t>
        </r>
      </text>
    </comment>
    <comment ref="I11799" authorId="0">
      <text>
        <r>
          <rPr>
            <b/>
            <sz val="9"/>
            <color indexed="81"/>
            <rFont val="Tahoma"/>
            <family val="2"/>
          </rPr>
          <t>LPA:</t>
        </r>
        <r>
          <rPr>
            <sz val="9"/>
            <color indexed="81"/>
            <rFont val="Tahoma"/>
            <family val="2"/>
          </rPr>
          <t xml:space="preserve">
проверити збир!
</t>
        </r>
      </text>
    </comment>
    <comment ref="I11800" authorId="0">
      <text>
        <r>
          <rPr>
            <b/>
            <sz val="9"/>
            <color indexed="81"/>
            <rFont val="Tahoma"/>
            <family val="2"/>
          </rPr>
          <t>LPA:</t>
        </r>
        <r>
          <rPr>
            <sz val="9"/>
            <color indexed="81"/>
            <rFont val="Tahoma"/>
            <family val="2"/>
          </rPr>
          <t xml:space="preserve">
проверити збир!
</t>
        </r>
      </text>
    </comment>
    <comment ref="I11801" authorId="0">
      <text>
        <r>
          <rPr>
            <b/>
            <sz val="9"/>
            <color indexed="81"/>
            <rFont val="Tahoma"/>
            <family val="2"/>
          </rPr>
          <t>LPA:</t>
        </r>
        <r>
          <rPr>
            <sz val="9"/>
            <color indexed="81"/>
            <rFont val="Tahoma"/>
            <family val="2"/>
          </rPr>
          <t xml:space="preserve">
проверити збир!
</t>
        </r>
      </text>
    </comment>
    <comment ref="I11802" authorId="0">
      <text>
        <r>
          <rPr>
            <b/>
            <sz val="9"/>
            <color indexed="81"/>
            <rFont val="Tahoma"/>
            <family val="2"/>
          </rPr>
          <t>LPA:</t>
        </r>
        <r>
          <rPr>
            <sz val="9"/>
            <color indexed="81"/>
            <rFont val="Tahoma"/>
            <family val="2"/>
          </rPr>
          <t xml:space="preserve">
проверити збир!
</t>
        </r>
      </text>
    </comment>
    <comment ref="I11803" authorId="0">
      <text>
        <r>
          <rPr>
            <b/>
            <sz val="9"/>
            <color indexed="81"/>
            <rFont val="Tahoma"/>
            <family val="2"/>
          </rPr>
          <t>LPA:</t>
        </r>
        <r>
          <rPr>
            <sz val="9"/>
            <color indexed="81"/>
            <rFont val="Tahoma"/>
            <family val="2"/>
          </rPr>
          <t xml:space="preserve">
проверити збир!
</t>
        </r>
      </text>
    </comment>
    <comment ref="I11804" authorId="0">
      <text>
        <r>
          <rPr>
            <b/>
            <sz val="9"/>
            <color indexed="81"/>
            <rFont val="Tahoma"/>
            <family val="2"/>
          </rPr>
          <t>LPA:</t>
        </r>
        <r>
          <rPr>
            <sz val="9"/>
            <color indexed="81"/>
            <rFont val="Tahoma"/>
            <family val="2"/>
          </rPr>
          <t xml:space="preserve">
проверити збир!
</t>
        </r>
      </text>
    </comment>
    <comment ref="I11805" authorId="0">
      <text>
        <r>
          <rPr>
            <b/>
            <sz val="9"/>
            <color indexed="81"/>
            <rFont val="Tahoma"/>
            <family val="2"/>
          </rPr>
          <t>LPA:</t>
        </r>
        <r>
          <rPr>
            <sz val="9"/>
            <color indexed="81"/>
            <rFont val="Tahoma"/>
            <family val="2"/>
          </rPr>
          <t xml:space="preserve">
проверити збир!
</t>
        </r>
      </text>
    </comment>
    <comment ref="I11806" authorId="0">
      <text>
        <r>
          <rPr>
            <b/>
            <sz val="9"/>
            <color indexed="81"/>
            <rFont val="Tahoma"/>
            <family val="2"/>
          </rPr>
          <t>LPA:</t>
        </r>
        <r>
          <rPr>
            <sz val="9"/>
            <color indexed="81"/>
            <rFont val="Tahoma"/>
            <family val="2"/>
          </rPr>
          <t xml:space="preserve">
проверити збир!
</t>
        </r>
      </text>
    </comment>
    <comment ref="I11807" authorId="0">
      <text>
        <r>
          <rPr>
            <b/>
            <sz val="9"/>
            <color indexed="81"/>
            <rFont val="Tahoma"/>
            <family val="2"/>
          </rPr>
          <t>LPA:</t>
        </r>
        <r>
          <rPr>
            <sz val="9"/>
            <color indexed="81"/>
            <rFont val="Tahoma"/>
            <family val="2"/>
          </rPr>
          <t xml:space="preserve">
проверити збир!
</t>
        </r>
      </text>
    </comment>
    <comment ref="I11808" authorId="0">
      <text>
        <r>
          <rPr>
            <b/>
            <sz val="9"/>
            <color indexed="81"/>
            <rFont val="Tahoma"/>
            <family val="2"/>
          </rPr>
          <t>LPA:</t>
        </r>
        <r>
          <rPr>
            <sz val="9"/>
            <color indexed="81"/>
            <rFont val="Tahoma"/>
            <family val="2"/>
          </rPr>
          <t xml:space="preserve">
проверити збир!
</t>
        </r>
      </text>
    </comment>
    <comment ref="I11809" authorId="0">
      <text>
        <r>
          <rPr>
            <b/>
            <sz val="9"/>
            <color indexed="81"/>
            <rFont val="Tahoma"/>
            <family val="2"/>
          </rPr>
          <t>LPA:</t>
        </r>
        <r>
          <rPr>
            <sz val="9"/>
            <color indexed="81"/>
            <rFont val="Tahoma"/>
            <family val="2"/>
          </rPr>
          <t xml:space="preserve">
проверити збир!
</t>
        </r>
      </text>
    </comment>
    <comment ref="I11880" authorId="0">
      <text>
        <r>
          <rPr>
            <b/>
            <sz val="9"/>
            <color indexed="81"/>
            <rFont val="Tahoma"/>
            <family val="2"/>
          </rPr>
          <t>LPA:</t>
        </r>
        <r>
          <rPr>
            <sz val="9"/>
            <color indexed="81"/>
            <rFont val="Tahoma"/>
            <family val="2"/>
          </rPr>
          <t xml:space="preserve">
проверити збир!
</t>
        </r>
      </text>
    </comment>
    <comment ref="I11881" authorId="0">
      <text>
        <r>
          <rPr>
            <b/>
            <sz val="9"/>
            <color indexed="81"/>
            <rFont val="Tahoma"/>
            <family val="2"/>
          </rPr>
          <t>LPA:</t>
        </r>
        <r>
          <rPr>
            <sz val="9"/>
            <color indexed="81"/>
            <rFont val="Tahoma"/>
            <family val="2"/>
          </rPr>
          <t xml:space="preserve">
проверити збир!
</t>
        </r>
      </text>
    </comment>
    <comment ref="I11882" authorId="0">
      <text>
        <r>
          <rPr>
            <b/>
            <sz val="9"/>
            <color indexed="81"/>
            <rFont val="Tahoma"/>
            <family val="2"/>
          </rPr>
          <t>LPA:</t>
        </r>
        <r>
          <rPr>
            <sz val="9"/>
            <color indexed="81"/>
            <rFont val="Tahoma"/>
            <family val="2"/>
          </rPr>
          <t xml:space="preserve">
проверити збир!
</t>
        </r>
      </text>
    </comment>
    <comment ref="I11883" authorId="0">
      <text>
        <r>
          <rPr>
            <b/>
            <sz val="9"/>
            <color indexed="81"/>
            <rFont val="Tahoma"/>
            <family val="2"/>
          </rPr>
          <t>LPA:</t>
        </r>
        <r>
          <rPr>
            <sz val="9"/>
            <color indexed="81"/>
            <rFont val="Tahoma"/>
            <family val="2"/>
          </rPr>
          <t xml:space="preserve">
проверити збир!
</t>
        </r>
      </text>
    </comment>
    <comment ref="I11884" authorId="0">
      <text>
        <r>
          <rPr>
            <b/>
            <sz val="9"/>
            <color indexed="81"/>
            <rFont val="Tahoma"/>
            <family val="2"/>
          </rPr>
          <t>LPA:</t>
        </r>
        <r>
          <rPr>
            <sz val="9"/>
            <color indexed="81"/>
            <rFont val="Tahoma"/>
            <family val="2"/>
          </rPr>
          <t xml:space="preserve">
проверити збир!
</t>
        </r>
      </text>
    </comment>
    <comment ref="I11885" authorId="0">
      <text>
        <r>
          <rPr>
            <b/>
            <sz val="9"/>
            <color indexed="81"/>
            <rFont val="Tahoma"/>
            <family val="2"/>
          </rPr>
          <t>LPA:</t>
        </r>
        <r>
          <rPr>
            <sz val="9"/>
            <color indexed="81"/>
            <rFont val="Tahoma"/>
            <family val="2"/>
          </rPr>
          <t xml:space="preserve">
проверити збир!
</t>
        </r>
      </text>
    </comment>
    <comment ref="I11886" authorId="0">
      <text>
        <r>
          <rPr>
            <b/>
            <sz val="9"/>
            <color indexed="81"/>
            <rFont val="Tahoma"/>
            <family val="2"/>
          </rPr>
          <t>LPA:</t>
        </r>
        <r>
          <rPr>
            <sz val="9"/>
            <color indexed="81"/>
            <rFont val="Tahoma"/>
            <family val="2"/>
          </rPr>
          <t xml:space="preserve">
проверити збир!
</t>
        </r>
      </text>
    </comment>
    <comment ref="I11887" authorId="0">
      <text>
        <r>
          <rPr>
            <b/>
            <sz val="9"/>
            <color indexed="81"/>
            <rFont val="Tahoma"/>
            <family val="2"/>
          </rPr>
          <t>LPA:</t>
        </r>
        <r>
          <rPr>
            <sz val="9"/>
            <color indexed="81"/>
            <rFont val="Tahoma"/>
            <family val="2"/>
          </rPr>
          <t xml:space="preserve">
проверити збир!
</t>
        </r>
      </text>
    </comment>
    <comment ref="I11888" authorId="0">
      <text>
        <r>
          <rPr>
            <b/>
            <sz val="9"/>
            <color indexed="81"/>
            <rFont val="Tahoma"/>
            <family val="2"/>
          </rPr>
          <t>LPA:</t>
        </r>
        <r>
          <rPr>
            <sz val="9"/>
            <color indexed="81"/>
            <rFont val="Tahoma"/>
            <family val="2"/>
          </rPr>
          <t xml:space="preserve">
проверити збир!
</t>
        </r>
      </text>
    </comment>
    <comment ref="I11889" authorId="0">
      <text>
        <r>
          <rPr>
            <b/>
            <sz val="9"/>
            <color indexed="81"/>
            <rFont val="Tahoma"/>
            <family val="2"/>
          </rPr>
          <t>LPA:</t>
        </r>
        <r>
          <rPr>
            <sz val="9"/>
            <color indexed="81"/>
            <rFont val="Tahoma"/>
            <family val="2"/>
          </rPr>
          <t xml:space="preserve">
проверити збир!
</t>
        </r>
      </text>
    </comment>
    <comment ref="I11890" authorId="0">
      <text>
        <r>
          <rPr>
            <b/>
            <sz val="9"/>
            <color indexed="81"/>
            <rFont val="Tahoma"/>
            <family val="2"/>
          </rPr>
          <t>LPA:</t>
        </r>
        <r>
          <rPr>
            <sz val="9"/>
            <color indexed="81"/>
            <rFont val="Tahoma"/>
            <family val="2"/>
          </rPr>
          <t xml:space="preserve">
проверити збир!
</t>
        </r>
      </text>
    </comment>
    <comment ref="I11891" authorId="0">
      <text>
        <r>
          <rPr>
            <b/>
            <sz val="9"/>
            <color indexed="81"/>
            <rFont val="Tahoma"/>
            <family val="2"/>
          </rPr>
          <t>LPA:</t>
        </r>
        <r>
          <rPr>
            <sz val="9"/>
            <color indexed="81"/>
            <rFont val="Tahoma"/>
            <family val="2"/>
          </rPr>
          <t xml:space="preserve">
проверити збир!
</t>
        </r>
      </text>
    </comment>
    <comment ref="I11892" authorId="0">
      <text>
        <r>
          <rPr>
            <b/>
            <sz val="9"/>
            <color indexed="81"/>
            <rFont val="Tahoma"/>
            <family val="2"/>
          </rPr>
          <t>LPA:</t>
        </r>
        <r>
          <rPr>
            <sz val="9"/>
            <color indexed="81"/>
            <rFont val="Tahoma"/>
            <family val="2"/>
          </rPr>
          <t xml:space="preserve">
проверити збир!
</t>
        </r>
      </text>
    </comment>
    <comment ref="H11895" authorId="0">
      <text>
        <r>
          <rPr>
            <b/>
            <sz val="9"/>
            <color indexed="81"/>
            <rFont val="Tahoma"/>
            <family val="2"/>
          </rPr>
          <t>LPA:</t>
        </r>
        <r>
          <rPr>
            <sz val="9"/>
            <color indexed="81"/>
            <rFont val="Tahoma"/>
            <family val="2"/>
          </rPr>
          <t xml:space="preserve">
проверити збир!</t>
        </r>
      </text>
    </comment>
    <comment ref="I11895" authorId="0">
      <text>
        <r>
          <rPr>
            <b/>
            <sz val="9"/>
            <color indexed="81"/>
            <rFont val="Tahoma"/>
            <family val="2"/>
          </rPr>
          <t>LPA:</t>
        </r>
        <r>
          <rPr>
            <sz val="9"/>
            <color indexed="81"/>
            <rFont val="Tahoma"/>
            <family val="2"/>
          </rPr>
          <t xml:space="preserve">
проверити збир!</t>
        </r>
      </text>
    </comment>
    <comment ref="I11896" authorId="0">
      <text>
        <r>
          <rPr>
            <b/>
            <sz val="9"/>
            <color indexed="81"/>
            <rFont val="Tahoma"/>
            <family val="2"/>
          </rPr>
          <t>LPA:</t>
        </r>
        <r>
          <rPr>
            <sz val="9"/>
            <color indexed="81"/>
            <rFont val="Tahoma"/>
            <family val="2"/>
          </rPr>
          <t xml:space="preserve">
проверити збир!
</t>
        </r>
      </text>
    </comment>
    <comment ref="I11897" authorId="0">
      <text>
        <r>
          <rPr>
            <b/>
            <sz val="9"/>
            <color indexed="81"/>
            <rFont val="Tahoma"/>
            <family val="2"/>
          </rPr>
          <t>LPA:</t>
        </r>
        <r>
          <rPr>
            <sz val="9"/>
            <color indexed="81"/>
            <rFont val="Tahoma"/>
            <family val="2"/>
          </rPr>
          <t xml:space="preserve">
проверити збир!
</t>
        </r>
      </text>
    </comment>
    <comment ref="I11898" authorId="0">
      <text>
        <r>
          <rPr>
            <b/>
            <sz val="9"/>
            <color indexed="81"/>
            <rFont val="Tahoma"/>
            <family val="2"/>
          </rPr>
          <t>LPA:</t>
        </r>
        <r>
          <rPr>
            <sz val="9"/>
            <color indexed="81"/>
            <rFont val="Tahoma"/>
            <family val="2"/>
          </rPr>
          <t xml:space="preserve">
проверити збир!
</t>
        </r>
      </text>
    </comment>
    <comment ref="I11899" authorId="0">
      <text>
        <r>
          <rPr>
            <b/>
            <sz val="9"/>
            <color indexed="81"/>
            <rFont val="Tahoma"/>
            <family val="2"/>
          </rPr>
          <t>LPA:</t>
        </r>
        <r>
          <rPr>
            <sz val="9"/>
            <color indexed="81"/>
            <rFont val="Tahoma"/>
            <family val="2"/>
          </rPr>
          <t xml:space="preserve">
проверити збир!
</t>
        </r>
      </text>
    </comment>
    <comment ref="I11900" authorId="0">
      <text>
        <r>
          <rPr>
            <b/>
            <sz val="9"/>
            <color indexed="81"/>
            <rFont val="Tahoma"/>
            <family val="2"/>
          </rPr>
          <t>LPA:</t>
        </r>
        <r>
          <rPr>
            <sz val="9"/>
            <color indexed="81"/>
            <rFont val="Tahoma"/>
            <family val="2"/>
          </rPr>
          <t xml:space="preserve">
проверити збир!
</t>
        </r>
      </text>
    </comment>
    <comment ref="I11901" authorId="0">
      <text>
        <r>
          <rPr>
            <b/>
            <sz val="9"/>
            <color indexed="81"/>
            <rFont val="Tahoma"/>
            <family val="2"/>
          </rPr>
          <t>LPA:</t>
        </r>
        <r>
          <rPr>
            <sz val="9"/>
            <color indexed="81"/>
            <rFont val="Tahoma"/>
            <family val="2"/>
          </rPr>
          <t xml:space="preserve">
проверити збир!
</t>
        </r>
      </text>
    </comment>
    <comment ref="I11902" authorId="0">
      <text>
        <r>
          <rPr>
            <b/>
            <sz val="9"/>
            <color indexed="81"/>
            <rFont val="Tahoma"/>
            <family val="2"/>
          </rPr>
          <t>LPA:</t>
        </r>
        <r>
          <rPr>
            <sz val="9"/>
            <color indexed="81"/>
            <rFont val="Tahoma"/>
            <family val="2"/>
          </rPr>
          <t xml:space="preserve">
проверити збир!
</t>
        </r>
      </text>
    </comment>
    <comment ref="I11903" authorId="0">
      <text>
        <r>
          <rPr>
            <b/>
            <sz val="9"/>
            <color indexed="81"/>
            <rFont val="Tahoma"/>
            <family val="2"/>
          </rPr>
          <t>LPA:</t>
        </r>
        <r>
          <rPr>
            <sz val="9"/>
            <color indexed="81"/>
            <rFont val="Tahoma"/>
            <family val="2"/>
          </rPr>
          <t xml:space="preserve">
проверити збир!
</t>
        </r>
      </text>
    </comment>
    <comment ref="I11904" authorId="0">
      <text>
        <r>
          <rPr>
            <b/>
            <sz val="9"/>
            <color indexed="81"/>
            <rFont val="Tahoma"/>
            <family val="2"/>
          </rPr>
          <t>LPA:</t>
        </r>
        <r>
          <rPr>
            <sz val="9"/>
            <color indexed="81"/>
            <rFont val="Tahoma"/>
            <family val="2"/>
          </rPr>
          <t xml:space="preserve">
проверити збир!
</t>
        </r>
      </text>
    </comment>
    <comment ref="I11905" authorId="0">
      <text>
        <r>
          <rPr>
            <b/>
            <sz val="9"/>
            <color indexed="81"/>
            <rFont val="Tahoma"/>
            <family val="2"/>
          </rPr>
          <t>LPA:</t>
        </r>
        <r>
          <rPr>
            <sz val="9"/>
            <color indexed="81"/>
            <rFont val="Tahoma"/>
            <family val="2"/>
          </rPr>
          <t xml:space="preserve">
проверити збир!
</t>
        </r>
      </text>
    </comment>
    <comment ref="I11906" authorId="0">
      <text>
        <r>
          <rPr>
            <b/>
            <sz val="9"/>
            <color indexed="81"/>
            <rFont val="Tahoma"/>
            <family val="2"/>
          </rPr>
          <t>LPA:</t>
        </r>
        <r>
          <rPr>
            <sz val="9"/>
            <color indexed="81"/>
            <rFont val="Tahoma"/>
            <family val="2"/>
          </rPr>
          <t xml:space="preserve">
проверити збир!
</t>
        </r>
      </text>
    </comment>
    <comment ref="I11907" authorId="0">
      <text>
        <r>
          <rPr>
            <b/>
            <sz val="9"/>
            <color indexed="81"/>
            <rFont val="Tahoma"/>
            <family val="2"/>
          </rPr>
          <t>LPA:</t>
        </r>
        <r>
          <rPr>
            <sz val="9"/>
            <color indexed="81"/>
            <rFont val="Tahoma"/>
            <family val="2"/>
          </rPr>
          <t xml:space="preserve">
проверити збир!
</t>
        </r>
      </text>
    </comment>
    <comment ref="I11908" authorId="0">
      <text>
        <r>
          <rPr>
            <b/>
            <sz val="9"/>
            <color indexed="81"/>
            <rFont val="Tahoma"/>
            <family val="2"/>
          </rPr>
          <t>LPA:</t>
        </r>
        <r>
          <rPr>
            <sz val="9"/>
            <color indexed="81"/>
            <rFont val="Tahoma"/>
            <family val="2"/>
          </rPr>
          <t xml:space="preserve">
проверити збир!
</t>
        </r>
      </text>
    </comment>
    <comment ref="I11909" authorId="0">
      <text>
        <r>
          <rPr>
            <b/>
            <sz val="9"/>
            <color indexed="81"/>
            <rFont val="Tahoma"/>
            <family val="2"/>
          </rPr>
          <t>LPA:</t>
        </r>
        <r>
          <rPr>
            <sz val="9"/>
            <color indexed="81"/>
            <rFont val="Tahoma"/>
            <family val="2"/>
          </rPr>
          <t xml:space="preserve">
проверити збир!
</t>
        </r>
      </text>
    </comment>
    <comment ref="I11910" authorId="0">
      <text>
        <r>
          <rPr>
            <b/>
            <sz val="9"/>
            <color indexed="81"/>
            <rFont val="Tahoma"/>
            <family val="2"/>
          </rPr>
          <t>LPA:</t>
        </r>
        <r>
          <rPr>
            <sz val="9"/>
            <color indexed="81"/>
            <rFont val="Tahoma"/>
            <family val="2"/>
          </rPr>
          <t xml:space="preserve">
проверити збир!
</t>
        </r>
      </text>
    </comment>
    <comment ref="I11979" authorId="0">
      <text>
        <r>
          <rPr>
            <b/>
            <sz val="9"/>
            <color indexed="81"/>
            <rFont val="Tahoma"/>
            <family val="2"/>
          </rPr>
          <t>LPA:</t>
        </r>
        <r>
          <rPr>
            <sz val="9"/>
            <color indexed="81"/>
            <rFont val="Tahoma"/>
            <family val="2"/>
          </rPr>
          <t xml:space="preserve">
проверити збир!
</t>
        </r>
      </text>
    </comment>
    <comment ref="I11980" authorId="0">
      <text>
        <r>
          <rPr>
            <b/>
            <sz val="9"/>
            <color indexed="81"/>
            <rFont val="Tahoma"/>
            <family val="2"/>
          </rPr>
          <t>LPA:</t>
        </r>
        <r>
          <rPr>
            <sz val="9"/>
            <color indexed="81"/>
            <rFont val="Tahoma"/>
            <family val="2"/>
          </rPr>
          <t xml:space="preserve">
проверити збир!
</t>
        </r>
      </text>
    </comment>
    <comment ref="I11981" authorId="0">
      <text>
        <r>
          <rPr>
            <b/>
            <sz val="9"/>
            <color indexed="81"/>
            <rFont val="Tahoma"/>
            <family val="2"/>
          </rPr>
          <t>LPA:</t>
        </r>
        <r>
          <rPr>
            <sz val="9"/>
            <color indexed="81"/>
            <rFont val="Tahoma"/>
            <family val="2"/>
          </rPr>
          <t xml:space="preserve">
проверити збир!
</t>
        </r>
      </text>
    </comment>
    <comment ref="I11982" authorId="0">
      <text>
        <r>
          <rPr>
            <b/>
            <sz val="9"/>
            <color indexed="81"/>
            <rFont val="Tahoma"/>
            <family val="2"/>
          </rPr>
          <t>LPA:</t>
        </r>
        <r>
          <rPr>
            <sz val="9"/>
            <color indexed="81"/>
            <rFont val="Tahoma"/>
            <family val="2"/>
          </rPr>
          <t xml:space="preserve">
проверити збир!
</t>
        </r>
      </text>
    </comment>
    <comment ref="I11983" authorId="0">
      <text>
        <r>
          <rPr>
            <b/>
            <sz val="9"/>
            <color indexed="81"/>
            <rFont val="Tahoma"/>
            <family val="2"/>
          </rPr>
          <t>LPA:</t>
        </r>
        <r>
          <rPr>
            <sz val="9"/>
            <color indexed="81"/>
            <rFont val="Tahoma"/>
            <family val="2"/>
          </rPr>
          <t xml:space="preserve">
проверити збир!
</t>
        </r>
      </text>
    </comment>
    <comment ref="I11984" authorId="0">
      <text>
        <r>
          <rPr>
            <b/>
            <sz val="9"/>
            <color indexed="81"/>
            <rFont val="Tahoma"/>
            <family val="2"/>
          </rPr>
          <t>LPA:</t>
        </r>
        <r>
          <rPr>
            <sz val="9"/>
            <color indexed="81"/>
            <rFont val="Tahoma"/>
            <family val="2"/>
          </rPr>
          <t xml:space="preserve">
проверити збир!
</t>
        </r>
      </text>
    </comment>
    <comment ref="I11985" authorId="0">
      <text>
        <r>
          <rPr>
            <b/>
            <sz val="9"/>
            <color indexed="81"/>
            <rFont val="Tahoma"/>
            <family val="2"/>
          </rPr>
          <t>LPA:</t>
        </r>
        <r>
          <rPr>
            <sz val="9"/>
            <color indexed="81"/>
            <rFont val="Tahoma"/>
            <family val="2"/>
          </rPr>
          <t xml:space="preserve">
проверити збир!
</t>
        </r>
      </text>
    </comment>
    <comment ref="I11986" authorId="0">
      <text>
        <r>
          <rPr>
            <b/>
            <sz val="9"/>
            <color indexed="81"/>
            <rFont val="Tahoma"/>
            <family val="2"/>
          </rPr>
          <t>LPA:</t>
        </r>
        <r>
          <rPr>
            <sz val="9"/>
            <color indexed="81"/>
            <rFont val="Tahoma"/>
            <family val="2"/>
          </rPr>
          <t xml:space="preserve">
проверити збир!
</t>
        </r>
      </text>
    </comment>
    <comment ref="I11987" authorId="0">
      <text>
        <r>
          <rPr>
            <b/>
            <sz val="9"/>
            <color indexed="81"/>
            <rFont val="Tahoma"/>
            <family val="2"/>
          </rPr>
          <t>LPA:</t>
        </r>
        <r>
          <rPr>
            <sz val="9"/>
            <color indexed="81"/>
            <rFont val="Tahoma"/>
            <family val="2"/>
          </rPr>
          <t xml:space="preserve">
проверити збир!
</t>
        </r>
      </text>
    </comment>
    <comment ref="I11988" authorId="0">
      <text>
        <r>
          <rPr>
            <b/>
            <sz val="9"/>
            <color indexed="81"/>
            <rFont val="Tahoma"/>
            <family val="2"/>
          </rPr>
          <t>LPA:</t>
        </r>
        <r>
          <rPr>
            <sz val="9"/>
            <color indexed="81"/>
            <rFont val="Tahoma"/>
            <family val="2"/>
          </rPr>
          <t xml:space="preserve">
проверити збир!
</t>
        </r>
      </text>
    </comment>
    <comment ref="I11989" authorId="0">
      <text>
        <r>
          <rPr>
            <b/>
            <sz val="9"/>
            <color indexed="81"/>
            <rFont val="Tahoma"/>
            <family val="2"/>
          </rPr>
          <t>LPA:</t>
        </r>
        <r>
          <rPr>
            <sz val="9"/>
            <color indexed="81"/>
            <rFont val="Tahoma"/>
            <family val="2"/>
          </rPr>
          <t xml:space="preserve">
проверити збир!
</t>
        </r>
      </text>
    </comment>
    <comment ref="I11990" authorId="0">
      <text>
        <r>
          <rPr>
            <b/>
            <sz val="9"/>
            <color indexed="81"/>
            <rFont val="Tahoma"/>
            <family val="2"/>
          </rPr>
          <t>LPA:</t>
        </r>
        <r>
          <rPr>
            <sz val="9"/>
            <color indexed="81"/>
            <rFont val="Tahoma"/>
            <family val="2"/>
          </rPr>
          <t xml:space="preserve">
проверити збир!
</t>
        </r>
      </text>
    </comment>
    <comment ref="I11991" authorId="0">
      <text>
        <r>
          <rPr>
            <b/>
            <sz val="9"/>
            <color indexed="81"/>
            <rFont val="Tahoma"/>
            <family val="2"/>
          </rPr>
          <t>LPA:</t>
        </r>
        <r>
          <rPr>
            <sz val="9"/>
            <color indexed="81"/>
            <rFont val="Tahoma"/>
            <family val="2"/>
          </rPr>
          <t xml:space="preserve">
проверити збир!
</t>
        </r>
      </text>
    </comment>
    <comment ref="H11994" authorId="0">
      <text>
        <r>
          <rPr>
            <b/>
            <sz val="9"/>
            <color indexed="81"/>
            <rFont val="Tahoma"/>
            <family val="2"/>
          </rPr>
          <t>LPA:</t>
        </r>
        <r>
          <rPr>
            <sz val="9"/>
            <color indexed="81"/>
            <rFont val="Tahoma"/>
            <family val="2"/>
          </rPr>
          <t xml:space="preserve">
проверити збир!</t>
        </r>
      </text>
    </comment>
    <comment ref="I11994" authorId="0">
      <text>
        <r>
          <rPr>
            <b/>
            <sz val="9"/>
            <color indexed="81"/>
            <rFont val="Tahoma"/>
            <family val="2"/>
          </rPr>
          <t>LPA:</t>
        </r>
        <r>
          <rPr>
            <sz val="9"/>
            <color indexed="81"/>
            <rFont val="Tahoma"/>
            <family val="2"/>
          </rPr>
          <t xml:space="preserve">
проверити збир!</t>
        </r>
      </text>
    </comment>
    <comment ref="I11995" authorId="0">
      <text>
        <r>
          <rPr>
            <b/>
            <sz val="9"/>
            <color indexed="81"/>
            <rFont val="Tahoma"/>
            <family val="2"/>
          </rPr>
          <t>LPA:</t>
        </r>
        <r>
          <rPr>
            <sz val="9"/>
            <color indexed="81"/>
            <rFont val="Tahoma"/>
            <family val="2"/>
          </rPr>
          <t xml:space="preserve">
проверити збир!
</t>
        </r>
      </text>
    </comment>
    <comment ref="I11996" authorId="0">
      <text>
        <r>
          <rPr>
            <b/>
            <sz val="9"/>
            <color indexed="81"/>
            <rFont val="Tahoma"/>
            <family val="2"/>
          </rPr>
          <t>LPA:</t>
        </r>
        <r>
          <rPr>
            <sz val="9"/>
            <color indexed="81"/>
            <rFont val="Tahoma"/>
            <family val="2"/>
          </rPr>
          <t xml:space="preserve">
проверити збир!
</t>
        </r>
      </text>
    </comment>
    <comment ref="I11997" authorId="0">
      <text>
        <r>
          <rPr>
            <b/>
            <sz val="9"/>
            <color indexed="81"/>
            <rFont val="Tahoma"/>
            <family val="2"/>
          </rPr>
          <t>LPA:</t>
        </r>
        <r>
          <rPr>
            <sz val="9"/>
            <color indexed="81"/>
            <rFont val="Tahoma"/>
            <family val="2"/>
          </rPr>
          <t xml:space="preserve">
проверити збир!
</t>
        </r>
      </text>
    </comment>
    <comment ref="I11998" authorId="0">
      <text>
        <r>
          <rPr>
            <b/>
            <sz val="9"/>
            <color indexed="81"/>
            <rFont val="Tahoma"/>
            <family val="2"/>
          </rPr>
          <t>LPA:</t>
        </r>
        <r>
          <rPr>
            <sz val="9"/>
            <color indexed="81"/>
            <rFont val="Tahoma"/>
            <family val="2"/>
          </rPr>
          <t xml:space="preserve">
проверити збир!
</t>
        </r>
      </text>
    </comment>
    <comment ref="I11999" authorId="0">
      <text>
        <r>
          <rPr>
            <b/>
            <sz val="9"/>
            <color indexed="81"/>
            <rFont val="Tahoma"/>
            <family val="2"/>
          </rPr>
          <t>LPA:</t>
        </r>
        <r>
          <rPr>
            <sz val="9"/>
            <color indexed="81"/>
            <rFont val="Tahoma"/>
            <family val="2"/>
          </rPr>
          <t xml:space="preserve">
проверити збир!
</t>
        </r>
      </text>
    </comment>
    <comment ref="I12000" authorId="0">
      <text>
        <r>
          <rPr>
            <b/>
            <sz val="9"/>
            <color indexed="81"/>
            <rFont val="Tahoma"/>
            <family val="2"/>
          </rPr>
          <t>LPA:</t>
        </r>
        <r>
          <rPr>
            <sz val="9"/>
            <color indexed="81"/>
            <rFont val="Tahoma"/>
            <family val="2"/>
          </rPr>
          <t xml:space="preserve">
проверити збир!
</t>
        </r>
      </text>
    </comment>
    <comment ref="I12001" authorId="0">
      <text>
        <r>
          <rPr>
            <b/>
            <sz val="9"/>
            <color indexed="81"/>
            <rFont val="Tahoma"/>
            <family val="2"/>
          </rPr>
          <t>LPA:</t>
        </r>
        <r>
          <rPr>
            <sz val="9"/>
            <color indexed="81"/>
            <rFont val="Tahoma"/>
            <family val="2"/>
          </rPr>
          <t xml:space="preserve">
проверити збир!
</t>
        </r>
      </text>
    </comment>
    <comment ref="I12002" authorId="0">
      <text>
        <r>
          <rPr>
            <b/>
            <sz val="9"/>
            <color indexed="81"/>
            <rFont val="Tahoma"/>
            <family val="2"/>
          </rPr>
          <t>LPA:</t>
        </r>
        <r>
          <rPr>
            <sz val="9"/>
            <color indexed="81"/>
            <rFont val="Tahoma"/>
            <family val="2"/>
          </rPr>
          <t xml:space="preserve">
проверити збир!
</t>
        </r>
      </text>
    </comment>
    <comment ref="I12003" authorId="0">
      <text>
        <r>
          <rPr>
            <b/>
            <sz val="9"/>
            <color indexed="81"/>
            <rFont val="Tahoma"/>
            <family val="2"/>
          </rPr>
          <t>LPA:</t>
        </r>
        <r>
          <rPr>
            <sz val="9"/>
            <color indexed="81"/>
            <rFont val="Tahoma"/>
            <family val="2"/>
          </rPr>
          <t xml:space="preserve">
проверити збир!
</t>
        </r>
      </text>
    </comment>
    <comment ref="I12004" authorId="0">
      <text>
        <r>
          <rPr>
            <b/>
            <sz val="9"/>
            <color indexed="81"/>
            <rFont val="Tahoma"/>
            <family val="2"/>
          </rPr>
          <t>LPA:</t>
        </r>
        <r>
          <rPr>
            <sz val="9"/>
            <color indexed="81"/>
            <rFont val="Tahoma"/>
            <family val="2"/>
          </rPr>
          <t xml:space="preserve">
проверити збир!
</t>
        </r>
      </text>
    </comment>
    <comment ref="I12005" authorId="0">
      <text>
        <r>
          <rPr>
            <b/>
            <sz val="9"/>
            <color indexed="81"/>
            <rFont val="Tahoma"/>
            <family val="2"/>
          </rPr>
          <t>LPA:</t>
        </r>
        <r>
          <rPr>
            <sz val="9"/>
            <color indexed="81"/>
            <rFont val="Tahoma"/>
            <family val="2"/>
          </rPr>
          <t xml:space="preserve">
проверити збир!
</t>
        </r>
      </text>
    </comment>
    <comment ref="I12006" authorId="0">
      <text>
        <r>
          <rPr>
            <b/>
            <sz val="9"/>
            <color indexed="81"/>
            <rFont val="Tahoma"/>
            <family val="2"/>
          </rPr>
          <t>LPA:</t>
        </r>
        <r>
          <rPr>
            <sz val="9"/>
            <color indexed="81"/>
            <rFont val="Tahoma"/>
            <family val="2"/>
          </rPr>
          <t xml:space="preserve">
проверити збир!
</t>
        </r>
      </text>
    </comment>
    <comment ref="I12007" authorId="0">
      <text>
        <r>
          <rPr>
            <b/>
            <sz val="9"/>
            <color indexed="81"/>
            <rFont val="Tahoma"/>
            <family val="2"/>
          </rPr>
          <t>LPA:</t>
        </r>
        <r>
          <rPr>
            <sz val="9"/>
            <color indexed="81"/>
            <rFont val="Tahoma"/>
            <family val="2"/>
          </rPr>
          <t xml:space="preserve">
проверити збир!
</t>
        </r>
      </text>
    </comment>
    <comment ref="I12008" authorId="0">
      <text>
        <r>
          <rPr>
            <b/>
            <sz val="9"/>
            <color indexed="81"/>
            <rFont val="Tahoma"/>
            <family val="2"/>
          </rPr>
          <t>LPA:</t>
        </r>
        <r>
          <rPr>
            <sz val="9"/>
            <color indexed="81"/>
            <rFont val="Tahoma"/>
            <family val="2"/>
          </rPr>
          <t xml:space="preserve">
проверити збир!
</t>
        </r>
      </text>
    </comment>
    <comment ref="I12009" authorId="0">
      <text>
        <r>
          <rPr>
            <b/>
            <sz val="9"/>
            <color indexed="81"/>
            <rFont val="Tahoma"/>
            <family val="2"/>
          </rPr>
          <t>LPA:</t>
        </r>
        <r>
          <rPr>
            <sz val="9"/>
            <color indexed="81"/>
            <rFont val="Tahoma"/>
            <family val="2"/>
          </rPr>
          <t xml:space="preserve">
проверити збир!
</t>
        </r>
      </text>
    </comment>
    <comment ref="H12013" authorId="0">
      <text>
        <r>
          <rPr>
            <b/>
            <sz val="9"/>
            <color indexed="81"/>
            <rFont val="Tahoma"/>
            <family val="2"/>
          </rPr>
          <t>LPA:</t>
        </r>
        <r>
          <rPr>
            <sz val="9"/>
            <color indexed="81"/>
            <rFont val="Tahoma"/>
            <family val="2"/>
          </rPr>
          <t xml:space="preserve">
проверити збир!</t>
        </r>
      </text>
    </comment>
    <comment ref="I12013" authorId="0">
      <text>
        <r>
          <rPr>
            <b/>
            <sz val="9"/>
            <color indexed="81"/>
            <rFont val="Tahoma"/>
            <family val="2"/>
          </rPr>
          <t>LPA:</t>
        </r>
        <r>
          <rPr>
            <sz val="9"/>
            <color indexed="81"/>
            <rFont val="Tahoma"/>
            <family val="2"/>
          </rPr>
          <t xml:space="preserve">
проверити збир!
</t>
        </r>
      </text>
    </comment>
    <comment ref="I12014" authorId="0">
      <text>
        <r>
          <rPr>
            <b/>
            <sz val="9"/>
            <color indexed="81"/>
            <rFont val="Tahoma"/>
            <family val="2"/>
          </rPr>
          <t>LPA:</t>
        </r>
        <r>
          <rPr>
            <sz val="9"/>
            <color indexed="81"/>
            <rFont val="Tahoma"/>
            <family val="2"/>
          </rPr>
          <t xml:space="preserve">
проверити збир!
</t>
        </r>
      </text>
    </comment>
    <comment ref="I12015" authorId="0">
      <text>
        <r>
          <rPr>
            <b/>
            <sz val="9"/>
            <color indexed="81"/>
            <rFont val="Tahoma"/>
            <family val="2"/>
          </rPr>
          <t>LPA:</t>
        </r>
        <r>
          <rPr>
            <sz val="9"/>
            <color indexed="81"/>
            <rFont val="Tahoma"/>
            <family val="2"/>
          </rPr>
          <t xml:space="preserve">
проверити збир!
</t>
        </r>
      </text>
    </comment>
    <comment ref="I12016" authorId="0">
      <text>
        <r>
          <rPr>
            <b/>
            <sz val="9"/>
            <color indexed="81"/>
            <rFont val="Tahoma"/>
            <family val="2"/>
          </rPr>
          <t>LPA:</t>
        </r>
        <r>
          <rPr>
            <sz val="9"/>
            <color indexed="81"/>
            <rFont val="Tahoma"/>
            <family val="2"/>
          </rPr>
          <t xml:space="preserve">
проверити збир!
</t>
        </r>
      </text>
    </comment>
    <comment ref="I12017" authorId="0">
      <text>
        <r>
          <rPr>
            <b/>
            <sz val="9"/>
            <color indexed="81"/>
            <rFont val="Tahoma"/>
            <family val="2"/>
          </rPr>
          <t>LPA:</t>
        </r>
        <r>
          <rPr>
            <sz val="9"/>
            <color indexed="81"/>
            <rFont val="Tahoma"/>
            <family val="2"/>
          </rPr>
          <t xml:space="preserve">
проверити збир!
</t>
        </r>
      </text>
    </comment>
    <comment ref="I12018" authorId="0">
      <text>
        <r>
          <rPr>
            <b/>
            <sz val="9"/>
            <color indexed="81"/>
            <rFont val="Tahoma"/>
            <family val="2"/>
          </rPr>
          <t>LPA:</t>
        </r>
        <r>
          <rPr>
            <sz val="9"/>
            <color indexed="81"/>
            <rFont val="Tahoma"/>
            <family val="2"/>
          </rPr>
          <t xml:space="preserve">
проверити збир!
</t>
        </r>
      </text>
    </comment>
    <comment ref="I12019" authorId="0">
      <text>
        <r>
          <rPr>
            <b/>
            <sz val="9"/>
            <color indexed="81"/>
            <rFont val="Tahoma"/>
            <family val="2"/>
          </rPr>
          <t>LPA:</t>
        </r>
        <r>
          <rPr>
            <sz val="9"/>
            <color indexed="81"/>
            <rFont val="Tahoma"/>
            <family val="2"/>
          </rPr>
          <t xml:space="preserve">
проверити збир!
</t>
        </r>
      </text>
    </comment>
    <comment ref="I12020" authorId="0">
      <text>
        <r>
          <rPr>
            <b/>
            <sz val="9"/>
            <color indexed="81"/>
            <rFont val="Tahoma"/>
            <family val="2"/>
          </rPr>
          <t>LPA:</t>
        </r>
        <r>
          <rPr>
            <sz val="9"/>
            <color indexed="81"/>
            <rFont val="Tahoma"/>
            <family val="2"/>
          </rPr>
          <t xml:space="preserve">
проверити збир!
</t>
        </r>
      </text>
    </comment>
    <comment ref="I12021" authorId="0">
      <text>
        <r>
          <rPr>
            <b/>
            <sz val="9"/>
            <color indexed="81"/>
            <rFont val="Tahoma"/>
            <family val="2"/>
          </rPr>
          <t>LPA:</t>
        </r>
        <r>
          <rPr>
            <sz val="9"/>
            <color indexed="81"/>
            <rFont val="Tahoma"/>
            <family val="2"/>
          </rPr>
          <t xml:space="preserve">
проверити збир!
</t>
        </r>
      </text>
    </comment>
    <comment ref="I12022" authorId="0">
      <text>
        <r>
          <rPr>
            <b/>
            <sz val="9"/>
            <color indexed="81"/>
            <rFont val="Tahoma"/>
            <family val="2"/>
          </rPr>
          <t>LPA:</t>
        </r>
        <r>
          <rPr>
            <sz val="9"/>
            <color indexed="81"/>
            <rFont val="Tahoma"/>
            <family val="2"/>
          </rPr>
          <t xml:space="preserve">
проверити збир!
</t>
        </r>
      </text>
    </comment>
    <comment ref="I12023" authorId="0">
      <text>
        <r>
          <rPr>
            <b/>
            <sz val="9"/>
            <color indexed="81"/>
            <rFont val="Tahoma"/>
            <family val="2"/>
          </rPr>
          <t>LPA:</t>
        </r>
        <r>
          <rPr>
            <sz val="9"/>
            <color indexed="81"/>
            <rFont val="Tahoma"/>
            <family val="2"/>
          </rPr>
          <t xml:space="preserve">
проверити збир!
</t>
        </r>
      </text>
    </comment>
    <comment ref="I12024" authorId="0">
      <text>
        <r>
          <rPr>
            <b/>
            <sz val="9"/>
            <color indexed="81"/>
            <rFont val="Tahoma"/>
            <family val="2"/>
          </rPr>
          <t>LPA:</t>
        </r>
        <r>
          <rPr>
            <sz val="9"/>
            <color indexed="81"/>
            <rFont val="Tahoma"/>
            <family val="2"/>
          </rPr>
          <t xml:space="preserve">
проверити збир!
</t>
        </r>
      </text>
    </comment>
    <comment ref="I12025" authorId="0">
      <text>
        <r>
          <rPr>
            <b/>
            <sz val="9"/>
            <color indexed="81"/>
            <rFont val="Tahoma"/>
            <family val="2"/>
          </rPr>
          <t>LPA:</t>
        </r>
        <r>
          <rPr>
            <sz val="9"/>
            <color indexed="81"/>
            <rFont val="Tahoma"/>
            <family val="2"/>
          </rPr>
          <t xml:space="preserve">
проверити збир!
</t>
        </r>
      </text>
    </comment>
    <comment ref="I12026" authorId="0">
      <text>
        <r>
          <rPr>
            <b/>
            <sz val="9"/>
            <color indexed="81"/>
            <rFont val="Tahoma"/>
            <family val="2"/>
          </rPr>
          <t>LPA:</t>
        </r>
        <r>
          <rPr>
            <sz val="9"/>
            <color indexed="81"/>
            <rFont val="Tahoma"/>
            <family val="2"/>
          </rPr>
          <t xml:space="preserve">
проверити збир!
</t>
        </r>
      </text>
    </comment>
    <comment ref="I12027" authorId="0">
      <text>
        <r>
          <rPr>
            <b/>
            <sz val="9"/>
            <color indexed="81"/>
            <rFont val="Tahoma"/>
            <family val="2"/>
          </rPr>
          <t>LPA:</t>
        </r>
        <r>
          <rPr>
            <sz val="9"/>
            <color indexed="81"/>
            <rFont val="Tahoma"/>
            <family val="2"/>
          </rPr>
          <t xml:space="preserve">
проверити збир!
</t>
        </r>
      </text>
    </comment>
    <comment ref="I12028" authorId="0">
      <text>
        <r>
          <rPr>
            <b/>
            <sz val="9"/>
            <color indexed="81"/>
            <rFont val="Tahoma"/>
            <family val="2"/>
          </rPr>
          <t>LPA:</t>
        </r>
        <r>
          <rPr>
            <sz val="9"/>
            <color indexed="81"/>
            <rFont val="Tahoma"/>
            <family val="2"/>
          </rPr>
          <t xml:space="preserve">
проверити збир!
</t>
        </r>
      </text>
    </comment>
    <comment ref="H12032" authorId="0">
      <text>
        <r>
          <rPr>
            <b/>
            <sz val="9"/>
            <color indexed="81"/>
            <rFont val="Tahoma"/>
            <family val="2"/>
          </rPr>
          <t>LPA:</t>
        </r>
        <r>
          <rPr>
            <sz val="9"/>
            <color indexed="81"/>
            <rFont val="Tahoma"/>
            <family val="2"/>
          </rPr>
          <t xml:space="preserve">
провери збир!</t>
        </r>
      </text>
    </comment>
    <comment ref="I12032" authorId="0">
      <text>
        <r>
          <rPr>
            <b/>
            <sz val="9"/>
            <color indexed="81"/>
            <rFont val="Tahoma"/>
            <family val="2"/>
          </rPr>
          <t>LPA:</t>
        </r>
        <r>
          <rPr>
            <sz val="9"/>
            <color indexed="81"/>
            <rFont val="Tahoma"/>
            <family val="2"/>
          </rPr>
          <t xml:space="preserve">
проверити збир!
</t>
        </r>
      </text>
    </comment>
    <comment ref="I12033" authorId="0">
      <text>
        <r>
          <rPr>
            <b/>
            <sz val="9"/>
            <color indexed="81"/>
            <rFont val="Tahoma"/>
            <family val="2"/>
          </rPr>
          <t>LPA:</t>
        </r>
        <r>
          <rPr>
            <sz val="9"/>
            <color indexed="81"/>
            <rFont val="Tahoma"/>
            <family val="2"/>
          </rPr>
          <t xml:space="preserve">
проверити збир!
</t>
        </r>
      </text>
    </comment>
    <comment ref="I12034" authorId="0">
      <text>
        <r>
          <rPr>
            <b/>
            <sz val="9"/>
            <color indexed="81"/>
            <rFont val="Tahoma"/>
            <family val="2"/>
          </rPr>
          <t>LPA:</t>
        </r>
        <r>
          <rPr>
            <sz val="9"/>
            <color indexed="81"/>
            <rFont val="Tahoma"/>
            <family val="2"/>
          </rPr>
          <t xml:space="preserve">
проверити збир!
</t>
        </r>
      </text>
    </comment>
    <comment ref="I12035" authorId="0">
      <text>
        <r>
          <rPr>
            <b/>
            <sz val="9"/>
            <color indexed="81"/>
            <rFont val="Tahoma"/>
            <family val="2"/>
          </rPr>
          <t>LPA:</t>
        </r>
        <r>
          <rPr>
            <sz val="9"/>
            <color indexed="81"/>
            <rFont val="Tahoma"/>
            <family val="2"/>
          </rPr>
          <t xml:space="preserve">
проверити збир!
</t>
        </r>
      </text>
    </comment>
    <comment ref="I12036" authorId="0">
      <text>
        <r>
          <rPr>
            <b/>
            <sz val="9"/>
            <color indexed="81"/>
            <rFont val="Tahoma"/>
            <family val="2"/>
          </rPr>
          <t>LPA:</t>
        </r>
        <r>
          <rPr>
            <sz val="9"/>
            <color indexed="81"/>
            <rFont val="Tahoma"/>
            <family val="2"/>
          </rPr>
          <t xml:space="preserve">
проверити збир!
</t>
        </r>
      </text>
    </comment>
    <comment ref="I12037" authorId="0">
      <text>
        <r>
          <rPr>
            <b/>
            <sz val="9"/>
            <color indexed="81"/>
            <rFont val="Tahoma"/>
            <family val="2"/>
          </rPr>
          <t>LPA:</t>
        </r>
        <r>
          <rPr>
            <sz val="9"/>
            <color indexed="81"/>
            <rFont val="Tahoma"/>
            <family val="2"/>
          </rPr>
          <t xml:space="preserve">
проверити збир!
</t>
        </r>
      </text>
    </comment>
    <comment ref="I12038" authorId="0">
      <text>
        <r>
          <rPr>
            <b/>
            <sz val="9"/>
            <color indexed="81"/>
            <rFont val="Tahoma"/>
            <family val="2"/>
          </rPr>
          <t>LPA:</t>
        </r>
        <r>
          <rPr>
            <sz val="9"/>
            <color indexed="81"/>
            <rFont val="Tahoma"/>
            <family val="2"/>
          </rPr>
          <t xml:space="preserve">
проверити збир!
</t>
        </r>
      </text>
    </comment>
    <comment ref="I12039" authorId="0">
      <text>
        <r>
          <rPr>
            <b/>
            <sz val="9"/>
            <color indexed="81"/>
            <rFont val="Tahoma"/>
            <family val="2"/>
          </rPr>
          <t>LPA:</t>
        </r>
        <r>
          <rPr>
            <sz val="9"/>
            <color indexed="81"/>
            <rFont val="Tahoma"/>
            <family val="2"/>
          </rPr>
          <t xml:space="preserve">
проверити збир!
</t>
        </r>
      </text>
    </comment>
    <comment ref="I12040" authorId="0">
      <text>
        <r>
          <rPr>
            <b/>
            <sz val="9"/>
            <color indexed="81"/>
            <rFont val="Tahoma"/>
            <family val="2"/>
          </rPr>
          <t>LPA:</t>
        </r>
        <r>
          <rPr>
            <sz val="9"/>
            <color indexed="81"/>
            <rFont val="Tahoma"/>
            <family val="2"/>
          </rPr>
          <t xml:space="preserve">
проверити збир!
</t>
        </r>
      </text>
    </comment>
    <comment ref="I12041" authorId="0">
      <text>
        <r>
          <rPr>
            <b/>
            <sz val="9"/>
            <color indexed="81"/>
            <rFont val="Tahoma"/>
            <family val="2"/>
          </rPr>
          <t>LPA:</t>
        </r>
        <r>
          <rPr>
            <sz val="9"/>
            <color indexed="81"/>
            <rFont val="Tahoma"/>
            <family val="2"/>
          </rPr>
          <t xml:space="preserve">
проверити збир!
</t>
        </r>
      </text>
    </comment>
    <comment ref="I12042" authorId="0">
      <text>
        <r>
          <rPr>
            <b/>
            <sz val="9"/>
            <color indexed="81"/>
            <rFont val="Tahoma"/>
            <family val="2"/>
          </rPr>
          <t>LPA:</t>
        </r>
        <r>
          <rPr>
            <sz val="9"/>
            <color indexed="81"/>
            <rFont val="Tahoma"/>
            <family val="2"/>
          </rPr>
          <t xml:space="preserve">
проверити збир!
</t>
        </r>
      </text>
    </comment>
    <comment ref="I12043" authorId="0">
      <text>
        <r>
          <rPr>
            <b/>
            <sz val="9"/>
            <color indexed="81"/>
            <rFont val="Tahoma"/>
            <family val="2"/>
          </rPr>
          <t>LPA:</t>
        </r>
        <r>
          <rPr>
            <sz val="9"/>
            <color indexed="81"/>
            <rFont val="Tahoma"/>
            <family val="2"/>
          </rPr>
          <t xml:space="preserve">
проверити збир!
</t>
        </r>
      </text>
    </comment>
    <comment ref="I12044" authorId="0">
      <text>
        <r>
          <rPr>
            <b/>
            <sz val="9"/>
            <color indexed="81"/>
            <rFont val="Tahoma"/>
            <family val="2"/>
          </rPr>
          <t>LPA:</t>
        </r>
        <r>
          <rPr>
            <sz val="9"/>
            <color indexed="81"/>
            <rFont val="Tahoma"/>
            <family val="2"/>
          </rPr>
          <t xml:space="preserve">
проверити збир!
</t>
        </r>
      </text>
    </comment>
    <comment ref="I12045" authorId="0">
      <text>
        <r>
          <rPr>
            <b/>
            <sz val="9"/>
            <color indexed="81"/>
            <rFont val="Tahoma"/>
            <family val="2"/>
          </rPr>
          <t>LPA:</t>
        </r>
        <r>
          <rPr>
            <sz val="9"/>
            <color indexed="81"/>
            <rFont val="Tahoma"/>
            <family val="2"/>
          </rPr>
          <t xml:space="preserve">
проверити збир!
</t>
        </r>
      </text>
    </comment>
    <comment ref="I12046" authorId="0">
      <text>
        <r>
          <rPr>
            <b/>
            <sz val="9"/>
            <color indexed="81"/>
            <rFont val="Tahoma"/>
            <family val="2"/>
          </rPr>
          <t>LPA:</t>
        </r>
        <r>
          <rPr>
            <sz val="9"/>
            <color indexed="81"/>
            <rFont val="Tahoma"/>
            <family val="2"/>
          </rPr>
          <t xml:space="preserve">
проверити збир!
</t>
        </r>
      </text>
    </comment>
    <comment ref="I12047" authorId="0">
      <text>
        <r>
          <rPr>
            <b/>
            <sz val="9"/>
            <color indexed="81"/>
            <rFont val="Tahoma"/>
            <family val="2"/>
          </rPr>
          <t>LPA:</t>
        </r>
        <r>
          <rPr>
            <sz val="9"/>
            <color indexed="81"/>
            <rFont val="Tahoma"/>
            <family val="2"/>
          </rPr>
          <t xml:space="preserve">
проверити збир!
</t>
        </r>
      </text>
    </comment>
    <comment ref="I12119" authorId="0">
      <text>
        <r>
          <rPr>
            <b/>
            <sz val="9"/>
            <color indexed="81"/>
            <rFont val="Tahoma"/>
            <family val="2"/>
          </rPr>
          <t>LPA:</t>
        </r>
        <r>
          <rPr>
            <sz val="9"/>
            <color indexed="81"/>
            <rFont val="Tahoma"/>
            <family val="2"/>
          </rPr>
          <t xml:space="preserve">
проверити збир!
</t>
        </r>
      </text>
    </comment>
    <comment ref="I12120" authorId="0">
      <text>
        <r>
          <rPr>
            <b/>
            <sz val="9"/>
            <color indexed="81"/>
            <rFont val="Tahoma"/>
            <family val="2"/>
          </rPr>
          <t>LPA:</t>
        </r>
        <r>
          <rPr>
            <sz val="9"/>
            <color indexed="81"/>
            <rFont val="Tahoma"/>
            <family val="2"/>
          </rPr>
          <t xml:space="preserve">
проверити збир!
</t>
        </r>
      </text>
    </comment>
    <comment ref="I12121" authorId="0">
      <text>
        <r>
          <rPr>
            <b/>
            <sz val="9"/>
            <color indexed="81"/>
            <rFont val="Tahoma"/>
            <family val="2"/>
          </rPr>
          <t>LPA:</t>
        </r>
        <r>
          <rPr>
            <sz val="9"/>
            <color indexed="81"/>
            <rFont val="Tahoma"/>
            <family val="2"/>
          </rPr>
          <t xml:space="preserve">
проверити збир!
</t>
        </r>
      </text>
    </comment>
    <comment ref="I12122" authorId="0">
      <text>
        <r>
          <rPr>
            <b/>
            <sz val="9"/>
            <color indexed="81"/>
            <rFont val="Tahoma"/>
            <family val="2"/>
          </rPr>
          <t>LPA:</t>
        </r>
        <r>
          <rPr>
            <sz val="9"/>
            <color indexed="81"/>
            <rFont val="Tahoma"/>
            <family val="2"/>
          </rPr>
          <t xml:space="preserve">
проверити збир!
</t>
        </r>
      </text>
    </comment>
    <comment ref="I12123" authorId="0">
      <text>
        <r>
          <rPr>
            <b/>
            <sz val="9"/>
            <color indexed="81"/>
            <rFont val="Tahoma"/>
            <family val="2"/>
          </rPr>
          <t>LPA:</t>
        </r>
        <r>
          <rPr>
            <sz val="9"/>
            <color indexed="81"/>
            <rFont val="Tahoma"/>
            <family val="2"/>
          </rPr>
          <t xml:space="preserve">
проверити збир!
</t>
        </r>
      </text>
    </comment>
    <comment ref="I12124" authorId="0">
      <text>
        <r>
          <rPr>
            <b/>
            <sz val="9"/>
            <color indexed="81"/>
            <rFont val="Tahoma"/>
            <family val="2"/>
          </rPr>
          <t>LPA:</t>
        </r>
        <r>
          <rPr>
            <sz val="9"/>
            <color indexed="81"/>
            <rFont val="Tahoma"/>
            <family val="2"/>
          </rPr>
          <t xml:space="preserve">
проверити збир!
</t>
        </r>
      </text>
    </comment>
    <comment ref="I12125" authorId="0">
      <text>
        <r>
          <rPr>
            <b/>
            <sz val="9"/>
            <color indexed="81"/>
            <rFont val="Tahoma"/>
            <family val="2"/>
          </rPr>
          <t>LPA:</t>
        </r>
        <r>
          <rPr>
            <sz val="9"/>
            <color indexed="81"/>
            <rFont val="Tahoma"/>
            <family val="2"/>
          </rPr>
          <t xml:space="preserve">
проверити збир!
</t>
        </r>
      </text>
    </comment>
    <comment ref="I12126" authorId="0">
      <text>
        <r>
          <rPr>
            <b/>
            <sz val="9"/>
            <color indexed="81"/>
            <rFont val="Tahoma"/>
            <family val="2"/>
          </rPr>
          <t>LPA:</t>
        </r>
        <r>
          <rPr>
            <sz val="9"/>
            <color indexed="81"/>
            <rFont val="Tahoma"/>
            <family val="2"/>
          </rPr>
          <t xml:space="preserve">
проверити збир!
</t>
        </r>
      </text>
    </comment>
    <comment ref="I12127" authorId="0">
      <text>
        <r>
          <rPr>
            <b/>
            <sz val="9"/>
            <color indexed="81"/>
            <rFont val="Tahoma"/>
            <family val="2"/>
          </rPr>
          <t>LPA:</t>
        </r>
        <r>
          <rPr>
            <sz val="9"/>
            <color indexed="81"/>
            <rFont val="Tahoma"/>
            <family val="2"/>
          </rPr>
          <t xml:space="preserve">
проверити збир!
</t>
        </r>
      </text>
    </comment>
    <comment ref="I12128" authorId="0">
      <text>
        <r>
          <rPr>
            <b/>
            <sz val="9"/>
            <color indexed="81"/>
            <rFont val="Tahoma"/>
            <family val="2"/>
          </rPr>
          <t>LPA:</t>
        </r>
        <r>
          <rPr>
            <sz val="9"/>
            <color indexed="81"/>
            <rFont val="Tahoma"/>
            <family val="2"/>
          </rPr>
          <t xml:space="preserve">
проверити збир!
</t>
        </r>
      </text>
    </comment>
    <comment ref="I12129" authorId="0">
      <text>
        <r>
          <rPr>
            <b/>
            <sz val="9"/>
            <color indexed="81"/>
            <rFont val="Tahoma"/>
            <family val="2"/>
          </rPr>
          <t>LPA:</t>
        </r>
        <r>
          <rPr>
            <sz val="9"/>
            <color indexed="81"/>
            <rFont val="Tahoma"/>
            <family val="2"/>
          </rPr>
          <t xml:space="preserve">
проверити збир!
</t>
        </r>
      </text>
    </comment>
    <comment ref="I12130" authorId="0">
      <text>
        <r>
          <rPr>
            <b/>
            <sz val="9"/>
            <color indexed="81"/>
            <rFont val="Tahoma"/>
            <family val="2"/>
          </rPr>
          <t>LPA:</t>
        </r>
        <r>
          <rPr>
            <sz val="9"/>
            <color indexed="81"/>
            <rFont val="Tahoma"/>
            <family val="2"/>
          </rPr>
          <t xml:space="preserve">
проверити збир!
</t>
        </r>
      </text>
    </comment>
    <comment ref="I12131" authorId="0">
      <text>
        <r>
          <rPr>
            <b/>
            <sz val="9"/>
            <color indexed="81"/>
            <rFont val="Tahoma"/>
            <family val="2"/>
          </rPr>
          <t>LPA:</t>
        </r>
        <r>
          <rPr>
            <sz val="9"/>
            <color indexed="81"/>
            <rFont val="Tahoma"/>
            <family val="2"/>
          </rPr>
          <t xml:space="preserve">
проверити збир!
</t>
        </r>
      </text>
    </comment>
    <comment ref="H12134" authorId="0">
      <text>
        <r>
          <rPr>
            <b/>
            <sz val="9"/>
            <color indexed="81"/>
            <rFont val="Tahoma"/>
            <family val="2"/>
          </rPr>
          <t>LPA:</t>
        </r>
        <r>
          <rPr>
            <sz val="9"/>
            <color indexed="81"/>
            <rFont val="Tahoma"/>
            <family val="2"/>
          </rPr>
          <t xml:space="preserve">
проверити збир!</t>
        </r>
      </text>
    </comment>
    <comment ref="I12134" authorId="0">
      <text>
        <r>
          <rPr>
            <b/>
            <sz val="9"/>
            <color indexed="81"/>
            <rFont val="Tahoma"/>
            <family val="2"/>
          </rPr>
          <t>LPA:</t>
        </r>
        <r>
          <rPr>
            <sz val="9"/>
            <color indexed="81"/>
            <rFont val="Tahoma"/>
            <family val="2"/>
          </rPr>
          <t xml:space="preserve">
проверити збир!</t>
        </r>
      </text>
    </comment>
    <comment ref="I12135" authorId="0">
      <text>
        <r>
          <rPr>
            <b/>
            <sz val="9"/>
            <color indexed="81"/>
            <rFont val="Tahoma"/>
            <family val="2"/>
          </rPr>
          <t>LPA:</t>
        </r>
        <r>
          <rPr>
            <sz val="9"/>
            <color indexed="81"/>
            <rFont val="Tahoma"/>
            <family val="2"/>
          </rPr>
          <t xml:space="preserve">
проверити збир!
</t>
        </r>
      </text>
    </comment>
    <comment ref="I12136" authorId="0">
      <text>
        <r>
          <rPr>
            <b/>
            <sz val="9"/>
            <color indexed="81"/>
            <rFont val="Tahoma"/>
            <family val="2"/>
          </rPr>
          <t>LPA:</t>
        </r>
        <r>
          <rPr>
            <sz val="9"/>
            <color indexed="81"/>
            <rFont val="Tahoma"/>
            <family val="2"/>
          </rPr>
          <t xml:space="preserve">
проверити збир!
</t>
        </r>
      </text>
    </comment>
    <comment ref="I12137" authorId="0">
      <text>
        <r>
          <rPr>
            <b/>
            <sz val="9"/>
            <color indexed="81"/>
            <rFont val="Tahoma"/>
            <family val="2"/>
          </rPr>
          <t>LPA:</t>
        </r>
        <r>
          <rPr>
            <sz val="9"/>
            <color indexed="81"/>
            <rFont val="Tahoma"/>
            <family val="2"/>
          </rPr>
          <t xml:space="preserve">
проверити збир!
</t>
        </r>
      </text>
    </comment>
    <comment ref="I12138" authorId="0">
      <text>
        <r>
          <rPr>
            <b/>
            <sz val="9"/>
            <color indexed="81"/>
            <rFont val="Tahoma"/>
            <family val="2"/>
          </rPr>
          <t>LPA:</t>
        </r>
        <r>
          <rPr>
            <sz val="9"/>
            <color indexed="81"/>
            <rFont val="Tahoma"/>
            <family val="2"/>
          </rPr>
          <t xml:space="preserve">
проверити збир!
</t>
        </r>
      </text>
    </comment>
    <comment ref="I12139" authorId="0">
      <text>
        <r>
          <rPr>
            <b/>
            <sz val="9"/>
            <color indexed="81"/>
            <rFont val="Tahoma"/>
            <family val="2"/>
          </rPr>
          <t>LPA:</t>
        </r>
        <r>
          <rPr>
            <sz val="9"/>
            <color indexed="81"/>
            <rFont val="Tahoma"/>
            <family val="2"/>
          </rPr>
          <t xml:space="preserve">
проверити збир!
</t>
        </r>
      </text>
    </comment>
    <comment ref="I12140" authorId="0">
      <text>
        <r>
          <rPr>
            <b/>
            <sz val="9"/>
            <color indexed="81"/>
            <rFont val="Tahoma"/>
            <family val="2"/>
          </rPr>
          <t>LPA:</t>
        </r>
        <r>
          <rPr>
            <sz val="9"/>
            <color indexed="81"/>
            <rFont val="Tahoma"/>
            <family val="2"/>
          </rPr>
          <t xml:space="preserve">
проверити збир!
</t>
        </r>
      </text>
    </comment>
    <comment ref="I12141" authorId="0">
      <text>
        <r>
          <rPr>
            <b/>
            <sz val="9"/>
            <color indexed="81"/>
            <rFont val="Tahoma"/>
            <family val="2"/>
          </rPr>
          <t>LPA:</t>
        </r>
        <r>
          <rPr>
            <sz val="9"/>
            <color indexed="81"/>
            <rFont val="Tahoma"/>
            <family val="2"/>
          </rPr>
          <t xml:space="preserve">
проверити збир!
</t>
        </r>
      </text>
    </comment>
    <comment ref="I12142" authorId="0">
      <text>
        <r>
          <rPr>
            <b/>
            <sz val="9"/>
            <color indexed="81"/>
            <rFont val="Tahoma"/>
            <family val="2"/>
          </rPr>
          <t>LPA:</t>
        </r>
        <r>
          <rPr>
            <sz val="9"/>
            <color indexed="81"/>
            <rFont val="Tahoma"/>
            <family val="2"/>
          </rPr>
          <t xml:space="preserve">
проверити збир!
</t>
        </r>
      </text>
    </comment>
    <comment ref="I12143" authorId="0">
      <text>
        <r>
          <rPr>
            <b/>
            <sz val="9"/>
            <color indexed="81"/>
            <rFont val="Tahoma"/>
            <family val="2"/>
          </rPr>
          <t>LPA:</t>
        </r>
        <r>
          <rPr>
            <sz val="9"/>
            <color indexed="81"/>
            <rFont val="Tahoma"/>
            <family val="2"/>
          </rPr>
          <t xml:space="preserve">
проверити збир!
</t>
        </r>
      </text>
    </comment>
    <comment ref="I12144" authorId="0">
      <text>
        <r>
          <rPr>
            <b/>
            <sz val="9"/>
            <color indexed="81"/>
            <rFont val="Tahoma"/>
            <family val="2"/>
          </rPr>
          <t>LPA:</t>
        </r>
        <r>
          <rPr>
            <sz val="9"/>
            <color indexed="81"/>
            <rFont val="Tahoma"/>
            <family val="2"/>
          </rPr>
          <t xml:space="preserve">
проверити збир!
</t>
        </r>
      </text>
    </comment>
    <comment ref="I12145" authorId="0">
      <text>
        <r>
          <rPr>
            <b/>
            <sz val="9"/>
            <color indexed="81"/>
            <rFont val="Tahoma"/>
            <family val="2"/>
          </rPr>
          <t>LPA:</t>
        </r>
        <r>
          <rPr>
            <sz val="9"/>
            <color indexed="81"/>
            <rFont val="Tahoma"/>
            <family val="2"/>
          </rPr>
          <t xml:space="preserve">
проверити збир!
</t>
        </r>
      </text>
    </comment>
    <comment ref="I12146" authorId="0">
      <text>
        <r>
          <rPr>
            <b/>
            <sz val="9"/>
            <color indexed="81"/>
            <rFont val="Tahoma"/>
            <family val="2"/>
          </rPr>
          <t>LPA:</t>
        </r>
        <r>
          <rPr>
            <sz val="9"/>
            <color indexed="81"/>
            <rFont val="Tahoma"/>
            <family val="2"/>
          </rPr>
          <t xml:space="preserve">
проверити збир!
</t>
        </r>
      </text>
    </comment>
    <comment ref="I12147" authorId="0">
      <text>
        <r>
          <rPr>
            <b/>
            <sz val="9"/>
            <color indexed="81"/>
            <rFont val="Tahoma"/>
            <family val="2"/>
          </rPr>
          <t>LPA:</t>
        </r>
        <r>
          <rPr>
            <sz val="9"/>
            <color indexed="81"/>
            <rFont val="Tahoma"/>
            <family val="2"/>
          </rPr>
          <t xml:space="preserve">
проверити збир!
</t>
        </r>
      </text>
    </comment>
    <comment ref="I12148" authorId="0">
      <text>
        <r>
          <rPr>
            <b/>
            <sz val="9"/>
            <color indexed="81"/>
            <rFont val="Tahoma"/>
            <family val="2"/>
          </rPr>
          <t>LPA:</t>
        </r>
        <r>
          <rPr>
            <sz val="9"/>
            <color indexed="81"/>
            <rFont val="Tahoma"/>
            <family val="2"/>
          </rPr>
          <t xml:space="preserve">
проверити збир!
</t>
        </r>
      </text>
    </comment>
    <comment ref="I12149" authorId="0">
      <text>
        <r>
          <rPr>
            <b/>
            <sz val="9"/>
            <color indexed="81"/>
            <rFont val="Tahoma"/>
            <family val="2"/>
          </rPr>
          <t>LPA:</t>
        </r>
        <r>
          <rPr>
            <sz val="9"/>
            <color indexed="81"/>
            <rFont val="Tahoma"/>
            <family val="2"/>
          </rPr>
          <t xml:space="preserve">
проверити збир!
</t>
        </r>
      </text>
    </comment>
    <comment ref="I12218" authorId="0">
      <text>
        <r>
          <rPr>
            <b/>
            <sz val="9"/>
            <color indexed="81"/>
            <rFont val="Tahoma"/>
            <family val="2"/>
          </rPr>
          <t>LPA:</t>
        </r>
        <r>
          <rPr>
            <sz val="9"/>
            <color indexed="81"/>
            <rFont val="Tahoma"/>
            <family val="2"/>
          </rPr>
          <t xml:space="preserve">
проверити збир!
</t>
        </r>
      </text>
    </comment>
    <comment ref="I12219" authorId="0">
      <text>
        <r>
          <rPr>
            <b/>
            <sz val="9"/>
            <color indexed="81"/>
            <rFont val="Tahoma"/>
            <family val="2"/>
          </rPr>
          <t>LPA:</t>
        </r>
        <r>
          <rPr>
            <sz val="9"/>
            <color indexed="81"/>
            <rFont val="Tahoma"/>
            <family val="2"/>
          </rPr>
          <t xml:space="preserve">
проверити збир!
</t>
        </r>
      </text>
    </comment>
    <comment ref="I12220" authorId="0">
      <text>
        <r>
          <rPr>
            <b/>
            <sz val="9"/>
            <color indexed="81"/>
            <rFont val="Tahoma"/>
            <family val="2"/>
          </rPr>
          <t>LPA:</t>
        </r>
        <r>
          <rPr>
            <sz val="9"/>
            <color indexed="81"/>
            <rFont val="Tahoma"/>
            <family val="2"/>
          </rPr>
          <t xml:space="preserve">
проверити збир!
</t>
        </r>
      </text>
    </comment>
    <comment ref="I12221" authorId="0">
      <text>
        <r>
          <rPr>
            <b/>
            <sz val="9"/>
            <color indexed="81"/>
            <rFont val="Tahoma"/>
            <family val="2"/>
          </rPr>
          <t>LPA:</t>
        </r>
        <r>
          <rPr>
            <sz val="9"/>
            <color indexed="81"/>
            <rFont val="Tahoma"/>
            <family val="2"/>
          </rPr>
          <t xml:space="preserve">
проверити збир!
</t>
        </r>
      </text>
    </comment>
    <comment ref="I12222" authorId="0">
      <text>
        <r>
          <rPr>
            <b/>
            <sz val="9"/>
            <color indexed="81"/>
            <rFont val="Tahoma"/>
            <family val="2"/>
          </rPr>
          <t>LPA:</t>
        </r>
        <r>
          <rPr>
            <sz val="9"/>
            <color indexed="81"/>
            <rFont val="Tahoma"/>
            <family val="2"/>
          </rPr>
          <t xml:space="preserve">
проверити збир!
</t>
        </r>
      </text>
    </comment>
    <comment ref="I12223" authorId="0">
      <text>
        <r>
          <rPr>
            <b/>
            <sz val="9"/>
            <color indexed="81"/>
            <rFont val="Tahoma"/>
            <family val="2"/>
          </rPr>
          <t>LPA:</t>
        </r>
        <r>
          <rPr>
            <sz val="9"/>
            <color indexed="81"/>
            <rFont val="Tahoma"/>
            <family val="2"/>
          </rPr>
          <t xml:space="preserve">
проверити збир!
</t>
        </r>
      </text>
    </comment>
    <comment ref="I12224" authorId="0">
      <text>
        <r>
          <rPr>
            <b/>
            <sz val="9"/>
            <color indexed="81"/>
            <rFont val="Tahoma"/>
            <family val="2"/>
          </rPr>
          <t>LPA:</t>
        </r>
        <r>
          <rPr>
            <sz val="9"/>
            <color indexed="81"/>
            <rFont val="Tahoma"/>
            <family val="2"/>
          </rPr>
          <t xml:space="preserve">
проверити збир!
</t>
        </r>
      </text>
    </comment>
    <comment ref="I12225" authorId="0">
      <text>
        <r>
          <rPr>
            <b/>
            <sz val="9"/>
            <color indexed="81"/>
            <rFont val="Tahoma"/>
            <family val="2"/>
          </rPr>
          <t>LPA:</t>
        </r>
        <r>
          <rPr>
            <sz val="9"/>
            <color indexed="81"/>
            <rFont val="Tahoma"/>
            <family val="2"/>
          </rPr>
          <t xml:space="preserve">
проверити збир!
</t>
        </r>
      </text>
    </comment>
    <comment ref="I12226" authorId="0">
      <text>
        <r>
          <rPr>
            <b/>
            <sz val="9"/>
            <color indexed="81"/>
            <rFont val="Tahoma"/>
            <family val="2"/>
          </rPr>
          <t>LPA:</t>
        </r>
        <r>
          <rPr>
            <sz val="9"/>
            <color indexed="81"/>
            <rFont val="Tahoma"/>
            <family val="2"/>
          </rPr>
          <t xml:space="preserve">
проверити збир!
</t>
        </r>
      </text>
    </comment>
    <comment ref="I12227" authorId="0">
      <text>
        <r>
          <rPr>
            <b/>
            <sz val="9"/>
            <color indexed="81"/>
            <rFont val="Tahoma"/>
            <family val="2"/>
          </rPr>
          <t>LPA:</t>
        </r>
        <r>
          <rPr>
            <sz val="9"/>
            <color indexed="81"/>
            <rFont val="Tahoma"/>
            <family val="2"/>
          </rPr>
          <t xml:space="preserve">
проверити збир!
</t>
        </r>
      </text>
    </comment>
    <comment ref="I12228" authorId="0">
      <text>
        <r>
          <rPr>
            <b/>
            <sz val="9"/>
            <color indexed="81"/>
            <rFont val="Tahoma"/>
            <family val="2"/>
          </rPr>
          <t>LPA:</t>
        </r>
        <r>
          <rPr>
            <sz val="9"/>
            <color indexed="81"/>
            <rFont val="Tahoma"/>
            <family val="2"/>
          </rPr>
          <t xml:space="preserve">
проверити збир!
</t>
        </r>
      </text>
    </comment>
    <comment ref="I12229" authorId="0">
      <text>
        <r>
          <rPr>
            <b/>
            <sz val="9"/>
            <color indexed="81"/>
            <rFont val="Tahoma"/>
            <family val="2"/>
          </rPr>
          <t>LPA:</t>
        </r>
        <r>
          <rPr>
            <sz val="9"/>
            <color indexed="81"/>
            <rFont val="Tahoma"/>
            <family val="2"/>
          </rPr>
          <t xml:space="preserve">
проверити збир!
</t>
        </r>
      </text>
    </comment>
    <comment ref="I12230" authorId="0">
      <text>
        <r>
          <rPr>
            <b/>
            <sz val="9"/>
            <color indexed="81"/>
            <rFont val="Tahoma"/>
            <family val="2"/>
          </rPr>
          <t>LPA:</t>
        </r>
        <r>
          <rPr>
            <sz val="9"/>
            <color indexed="81"/>
            <rFont val="Tahoma"/>
            <family val="2"/>
          </rPr>
          <t xml:space="preserve">
проверити збир!
</t>
        </r>
      </text>
    </comment>
    <comment ref="H12233" authorId="0">
      <text>
        <r>
          <rPr>
            <b/>
            <sz val="9"/>
            <color indexed="81"/>
            <rFont val="Tahoma"/>
            <family val="2"/>
          </rPr>
          <t>LPA:</t>
        </r>
        <r>
          <rPr>
            <sz val="9"/>
            <color indexed="81"/>
            <rFont val="Tahoma"/>
            <family val="2"/>
          </rPr>
          <t xml:space="preserve">
проверити збир!</t>
        </r>
      </text>
    </comment>
    <comment ref="I12233" authorId="0">
      <text>
        <r>
          <rPr>
            <b/>
            <sz val="9"/>
            <color indexed="81"/>
            <rFont val="Tahoma"/>
            <family val="2"/>
          </rPr>
          <t>LPA:</t>
        </r>
        <r>
          <rPr>
            <sz val="9"/>
            <color indexed="81"/>
            <rFont val="Tahoma"/>
            <family val="2"/>
          </rPr>
          <t xml:space="preserve">
проверити збир!</t>
        </r>
      </text>
    </comment>
    <comment ref="I12234" authorId="0">
      <text>
        <r>
          <rPr>
            <b/>
            <sz val="9"/>
            <color indexed="81"/>
            <rFont val="Tahoma"/>
            <family val="2"/>
          </rPr>
          <t>LPA:</t>
        </r>
        <r>
          <rPr>
            <sz val="9"/>
            <color indexed="81"/>
            <rFont val="Tahoma"/>
            <family val="2"/>
          </rPr>
          <t xml:space="preserve">
проверити збир!
</t>
        </r>
      </text>
    </comment>
    <comment ref="I12235" authorId="0">
      <text>
        <r>
          <rPr>
            <b/>
            <sz val="9"/>
            <color indexed="81"/>
            <rFont val="Tahoma"/>
            <family val="2"/>
          </rPr>
          <t>LPA:</t>
        </r>
        <r>
          <rPr>
            <sz val="9"/>
            <color indexed="81"/>
            <rFont val="Tahoma"/>
            <family val="2"/>
          </rPr>
          <t xml:space="preserve">
проверити збир!
</t>
        </r>
      </text>
    </comment>
    <comment ref="I12236" authorId="0">
      <text>
        <r>
          <rPr>
            <b/>
            <sz val="9"/>
            <color indexed="81"/>
            <rFont val="Tahoma"/>
            <family val="2"/>
          </rPr>
          <t>LPA:</t>
        </r>
        <r>
          <rPr>
            <sz val="9"/>
            <color indexed="81"/>
            <rFont val="Tahoma"/>
            <family val="2"/>
          </rPr>
          <t xml:space="preserve">
проверити збир!
</t>
        </r>
      </text>
    </comment>
    <comment ref="I12237" authorId="0">
      <text>
        <r>
          <rPr>
            <b/>
            <sz val="9"/>
            <color indexed="81"/>
            <rFont val="Tahoma"/>
            <family val="2"/>
          </rPr>
          <t>LPA:</t>
        </r>
        <r>
          <rPr>
            <sz val="9"/>
            <color indexed="81"/>
            <rFont val="Tahoma"/>
            <family val="2"/>
          </rPr>
          <t xml:space="preserve">
проверити збир!
</t>
        </r>
      </text>
    </comment>
    <comment ref="I12238" authorId="0">
      <text>
        <r>
          <rPr>
            <b/>
            <sz val="9"/>
            <color indexed="81"/>
            <rFont val="Tahoma"/>
            <family val="2"/>
          </rPr>
          <t>LPA:</t>
        </r>
        <r>
          <rPr>
            <sz val="9"/>
            <color indexed="81"/>
            <rFont val="Tahoma"/>
            <family val="2"/>
          </rPr>
          <t xml:space="preserve">
проверити збир!
</t>
        </r>
      </text>
    </comment>
    <comment ref="I12239" authorId="0">
      <text>
        <r>
          <rPr>
            <b/>
            <sz val="9"/>
            <color indexed="81"/>
            <rFont val="Tahoma"/>
            <family val="2"/>
          </rPr>
          <t>LPA:</t>
        </r>
        <r>
          <rPr>
            <sz val="9"/>
            <color indexed="81"/>
            <rFont val="Tahoma"/>
            <family val="2"/>
          </rPr>
          <t xml:space="preserve">
проверити збир!
</t>
        </r>
      </text>
    </comment>
    <comment ref="I12240" authorId="0">
      <text>
        <r>
          <rPr>
            <b/>
            <sz val="9"/>
            <color indexed="81"/>
            <rFont val="Tahoma"/>
            <family val="2"/>
          </rPr>
          <t>LPA:</t>
        </r>
        <r>
          <rPr>
            <sz val="9"/>
            <color indexed="81"/>
            <rFont val="Tahoma"/>
            <family val="2"/>
          </rPr>
          <t xml:space="preserve">
проверити збир!
</t>
        </r>
      </text>
    </comment>
    <comment ref="I12241" authorId="0">
      <text>
        <r>
          <rPr>
            <b/>
            <sz val="9"/>
            <color indexed="81"/>
            <rFont val="Tahoma"/>
            <family val="2"/>
          </rPr>
          <t>LPA:</t>
        </r>
        <r>
          <rPr>
            <sz val="9"/>
            <color indexed="81"/>
            <rFont val="Tahoma"/>
            <family val="2"/>
          </rPr>
          <t xml:space="preserve">
проверити збир!
</t>
        </r>
      </text>
    </comment>
    <comment ref="I12242" authorId="0">
      <text>
        <r>
          <rPr>
            <b/>
            <sz val="9"/>
            <color indexed="81"/>
            <rFont val="Tahoma"/>
            <family val="2"/>
          </rPr>
          <t>LPA:</t>
        </r>
        <r>
          <rPr>
            <sz val="9"/>
            <color indexed="81"/>
            <rFont val="Tahoma"/>
            <family val="2"/>
          </rPr>
          <t xml:space="preserve">
проверити збир!
</t>
        </r>
      </text>
    </comment>
    <comment ref="I12243" authorId="0">
      <text>
        <r>
          <rPr>
            <b/>
            <sz val="9"/>
            <color indexed="81"/>
            <rFont val="Tahoma"/>
            <family val="2"/>
          </rPr>
          <t>LPA:</t>
        </r>
        <r>
          <rPr>
            <sz val="9"/>
            <color indexed="81"/>
            <rFont val="Tahoma"/>
            <family val="2"/>
          </rPr>
          <t xml:space="preserve">
проверити збир!
</t>
        </r>
      </text>
    </comment>
    <comment ref="I12244" authorId="0">
      <text>
        <r>
          <rPr>
            <b/>
            <sz val="9"/>
            <color indexed="81"/>
            <rFont val="Tahoma"/>
            <family val="2"/>
          </rPr>
          <t>LPA:</t>
        </r>
        <r>
          <rPr>
            <sz val="9"/>
            <color indexed="81"/>
            <rFont val="Tahoma"/>
            <family val="2"/>
          </rPr>
          <t xml:space="preserve">
проверити збир!
</t>
        </r>
      </text>
    </comment>
    <comment ref="I12245" authorId="0">
      <text>
        <r>
          <rPr>
            <b/>
            <sz val="9"/>
            <color indexed="81"/>
            <rFont val="Tahoma"/>
            <family val="2"/>
          </rPr>
          <t>LPA:</t>
        </r>
        <r>
          <rPr>
            <sz val="9"/>
            <color indexed="81"/>
            <rFont val="Tahoma"/>
            <family val="2"/>
          </rPr>
          <t xml:space="preserve">
проверити збир!
</t>
        </r>
      </text>
    </comment>
    <comment ref="I12246" authorId="0">
      <text>
        <r>
          <rPr>
            <b/>
            <sz val="9"/>
            <color indexed="81"/>
            <rFont val="Tahoma"/>
            <family val="2"/>
          </rPr>
          <t>LPA:</t>
        </r>
        <r>
          <rPr>
            <sz val="9"/>
            <color indexed="81"/>
            <rFont val="Tahoma"/>
            <family val="2"/>
          </rPr>
          <t xml:space="preserve">
проверити збир!
</t>
        </r>
      </text>
    </comment>
    <comment ref="I12247" authorId="0">
      <text>
        <r>
          <rPr>
            <b/>
            <sz val="9"/>
            <color indexed="81"/>
            <rFont val="Tahoma"/>
            <family val="2"/>
          </rPr>
          <t>LPA:</t>
        </r>
        <r>
          <rPr>
            <sz val="9"/>
            <color indexed="81"/>
            <rFont val="Tahoma"/>
            <family val="2"/>
          </rPr>
          <t xml:space="preserve">
проверити збир!
</t>
        </r>
      </text>
    </comment>
    <comment ref="I12248" authorId="0">
      <text>
        <r>
          <rPr>
            <b/>
            <sz val="9"/>
            <color indexed="81"/>
            <rFont val="Tahoma"/>
            <family val="2"/>
          </rPr>
          <t>LPA:</t>
        </r>
        <r>
          <rPr>
            <sz val="9"/>
            <color indexed="81"/>
            <rFont val="Tahoma"/>
            <family val="2"/>
          </rPr>
          <t xml:space="preserve">
проверити збир!
</t>
        </r>
      </text>
    </comment>
    <comment ref="H12258" authorId="0">
      <text>
        <r>
          <rPr>
            <b/>
            <sz val="9"/>
            <color indexed="81"/>
            <rFont val="Tahoma"/>
            <family val="2"/>
          </rPr>
          <t>LPA:</t>
        </r>
        <r>
          <rPr>
            <sz val="9"/>
            <color indexed="81"/>
            <rFont val="Tahoma"/>
            <family val="2"/>
          </rPr>
          <t xml:space="preserve">
проверити збир!</t>
        </r>
      </text>
    </comment>
    <comment ref="I12258" authorId="0">
      <text>
        <r>
          <rPr>
            <b/>
            <sz val="9"/>
            <color indexed="81"/>
            <rFont val="Tahoma"/>
            <family val="2"/>
          </rPr>
          <t>LPA:</t>
        </r>
        <r>
          <rPr>
            <sz val="9"/>
            <color indexed="81"/>
            <rFont val="Tahoma"/>
            <family val="2"/>
          </rPr>
          <t xml:space="preserve">
проверити збир!</t>
        </r>
      </text>
    </comment>
    <comment ref="H12268" authorId="0">
      <text>
        <r>
          <rPr>
            <b/>
            <sz val="9"/>
            <color indexed="81"/>
            <rFont val="Tahoma"/>
            <family val="2"/>
          </rPr>
          <t>LPA:</t>
        </r>
        <r>
          <rPr>
            <sz val="9"/>
            <color indexed="81"/>
            <rFont val="Tahoma"/>
            <family val="2"/>
          </rPr>
          <t xml:space="preserve">
проверити збир!</t>
        </r>
      </text>
    </comment>
    <comment ref="I12268" authorId="0">
      <text>
        <r>
          <rPr>
            <b/>
            <sz val="9"/>
            <color indexed="81"/>
            <rFont val="Tahoma"/>
            <family val="2"/>
          </rPr>
          <t>LPA:</t>
        </r>
        <r>
          <rPr>
            <sz val="9"/>
            <color indexed="81"/>
            <rFont val="Tahoma"/>
            <family val="2"/>
          </rPr>
          <t xml:space="preserve">
проверити збир!</t>
        </r>
      </text>
    </comment>
    <comment ref="H12295" authorId="0">
      <text>
        <r>
          <rPr>
            <b/>
            <sz val="9"/>
            <color indexed="81"/>
            <rFont val="Tahoma"/>
            <family val="2"/>
          </rPr>
          <t>LPA:</t>
        </r>
        <r>
          <rPr>
            <sz val="9"/>
            <color indexed="81"/>
            <rFont val="Tahoma"/>
            <family val="2"/>
          </rPr>
          <t xml:space="preserve">
проверити збир!</t>
        </r>
      </text>
    </comment>
    <comment ref="I12295" authorId="0">
      <text>
        <r>
          <rPr>
            <b/>
            <sz val="9"/>
            <color indexed="81"/>
            <rFont val="Tahoma"/>
            <family val="2"/>
          </rPr>
          <t>LPA:</t>
        </r>
        <r>
          <rPr>
            <sz val="9"/>
            <color indexed="81"/>
            <rFont val="Tahoma"/>
            <family val="2"/>
          </rPr>
          <t xml:space="preserve">
проверити збир!
</t>
        </r>
      </text>
    </comment>
    <comment ref="I12296" authorId="0">
      <text>
        <r>
          <rPr>
            <b/>
            <sz val="9"/>
            <color indexed="81"/>
            <rFont val="Tahoma"/>
            <family val="2"/>
          </rPr>
          <t>LPA:</t>
        </r>
        <r>
          <rPr>
            <sz val="9"/>
            <color indexed="81"/>
            <rFont val="Tahoma"/>
            <family val="2"/>
          </rPr>
          <t xml:space="preserve">
проверити збир!
</t>
        </r>
      </text>
    </comment>
    <comment ref="I12297" authorId="0">
      <text>
        <r>
          <rPr>
            <b/>
            <sz val="9"/>
            <color indexed="81"/>
            <rFont val="Tahoma"/>
            <family val="2"/>
          </rPr>
          <t>LPA:</t>
        </r>
        <r>
          <rPr>
            <sz val="9"/>
            <color indexed="81"/>
            <rFont val="Tahoma"/>
            <family val="2"/>
          </rPr>
          <t xml:space="preserve">
проверити збир!
</t>
        </r>
      </text>
    </comment>
    <comment ref="I12298" authorId="0">
      <text>
        <r>
          <rPr>
            <b/>
            <sz val="9"/>
            <color indexed="81"/>
            <rFont val="Tahoma"/>
            <family val="2"/>
          </rPr>
          <t>LPA:</t>
        </r>
        <r>
          <rPr>
            <sz val="9"/>
            <color indexed="81"/>
            <rFont val="Tahoma"/>
            <family val="2"/>
          </rPr>
          <t xml:space="preserve">
проверити збир!
</t>
        </r>
      </text>
    </comment>
    <comment ref="I12299" authorId="0">
      <text>
        <r>
          <rPr>
            <b/>
            <sz val="9"/>
            <color indexed="81"/>
            <rFont val="Tahoma"/>
            <family val="2"/>
          </rPr>
          <t>LPA:</t>
        </r>
        <r>
          <rPr>
            <sz val="9"/>
            <color indexed="81"/>
            <rFont val="Tahoma"/>
            <family val="2"/>
          </rPr>
          <t xml:space="preserve">
проверити збир!
</t>
        </r>
      </text>
    </comment>
    <comment ref="I12300" authorId="0">
      <text>
        <r>
          <rPr>
            <b/>
            <sz val="9"/>
            <color indexed="81"/>
            <rFont val="Tahoma"/>
            <family val="2"/>
          </rPr>
          <t>LPA:</t>
        </r>
        <r>
          <rPr>
            <sz val="9"/>
            <color indexed="81"/>
            <rFont val="Tahoma"/>
            <family val="2"/>
          </rPr>
          <t xml:space="preserve">
проверити збир!
</t>
        </r>
      </text>
    </comment>
    <comment ref="I12301" authorId="0">
      <text>
        <r>
          <rPr>
            <b/>
            <sz val="9"/>
            <color indexed="81"/>
            <rFont val="Tahoma"/>
            <family val="2"/>
          </rPr>
          <t>LPA:</t>
        </r>
        <r>
          <rPr>
            <sz val="9"/>
            <color indexed="81"/>
            <rFont val="Tahoma"/>
            <family val="2"/>
          </rPr>
          <t xml:space="preserve">
проверити збир!
</t>
        </r>
      </text>
    </comment>
    <comment ref="I12302" authorId="0">
      <text>
        <r>
          <rPr>
            <b/>
            <sz val="9"/>
            <color indexed="81"/>
            <rFont val="Tahoma"/>
            <family val="2"/>
          </rPr>
          <t>LPA:</t>
        </r>
        <r>
          <rPr>
            <sz val="9"/>
            <color indexed="81"/>
            <rFont val="Tahoma"/>
            <family val="2"/>
          </rPr>
          <t xml:space="preserve">
проверити збир!
</t>
        </r>
      </text>
    </comment>
    <comment ref="I12303" authorId="0">
      <text>
        <r>
          <rPr>
            <b/>
            <sz val="9"/>
            <color indexed="81"/>
            <rFont val="Tahoma"/>
            <family val="2"/>
          </rPr>
          <t>LPA:</t>
        </r>
        <r>
          <rPr>
            <sz val="9"/>
            <color indexed="81"/>
            <rFont val="Tahoma"/>
            <family val="2"/>
          </rPr>
          <t xml:space="preserve">
проверити збир!
</t>
        </r>
      </text>
    </comment>
    <comment ref="I12304" authorId="0">
      <text>
        <r>
          <rPr>
            <b/>
            <sz val="9"/>
            <color indexed="81"/>
            <rFont val="Tahoma"/>
            <family val="2"/>
          </rPr>
          <t>LPA:</t>
        </r>
        <r>
          <rPr>
            <sz val="9"/>
            <color indexed="81"/>
            <rFont val="Tahoma"/>
            <family val="2"/>
          </rPr>
          <t xml:space="preserve">
проверити збир!
</t>
        </r>
      </text>
    </comment>
    <comment ref="I12305" authorId="0">
      <text>
        <r>
          <rPr>
            <b/>
            <sz val="9"/>
            <color indexed="81"/>
            <rFont val="Tahoma"/>
            <family val="2"/>
          </rPr>
          <t>LPA:</t>
        </r>
        <r>
          <rPr>
            <sz val="9"/>
            <color indexed="81"/>
            <rFont val="Tahoma"/>
            <family val="2"/>
          </rPr>
          <t xml:space="preserve">
проверити збир!
</t>
        </r>
      </text>
    </comment>
    <comment ref="I12306" authorId="0">
      <text>
        <r>
          <rPr>
            <b/>
            <sz val="9"/>
            <color indexed="81"/>
            <rFont val="Tahoma"/>
            <family val="2"/>
          </rPr>
          <t>LPA:</t>
        </r>
        <r>
          <rPr>
            <sz val="9"/>
            <color indexed="81"/>
            <rFont val="Tahoma"/>
            <family val="2"/>
          </rPr>
          <t xml:space="preserve">
проверити збир!
</t>
        </r>
      </text>
    </comment>
    <comment ref="I12307" authorId="0">
      <text>
        <r>
          <rPr>
            <b/>
            <sz val="9"/>
            <color indexed="81"/>
            <rFont val="Tahoma"/>
            <family val="2"/>
          </rPr>
          <t>LPA:</t>
        </r>
        <r>
          <rPr>
            <sz val="9"/>
            <color indexed="81"/>
            <rFont val="Tahoma"/>
            <family val="2"/>
          </rPr>
          <t xml:space="preserve">
проверити збир!
</t>
        </r>
      </text>
    </comment>
    <comment ref="I12308" authorId="0">
      <text>
        <r>
          <rPr>
            <b/>
            <sz val="9"/>
            <color indexed="81"/>
            <rFont val="Tahoma"/>
            <family val="2"/>
          </rPr>
          <t>LPA:</t>
        </r>
        <r>
          <rPr>
            <sz val="9"/>
            <color indexed="81"/>
            <rFont val="Tahoma"/>
            <family val="2"/>
          </rPr>
          <t xml:space="preserve">
проверити збир!
</t>
        </r>
      </text>
    </comment>
    <comment ref="I12309" authorId="0">
      <text>
        <r>
          <rPr>
            <b/>
            <sz val="9"/>
            <color indexed="81"/>
            <rFont val="Tahoma"/>
            <family val="2"/>
          </rPr>
          <t>LPA:</t>
        </r>
        <r>
          <rPr>
            <sz val="9"/>
            <color indexed="81"/>
            <rFont val="Tahoma"/>
            <family val="2"/>
          </rPr>
          <t xml:space="preserve">
проверити збир!
</t>
        </r>
      </text>
    </comment>
    <comment ref="I12310" authorId="0">
      <text>
        <r>
          <rPr>
            <b/>
            <sz val="9"/>
            <color indexed="81"/>
            <rFont val="Tahoma"/>
            <family val="2"/>
          </rPr>
          <t>LPA:</t>
        </r>
        <r>
          <rPr>
            <sz val="9"/>
            <color indexed="81"/>
            <rFont val="Tahoma"/>
            <family val="2"/>
          </rPr>
          <t xml:space="preserve">
проверити збир!
</t>
        </r>
      </text>
    </comment>
    <comment ref="H12314" authorId="0">
      <text>
        <r>
          <rPr>
            <b/>
            <sz val="9"/>
            <color indexed="81"/>
            <rFont val="Tahoma"/>
            <family val="2"/>
          </rPr>
          <t>LPA:</t>
        </r>
        <r>
          <rPr>
            <sz val="9"/>
            <color indexed="81"/>
            <rFont val="Tahoma"/>
            <family val="2"/>
          </rPr>
          <t xml:space="preserve">
провери збир!</t>
        </r>
      </text>
    </comment>
    <comment ref="I12314" authorId="0">
      <text>
        <r>
          <rPr>
            <b/>
            <sz val="9"/>
            <color indexed="81"/>
            <rFont val="Tahoma"/>
            <family val="2"/>
          </rPr>
          <t>LPA:</t>
        </r>
        <r>
          <rPr>
            <sz val="9"/>
            <color indexed="81"/>
            <rFont val="Tahoma"/>
            <family val="2"/>
          </rPr>
          <t xml:space="preserve">
проверити збир!
</t>
        </r>
      </text>
    </comment>
    <comment ref="I12315" authorId="0">
      <text>
        <r>
          <rPr>
            <b/>
            <sz val="9"/>
            <color indexed="81"/>
            <rFont val="Tahoma"/>
            <family val="2"/>
          </rPr>
          <t>LPA:</t>
        </r>
        <r>
          <rPr>
            <sz val="9"/>
            <color indexed="81"/>
            <rFont val="Tahoma"/>
            <family val="2"/>
          </rPr>
          <t xml:space="preserve">
проверити збир!
</t>
        </r>
      </text>
    </comment>
    <comment ref="I12316" authorId="0">
      <text>
        <r>
          <rPr>
            <b/>
            <sz val="9"/>
            <color indexed="81"/>
            <rFont val="Tahoma"/>
            <family val="2"/>
          </rPr>
          <t>LPA:</t>
        </r>
        <r>
          <rPr>
            <sz val="9"/>
            <color indexed="81"/>
            <rFont val="Tahoma"/>
            <family val="2"/>
          </rPr>
          <t xml:space="preserve">
проверити збир!
</t>
        </r>
      </text>
    </comment>
    <comment ref="I12317" authorId="0">
      <text>
        <r>
          <rPr>
            <b/>
            <sz val="9"/>
            <color indexed="81"/>
            <rFont val="Tahoma"/>
            <family val="2"/>
          </rPr>
          <t>LPA:</t>
        </r>
        <r>
          <rPr>
            <sz val="9"/>
            <color indexed="81"/>
            <rFont val="Tahoma"/>
            <family val="2"/>
          </rPr>
          <t xml:space="preserve">
проверити збир!
</t>
        </r>
      </text>
    </comment>
    <comment ref="I12318" authorId="0">
      <text>
        <r>
          <rPr>
            <b/>
            <sz val="9"/>
            <color indexed="81"/>
            <rFont val="Tahoma"/>
            <family val="2"/>
          </rPr>
          <t>LPA:</t>
        </r>
        <r>
          <rPr>
            <sz val="9"/>
            <color indexed="81"/>
            <rFont val="Tahoma"/>
            <family val="2"/>
          </rPr>
          <t xml:space="preserve">
проверити збир!
</t>
        </r>
      </text>
    </comment>
    <comment ref="I12319" authorId="0">
      <text>
        <r>
          <rPr>
            <b/>
            <sz val="9"/>
            <color indexed="81"/>
            <rFont val="Tahoma"/>
            <family val="2"/>
          </rPr>
          <t>LPA:</t>
        </r>
        <r>
          <rPr>
            <sz val="9"/>
            <color indexed="81"/>
            <rFont val="Tahoma"/>
            <family val="2"/>
          </rPr>
          <t xml:space="preserve">
проверити збир!
</t>
        </r>
      </text>
    </comment>
    <comment ref="I12320" authorId="0">
      <text>
        <r>
          <rPr>
            <b/>
            <sz val="9"/>
            <color indexed="81"/>
            <rFont val="Tahoma"/>
            <family val="2"/>
          </rPr>
          <t>LPA:</t>
        </r>
        <r>
          <rPr>
            <sz val="9"/>
            <color indexed="81"/>
            <rFont val="Tahoma"/>
            <family val="2"/>
          </rPr>
          <t xml:space="preserve">
проверити збир!
</t>
        </r>
      </text>
    </comment>
    <comment ref="I12321" authorId="0">
      <text>
        <r>
          <rPr>
            <b/>
            <sz val="9"/>
            <color indexed="81"/>
            <rFont val="Tahoma"/>
            <family val="2"/>
          </rPr>
          <t>LPA:</t>
        </r>
        <r>
          <rPr>
            <sz val="9"/>
            <color indexed="81"/>
            <rFont val="Tahoma"/>
            <family val="2"/>
          </rPr>
          <t xml:space="preserve">
проверити збир!
</t>
        </r>
      </text>
    </comment>
    <comment ref="I12322" authorId="0">
      <text>
        <r>
          <rPr>
            <b/>
            <sz val="9"/>
            <color indexed="81"/>
            <rFont val="Tahoma"/>
            <family val="2"/>
          </rPr>
          <t>LPA:</t>
        </r>
        <r>
          <rPr>
            <sz val="9"/>
            <color indexed="81"/>
            <rFont val="Tahoma"/>
            <family val="2"/>
          </rPr>
          <t xml:space="preserve">
проверити збир!
</t>
        </r>
      </text>
    </comment>
    <comment ref="I12323" authorId="0">
      <text>
        <r>
          <rPr>
            <b/>
            <sz val="9"/>
            <color indexed="81"/>
            <rFont val="Tahoma"/>
            <family val="2"/>
          </rPr>
          <t>LPA:</t>
        </r>
        <r>
          <rPr>
            <sz val="9"/>
            <color indexed="81"/>
            <rFont val="Tahoma"/>
            <family val="2"/>
          </rPr>
          <t xml:space="preserve">
проверити збир!
</t>
        </r>
      </text>
    </comment>
    <comment ref="I12324" authorId="0">
      <text>
        <r>
          <rPr>
            <b/>
            <sz val="9"/>
            <color indexed="81"/>
            <rFont val="Tahoma"/>
            <family val="2"/>
          </rPr>
          <t>LPA:</t>
        </r>
        <r>
          <rPr>
            <sz val="9"/>
            <color indexed="81"/>
            <rFont val="Tahoma"/>
            <family val="2"/>
          </rPr>
          <t xml:space="preserve">
проверити збир!
</t>
        </r>
      </text>
    </comment>
    <comment ref="I12325" authorId="0">
      <text>
        <r>
          <rPr>
            <b/>
            <sz val="9"/>
            <color indexed="81"/>
            <rFont val="Tahoma"/>
            <family val="2"/>
          </rPr>
          <t>LPA:</t>
        </r>
        <r>
          <rPr>
            <sz val="9"/>
            <color indexed="81"/>
            <rFont val="Tahoma"/>
            <family val="2"/>
          </rPr>
          <t xml:space="preserve">
проверити збир!
</t>
        </r>
      </text>
    </comment>
    <comment ref="I12326" authorId="0">
      <text>
        <r>
          <rPr>
            <b/>
            <sz val="9"/>
            <color indexed="81"/>
            <rFont val="Tahoma"/>
            <family val="2"/>
          </rPr>
          <t>LPA:</t>
        </r>
        <r>
          <rPr>
            <sz val="9"/>
            <color indexed="81"/>
            <rFont val="Tahoma"/>
            <family val="2"/>
          </rPr>
          <t xml:space="preserve">
проверити збир!
</t>
        </r>
      </text>
    </comment>
    <comment ref="I12327" authorId="0">
      <text>
        <r>
          <rPr>
            <b/>
            <sz val="9"/>
            <color indexed="81"/>
            <rFont val="Tahoma"/>
            <family val="2"/>
          </rPr>
          <t>LPA:</t>
        </r>
        <r>
          <rPr>
            <sz val="9"/>
            <color indexed="81"/>
            <rFont val="Tahoma"/>
            <family val="2"/>
          </rPr>
          <t xml:space="preserve">
проверити збир!
</t>
        </r>
      </text>
    </comment>
    <comment ref="I12328" authorId="0">
      <text>
        <r>
          <rPr>
            <b/>
            <sz val="9"/>
            <color indexed="81"/>
            <rFont val="Tahoma"/>
            <family val="2"/>
          </rPr>
          <t>LPA:</t>
        </r>
        <r>
          <rPr>
            <sz val="9"/>
            <color indexed="81"/>
            <rFont val="Tahoma"/>
            <family val="2"/>
          </rPr>
          <t xml:space="preserve">
проверити збир!
</t>
        </r>
      </text>
    </comment>
    <comment ref="I12329" authorId="0">
      <text>
        <r>
          <rPr>
            <b/>
            <sz val="9"/>
            <color indexed="81"/>
            <rFont val="Tahoma"/>
            <family val="2"/>
          </rPr>
          <t>LPA:</t>
        </r>
        <r>
          <rPr>
            <sz val="9"/>
            <color indexed="81"/>
            <rFont val="Tahoma"/>
            <family val="2"/>
          </rPr>
          <t xml:space="preserve">
проверити збир!
</t>
        </r>
      </text>
    </comment>
    <comment ref="I12387" authorId="0">
      <text>
        <r>
          <rPr>
            <b/>
            <sz val="9"/>
            <color indexed="81"/>
            <rFont val="Tahoma"/>
            <family val="2"/>
          </rPr>
          <t>LPA:</t>
        </r>
        <r>
          <rPr>
            <sz val="9"/>
            <color indexed="81"/>
            <rFont val="Tahoma"/>
            <family val="2"/>
          </rPr>
          <t xml:space="preserve">
проверити збир!
</t>
        </r>
      </text>
    </comment>
    <comment ref="I12388" authorId="0">
      <text>
        <r>
          <rPr>
            <b/>
            <sz val="9"/>
            <color indexed="81"/>
            <rFont val="Tahoma"/>
            <family val="2"/>
          </rPr>
          <t>LPA:</t>
        </r>
        <r>
          <rPr>
            <sz val="9"/>
            <color indexed="81"/>
            <rFont val="Tahoma"/>
            <family val="2"/>
          </rPr>
          <t xml:space="preserve">
проверити збир!
</t>
        </r>
      </text>
    </comment>
    <comment ref="I12389" authorId="0">
      <text>
        <r>
          <rPr>
            <b/>
            <sz val="9"/>
            <color indexed="81"/>
            <rFont val="Tahoma"/>
            <family val="2"/>
          </rPr>
          <t>LPA:</t>
        </r>
        <r>
          <rPr>
            <sz val="9"/>
            <color indexed="81"/>
            <rFont val="Tahoma"/>
            <family val="2"/>
          </rPr>
          <t xml:space="preserve">
проверити збир!
</t>
        </r>
      </text>
    </comment>
    <comment ref="I12390" authorId="0">
      <text>
        <r>
          <rPr>
            <b/>
            <sz val="9"/>
            <color indexed="81"/>
            <rFont val="Tahoma"/>
            <family val="2"/>
          </rPr>
          <t>LPA:</t>
        </r>
        <r>
          <rPr>
            <sz val="9"/>
            <color indexed="81"/>
            <rFont val="Tahoma"/>
            <family val="2"/>
          </rPr>
          <t xml:space="preserve">
проверити збир!
</t>
        </r>
      </text>
    </comment>
    <comment ref="I12391" authorId="0">
      <text>
        <r>
          <rPr>
            <b/>
            <sz val="9"/>
            <color indexed="81"/>
            <rFont val="Tahoma"/>
            <family val="2"/>
          </rPr>
          <t>LPA:</t>
        </r>
        <r>
          <rPr>
            <sz val="9"/>
            <color indexed="81"/>
            <rFont val="Tahoma"/>
            <family val="2"/>
          </rPr>
          <t xml:space="preserve">
проверити збир!
</t>
        </r>
      </text>
    </comment>
    <comment ref="I12392" authorId="0">
      <text>
        <r>
          <rPr>
            <b/>
            <sz val="9"/>
            <color indexed="81"/>
            <rFont val="Tahoma"/>
            <family val="2"/>
          </rPr>
          <t>LPA:</t>
        </r>
        <r>
          <rPr>
            <sz val="9"/>
            <color indexed="81"/>
            <rFont val="Tahoma"/>
            <family val="2"/>
          </rPr>
          <t xml:space="preserve">
проверити збир!
</t>
        </r>
      </text>
    </comment>
    <comment ref="I12393" authorId="0">
      <text>
        <r>
          <rPr>
            <b/>
            <sz val="9"/>
            <color indexed="81"/>
            <rFont val="Tahoma"/>
            <family val="2"/>
          </rPr>
          <t>LPA:</t>
        </r>
        <r>
          <rPr>
            <sz val="9"/>
            <color indexed="81"/>
            <rFont val="Tahoma"/>
            <family val="2"/>
          </rPr>
          <t xml:space="preserve">
проверити збир!
</t>
        </r>
      </text>
    </comment>
    <comment ref="I12394" authorId="0">
      <text>
        <r>
          <rPr>
            <b/>
            <sz val="9"/>
            <color indexed="81"/>
            <rFont val="Tahoma"/>
            <family val="2"/>
          </rPr>
          <t>LPA:</t>
        </r>
        <r>
          <rPr>
            <sz val="9"/>
            <color indexed="81"/>
            <rFont val="Tahoma"/>
            <family val="2"/>
          </rPr>
          <t xml:space="preserve">
проверити збир!
</t>
        </r>
      </text>
    </comment>
    <comment ref="I12395" authorId="0">
      <text>
        <r>
          <rPr>
            <b/>
            <sz val="9"/>
            <color indexed="81"/>
            <rFont val="Tahoma"/>
            <family val="2"/>
          </rPr>
          <t>LPA:</t>
        </r>
        <r>
          <rPr>
            <sz val="9"/>
            <color indexed="81"/>
            <rFont val="Tahoma"/>
            <family val="2"/>
          </rPr>
          <t xml:space="preserve">
проверити збир!
</t>
        </r>
      </text>
    </comment>
    <comment ref="I12396" authorId="0">
      <text>
        <r>
          <rPr>
            <b/>
            <sz val="9"/>
            <color indexed="81"/>
            <rFont val="Tahoma"/>
            <family val="2"/>
          </rPr>
          <t>LPA:</t>
        </r>
        <r>
          <rPr>
            <sz val="9"/>
            <color indexed="81"/>
            <rFont val="Tahoma"/>
            <family val="2"/>
          </rPr>
          <t xml:space="preserve">
проверити збир!
</t>
        </r>
      </text>
    </comment>
    <comment ref="I12397" authorId="0">
      <text>
        <r>
          <rPr>
            <b/>
            <sz val="9"/>
            <color indexed="81"/>
            <rFont val="Tahoma"/>
            <family val="2"/>
          </rPr>
          <t>LPA:</t>
        </r>
        <r>
          <rPr>
            <sz val="9"/>
            <color indexed="81"/>
            <rFont val="Tahoma"/>
            <family val="2"/>
          </rPr>
          <t xml:space="preserve">
проверити збир!
</t>
        </r>
      </text>
    </comment>
    <comment ref="I12398" authorId="0">
      <text>
        <r>
          <rPr>
            <b/>
            <sz val="9"/>
            <color indexed="81"/>
            <rFont val="Tahoma"/>
            <family val="2"/>
          </rPr>
          <t>LPA:</t>
        </r>
        <r>
          <rPr>
            <sz val="9"/>
            <color indexed="81"/>
            <rFont val="Tahoma"/>
            <family val="2"/>
          </rPr>
          <t xml:space="preserve">
проверити збир!
</t>
        </r>
      </text>
    </comment>
    <comment ref="I12399" authorId="0">
      <text>
        <r>
          <rPr>
            <b/>
            <sz val="9"/>
            <color indexed="81"/>
            <rFont val="Tahoma"/>
            <family val="2"/>
          </rPr>
          <t>LPA:</t>
        </r>
        <r>
          <rPr>
            <sz val="9"/>
            <color indexed="81"/>
            <rFont val="Tahoma"/>
            <family val="2"/>
          </rPr>
          <t xml:space="preserve">
проверити збир!
</t>
        </r>
      </text>
    </comment>
    <comment ref="H12402" authorId="0">
      <text>
        <r>
          <rPr>
            <b/>
            <sz val="9"/>
            <color indexed="81"/>
            <rFont val="Tahoma"/>
            <family val="2"/>
          </rPr>
          <t>LPA:</t>
        </r>
        <r>
          <rPr>
            <sz val="9"/>
            <color indexed="81"/>
            <rFont val="Tahoma"/>
            <family val="2"/>
          </rPr>
          <t xml:space="preserve">
проверити збир!</t>
        </r>
      </text>
    </comment>
    <comment ref="I12402" authorId="0">
      <text>
        <r>
          <rPr>
            <b/>
            <sz val="9"/>
            <color indexed="81"/>
            <rFont val="Tahoma"/>
            <family val="2"/>
          </rPr>
          <t>LPA:</t>
        </r>
        <r>
          <rPr>
            <sz val="9"/>
            <color indexed="81"/>
            <rFont val="Tahoma"/>
            <family val="2"/>
          </rPr>
          <t xml:space="preserve">
проверити збир!</t>
        </r>
      </text>
    </comment>
    <comment ref="I12403" authorId="0">
      <text>
        <r>
          <rPr>
            <b/>
            <sz val="9"/>
            <color indexed="81"/>
            <rFont val="Tahoma"/>
            <family val="2"/>
          </rPr>
          <t>LPA:</t>
        </r>
        <r>
          <rPr>
            <sz val="9"/>
            <color indexed="81"/>
            <rFont val="Tahoma"/>
            <family val="2"/>
          </rPr>
          <t xml:space="preserve">
проверити збир!
</t>
        </r>
      </text>
    </comment>
    <comment ref="I12404" authorId="0">
      <text>
        <r>
          <rPr>
            <b/>
            <sz val="9"/>
            <color indexed="81"/>
            <rFont val="Tahoma"/>
            <family val="2"/>
          </rPr>
          <t>LPA:</t>
        </r>
        <r>
          <rPr>
            <sz val="9"/>
            <color indexed="81"/>
            <rFont val="Tahoma"/>
            <family val="2"/>
          </rPr>
          <t xml:space="preserve">
проверити збир!
</t>
        </r>
      </text>
    </comment>
    <comment ref="I12405" authorId="0">
      <text>
        <r>
          <rPr>
            <b/>
            <sz val="9"/>
            <color indexed="81"/>
            <rFont val="Tahoma"/>
            <family val="2"/>
          </rPr>
          <t>LPA:</t>
        </r>
        <r>
          <rPr>
            <sz val="9"/>
            <color indexed="81"/>
            <rFont val="Tahoma"/>
            <family val="2"/>
          </rPr>
          <t xml:space="preserve">
проверити збир!
</t>
        </r>
      </text>
    </comment>
    <comment ref="I12406" authorId="0">
      <text>
        <r>
          <rPr>
            <b/>
            <sz val="9"/>
            <color indexed="81"/>
            <rFont val="Tahoma"/>
            <family val="2"/>
          </rPr>
          <t>LPA:</t>
        </r>
        <r>
          <rPr>
            <sz val="9"/>
            <color indexed="81"/>
            <rFont val="Tahoma"/>
            <family val="2"/>
          </rPr>
          <t xml:space="preserve">
проверити збир!
</t>
        </r>
      </text>
    </comment>
    <comment ref="I12407" authorId="0">
      <text>
        <r>
          <rPr>
            <b/>
            <sz val="9"/>
            <color indexed="81"/>
            <rFont val="Tahoma"/>
            <family val="2"/>
          </rPr>
          <t>LPA:</t>
        </r>
        <r>
          <rPr>
            <sz val="9"/>
            <color indexed="81"/>
            <rFont val="Tahoma"/>
            <family val="2"/>
          </rPr>
          <t xml:space="preserve">
проверити збир!
</t>
        </r>
      </text>
    </comment>
    <comment ref="I12408" authorId="0">
      <text>
        <r>
          <rPr>
            <b/>
            <sz val="9"/>
            <color indexed="81"/>
            <rFont val="Tahoma"/>
            <family val="2"/>
          </rPr>
          <t>LPA:</t>
        </r>
        <r>
          <rPr>
            <sz val="9"/>
            <color indexed="81"/>
            <rFont val="Tahoma"/>
            <family val="2"/>
          </rPr>
          <t xml:space="preserve">
проверити збир!
</t>
        </r>
      </text>
    </comment>
    <comment ref="I12409" authorId="0">
      <text>
        <r>
          <rPr>
            <b/>
            <sz val="9"/>
            <color indexed="81"/>
            <rFont val="Tahoma"/>
            <family val="2"/>
          </rPr>
          <t>LPA:</t>
        </r>
        <r>
          <rPr>
            <sz val="9"/>
            <color indexed="81"/>
            <rFont val="Tahoma"/>
            <family val="2"/>
          </rPr>
          <t xml:space="preserve">
проверити збир!
</t>
        </r>
      </text>
    </comment>
    <comment ref="I12410" authorId="0">
      <text>
        <r>
          <rPr>
            <b/>
            <sz val="9"/>
            <color indexed="81"/>
            <rFont val="Tahoma"/>
            <family val="2"/>
          </rPr>
          <t>LPA:</t>
        </r>
        <r>
          <rPr>
            <sz val="9"/>
            <color indexed="81"/>
            <rFont val="Tahoma"/>
            <family val="2"/>
          </rPr>
          <t xml:space="preserve">
проверити збир!
</t>
        </r>
      </text>
    </comment>
    <comment ref="I12411" authorId="0">
      <text>
        <r>
          <rPr>
            <b/>
            <sz val="9"/>
            <color indexed="81"/>
            <rFont val="Tahoma"/>
            <family val="2"/>
          </rPr>
          <t>LPA:</t>
        </r>
        <r>
          <rPr>
            <sz val="9"/>
            <color indexed="81"/>
            <rFont val="Tahoma"/>
            <family val="2"/>
          </rPr>
          <t xml:space="preserve">
проверити збир!
</t>
        </r>
      </text>
    </comment>
    <comment ref="I12412" authorId="0">
      <text>
        <r>
          <rPr>
            <b/>
            <sz val="9"/>
            <color indexed="81"/>
            <rFont val="Tahoma"/>
            <family val="2"/>
          </rPr>
          <t>LPA:</t>
        </r>
        <r>
          <rPr>
            <sz val="9"/>
            <color indexed="81"/>
            <rFont val="Tahoma"/>
            <family val="2"/>
          </rPr>
          <t xml:space="preserve">
проверити збир!
</t>
        </r>
      </text>
    </comment>
    <comment ref="I12413" authorId="0">
      <text>
        <r>
          <rPr>
            <b/>
            <sz val="9"/>
            <color indexed="81"/>
            <rFont val="Tahoma"/>
            <family val="2"/>
          </rPr>
          <t>LPA:</t>
        </r>
        <r>
          <rPr>
            <sz val="9"/>
            <color indexed="81"/>
            <rFont val="Tahoma"/>
            <family val="2"/>
          </rPr>
          <t xml:space="preserve">
проверити збир!
</t>
        </r>
      </text>
    </comment>
    <comment ref="I12414" authorId="0">
      <text>
        <r>
          <rPr>
            <b/>
            <sz val="9"/>
            <color indexed="81"/>
            <rFont val="Tahoma"/>
            <family val="2"/>
          </rPr>
          <t>LPA:</t>
        </r>
        <r>
          <rPr>
            <sz val="9"/>
            <color indexed="81"/>
            <rFont val="Tahoma"/>
            <family val="2"/>
          </rPr>
          <t xml:space="preserve">
проверити збир!
</t>
        </r>
      </text>
    </comment>
    <comment ref="I12415" authorId="0">
      <text>
        <r>
          <rPr>
            <b/>
            <sz val="9"/>
            <color indexed="81"/>
            <rFont val="Tahoma"/>
            <family val="2"/>
          </rPr>
          <t>LPA:</t>
        </r>
        <r>
          <rPr>
            <sz val="9"/>
            <color indexed="81"/>
            <rFont val="Tahoma"/>
            <family val="2"/>
          </rPr>
          <t xml:space="preserve">
проверити збир!
</t>
        </r>
      </text>
    </comment>
    <comment ref="I12416" authorId="0">
      <text>
        <r>
          <rPr>
            <b/>
            <sz val="9"/>
            <color indexed="81"/>
            <rFont val="Tahoma"/>
            <family val="2"/>
          </rPr>
          <t>LPA:</t>
        </r>
        <r>
          <rPr>
            <sz val="9"/>
            <color indexed="81"/>
            <rFont val="Tahoma"/>
            <family val="2"/>
          </rPr>
          <t xml:space="preserve">
проверити збир!
</t>
        </r>
      </text>
    </comment>
    <comment ref="I12417" authorId="0">
      <text>
        <r>
          <rPr>
            <b/>
            <sz val="9"/>
            <color indexed="81"/>
            <rFont val="Tahoma"/>
            <family val="2"/>
          </rPr>
          <t>LPA:</t>
        </r>
        <r>
          <rPr>
            <sz val="9"/>
            <color indexed="81"/>
            <rFont val="Tahoma"/>
            <family val="2"/>
          </rPr>
          <t xml:space="preserve">
проверити збир!
</t>
        </r>
      </text>
    </comment>
    <comment ref="H12420" authorId="0">
      <text>
        <r>
          <rPr>
            <b/>
            <sz val="9"/>
            <color indexed="81"/>
            <rFont val="Tahoma"/>
            <family val="2"/>
          </rPr>
          <t>LPA:</t>
        </r>
        <r>
          <rPr>
            <sz val="9"/>
            <color indexed="81"/>
            <rFont val="Tahoma"/>
            <family val="2"/>
          </rPr>
          <t xml:space="preserve">
проверити збир!</t>
        </r>
      </text>
    </comment>
    <comment ref="I12420" authorId="0">
      <text>
        <r>
          <rPr>
            <b/>
            <sz val="9"/>
            <color indexed="81"/>
            <rFont val="Tahoma"/>
            <family val="2"/>
          </rPr>
          <t>LPA:</t>
        </r>
        <r>
          <rPr>
            <sz val="9"/>
            <color indexed="81"/>
            <rFont val="Tahoma"/>
            <family val="2"/>
          </rPr>
          <t xml:space="preserve">
проверити збир!
</t>
        </r>
      </text>
    </comment>
    <comment ref="H12423" authorId="0">
      <text>
        <r>
          <rPr>
            <b/>
            <sz val="9"/>
            <color indexed="81"/>
            <rFont val="Tahoma"/>
            <family val="2"/>
          </rPr>
          <t>LPA:</t>
        </r>
        <r>
          <rPr>
            <sz val="9"/>
            <color indexed="81"/>
            <rFont val="Tahoma"/>
            <family val="2"/>
          </rPr>
          <t xml:space="preserve">
провери збир!</t>
        </r>
      </text>
    </comment>
    <comment ref="I12423" authorId="0">
      <text>
        <r>
          <rPr>
            <b/>
            <sz val="9"/>
            <color indexed="81"/>
            <rFont val="Tahoma"/>
            <family val="2"/>
          </rPr>
          <t>LPA:</t>
        </r>
        <r>
          <rPr>
            <sz val="9"/>
            <color indexed="81"/>
            <rFont val="Tahoma"/>
            <family val="2"/>
          </rPr>
          <t xml:space="preserve">
проверити збир!
</t>
        </r>
      </text>
    </comment>
    <comment ref="I12518" authorId="0">
      <text>
        <r>
          <rPr>
            <b/>
            <sz val="9"/>
            <color indexed="81"/>
            <rFont val="Tahoma"/>
            <family val="2"/>
          </rPr>
          <t>LPA:</t>
        </r>
        <r>
          <rPr>
            <sz val="9"/>
            <color indexed="81"/>
            <rFont val="Tahoma"/>
            <family val="2"/>
          </rPr>
          <t xml:space="preserve">
проверити збир!
</t>
        </r>
      </text>
    </comment>
    <comment ref="I12519" authorId="0">
      <text>
        <r>
          <rPr>
            <b/>
            <sz val="9"/>
            <color indexed="81"/>
            <rFont val="Tahoma"/>
            <family val="2"/>
          </rPr>
          <t>LPA:</t>
        </r>
        <r>
          <rPr>
            <sz val="9"/>
            <color indexed="81"/>
            <rFont val="Tahoma"/>
            <family val="2"/>
          </rPr>
          <t xml:space="preserve">
проверити збир!
</t>
        </r>
      </text>
    </comment>
    <comment ref="I12520" authorId="0">
      <text>
        <r>
          <rPr>
            <b/>
            <sz val="9"/>
            <color indexed="81"/>
            <rFont val="Tahoma"/>
            <family val="2"/>
          </rPr>
          <t>LPA:</t>
        </r>
        <r>
          <rPr>
            <sz val="9"/>
            <color indexed="81"/>
            <rFont val="Tahoma"/>
            <family val="2"/>
          </rPr>
          <t xml:space="preserve">
проверити збир!
</t>
        </r>
      </text>
    </comment>
    <comment ref="I12521" authorId="0">
      <text>
        <r>
          <rPr>
            <b/>
            <sz val="9"/>
            <color indexed="81"/>
            <rFont val="Tahoma"/>
            <family val="2"/>
          </rPr>
          <t>LPA:</t>
        </r>
        <r>
          <rPr>
            <sz val="9"/>
            <color indexed="81"/>
            <rFont val="Tahoma"/>
            <family val="2"/>
          </rPr>
          <t xml:space="preserve">
проверити збир!
</t>
        </r>
      </text>
    </comment>
    <comment ref="I12522" authorId="0">
      <text>
        <r>
          <rPr>
            <b/>
            <sz val="9"/>
            <color indexed="81"/>
            <rFont val="Tahoma"/>
            <family val="2"/>
          </rPr>
          <t>LPA:</t>
        </r>
        <r>
          <rPr>
            <sz val="9"/>
            <color indexed="81"/>
            <rFont val="Tahoma"/>
            <family val="2"/>
          </rPr>
          <t xml:space="preserve">
проверити збир!
</t>
        </r>
      </text>
    </comment>
    <comment ref="I12523" authorId="0">
      <text>
        <r>
          <rPr>
            <b/>
            <sz val="9"/>
            <color indexed="81"/>
            <rFont val="Tahoma"/>
            <family val="2"/>
          </rPr>
          <t>LPA:</t>
        </r>
        <r>
          <rPr>
            <sz val="9"/>
            <color indexed="81"/>
            <rFont val="Tahoma"/>
            <family val="2"/>
          </rPr>
          <t xml:space="preserve">
проверити збир!
</t>
        </r>
      </text>
    </comment>
    <comment ref="I12524" authorId="0">
      <text>
        <r>
          <rPr>
            <b/>
            <sz val="9"/>
            <color indexed="81"/>
            <rFont val="Tahoma"/>
            <family val="2"/>
          </rPr>
          <t>LPA:</t>
        </r>
        <r>
          <rPr>
            <sz val="9"/>
            <color indexed="81"/>
            <rFont val="Tahoma"/>
            <family val="2"/>
          </rPr>
          <t xml:space="preserve">
проверити збир!
</t>
        </r>
      </text>
    </comment>
    <comment ref="I12525" authorId="0">
      <text>
        <r>
          <rPr>
            <b/>
            <sz val="9"/>
            <color indexed="81"/>
            <rFont val="Tahoma"/>
            <family val="2"/>
          </rPr>
          <t>LPA:</t>
        </r>
        <r>
          <rPr>
            <sz val="9"/>
            <color indexed="81"/>
            <rFont val="Tahoma"/>
            <family val="2"/>
          </rPr>
          <t xml:space="preserve">
проверити збир!
</t>
        </r>
      </text>
    </comment>
    <comment ref="I12526" authorId="0">
      <text>
        <r>
          <rPr>
            <b/>
            <sz val="9"/>
            <color indexed="81"/>
            <rFont val="Tahoma"/>
            <family val="2"/>
          </rPr>
          <t>LPA:</t>
        </r>
        <r>
          <rPr>
            <sz val="9"/>
            <color indexed="81"/>
            <rFont val="Tahoma"/>
            <family val="2"/>
          </rPr>
          <t xml:space="preserve">
проверити збир!
</t>
        </r>
      </text>
    </comment>
    <comment ref="I12527" authorId="0">
      <text>
        <r>
          <rPr>
            <b/>
            <sz val="9"/>
            <color indexed="81"/>
            <rFont val="Tahoma"/>
            <family val="2"/>
          </rPr>
          <t>LPA:</t>
        </r>
        <r>
          <rPr>
            <sz val="9"/>
            <color indexed="81"/>
            <rFont val="Tahoma"/>
            <family val="2"/>
          </rPr>
          <t xml:space="preserve">
проверити збир!
</t>
        </r>
      </text>
    </comment>
    <comment ref="I12528" authorId="0">
      <text>
        <r>
          <rPr>
            <b/>
            <sz val="9"/>
            <color indexed="81"/>
            <rFont val="Tahoma"/>
            <family val="2"/>
          </rPr>
          <t>LPA:</t>
        </r>
        <r>
          <rPr>
            <sz val="9"/>
            <color indexed="81"/>
            <rFont val="Tahoma"/>
            <family val="2"/>
          </rPr>
          <t xml:space="preserve">
проверити збир!
</t>
        </r>
      </text>
    </comment>
    <comment ref="I12529" authorId="0">
      <text>
        <r>
          <rPr>
            <b/>
            <sz val="9"/>
            <color indexed="81"/>
            <rFont val="Tahoma"/>
            <family val="2"/>
          </rPr>
          <t>LPA:</t>
        </r>
        <r>
          <rPr>
            <sz val="9"/>
            <color indexed="81"/>
            <rFont val="Tahoma"/>
            <family val="2"/>
          </rPr>
          <t xml:space="preserve">
проверити збир!
</t>
        </r>
      </text>
    </comment>
    <comment ref="I12530" authorId="0">
      <text>
        <r>
          <rPr>
            <b/>
            <sz val="9"/>
            <color indexed="81"/>
            <rFont val="Tahoma"/>
            <family val="2"/>
          </rPr>
          <t>LPA:</t>
        </r>
        <r>
          <rPr>
            <sz val="9"/>
            <color indexed="81"/>
            <rFont val="Tahoma"/>
            <family val="2"/>
          </rPr>
          <t xml:space="preserve">
проверити збир!
</t>
        </r>
      </text>
    </comment>
    <comment ref="H12533" authorId="0">
      <text>
        <r>
          <rPr>
            <b/>
            <sz val="9"/>
            <color indexed="81"/>
            <rFont val="Tahoma"/>
            <family val="2"/>
          </rPr>
          <t>LPA:</t>
        </r>
        <r>
          <rPr>
            <sz val="9"/>
            <color indexed="81"/>
            <rFont val="Tahoma"/>
            <family val="2"/>
          </rPr>
          <t xml:space="preserve">
проверити збир!</t>
        </r>
      </text>
    </comment>
    <comment ref="I12533" authorId="0">
      <text>
        <r>
          <rPr>
            <b/>
            <sz val="9"/>
            <color indexed="81"/>
            <rFont val="Tahoma"/>
            <family val="2"/>
          </rPr>
          <t>LPA:</t>
        </r>
        <r>
          <rPr>
            <sz val="9"/>
            <color indexed="81"/>
            <rFont val="Tahoma"/>
            <family val="2"/>
          </rPr>
          <t xml:space="preserve">
проверити збир!</t>
        </r>
      </text>
    </comment>
    <comment ref="I12534" authorId="0">
      <text>
        <r>
          <rPr>
            <b/>
            <sz val="9"/>
            <color indexed="81"/>
            <rFont val="Tahoma"/>
            <family val="2"/>
          </rPr>
          <t>LPA:</t>
        </r>
        <r>
          <rPr>
            <sz val="9"/>
            <color indexed="81"/>
            <rFont val="Tahoma"/>
            <family val="2"/>
          </rPr>
          <t xml:space="preserve">
проверити збир!
</t>
        </r>
      </text>
    </comment>
    <comment ref="I12535" authorId="0">
      <text>
        <r>
          <rPr>
            <b/>
            <sz val="9"/>
            <color indexed="81"/>
            <rFont val="Tahoma"/>
            <family val="2"/>
          </rPr>
          <t>LPA:</t>
        </r>
        <r>
          <rPr>
            <sz val="9"/>
            <color indexed="81"/>
            <rFont val="Tahoma"/>
            <family val="2"/>
          </rPr>
          <t xml:space="preserve">
проверити збир!
</t>
        </r>
      </text>
    </comment>
    <comment ref="I12536" authorId="0">
      <text>
        <r>
          <rPr>
            <b/>
            <sz val="9"/>
            <color indexed="81"/>
            <rFont val="Tahoma"/>
            <family val="2"/>
          </rPr>
          <t>LPA:</t>
        </r>
        <r>
          <rPr>
            <sz val="9"/>
            <color indexed="81"/>
            <rFont val="Tahoma"/>
            <family val="2"/>
          </rPr>
          <t xml:space="preserve">
проверити збир!
</t>
        </r>
      </text>
    </comment>
    <comment ref="I12537" authorId="0">
      <text>
        <r>
          <rPr>
            <b/>
            <sz val="9"/>
            <color indexed="81"/>
            <rFont val="Tahoma"/>
            <family val="2"/>
          </rPr>
          <t>LPA:</t>
        </r>
        <r>
          <rPr>
            <sz val="9"/>
            <color indexed="81"/>
            <rFont val="Tahoma"/>
            <family val="2"/>
          </rPr>
          <t xml:space="preserve">
проверити збир!
</t>
        </r>
      </text>
    </comment>
    <comment ref="I12538" authorId="0">
      <text>
        <r>
          <rPr>
            <b/>
            <sz val="9"/>
            <color indexed="81"/>
            <rFont val="Tahoma"/>
            <family val="2"/>
          </rPr>
          <t>LPA:</t>
        </r>
        <r>
          <rPr>
            <sz val="9"/>
            <color indexed="81"/>
            <rFont val="Tahoma"/>
            <family val="2"/>
          </rPr>
          <t xml:space="preserve">
проверити збир!
</t>
        </r>
      </text>
    </comment>
    <comment ref="I12539" authorId="0">
      <text>
        <r>
          <rPr>
            <b/>
            <sz val="9"/>
            <color indexed="81"/>
            <rFont val="Tahoma"/>
            <family val="2"/>
          </rPr>
          <t>LPA:</t>
        </r>
        <r>
          <rPr>
            <sz val="9"/>
            <color indexed="81"/>
            <rFont val="Tahoma"/>
            <family val="2"/>
          </rPr>
          <t xml:space="preserve">
проверити збир!
</t>
        </r>
      </text>
    </comment>
    <comment ref="I12540" authorId="0">
      <text>
        <r>
          <rPr>
            <b/>
            <sz val="9"/>
            <color indexed="81"/>
            <rFont val="Tahoma"/>
            <family val="2"/>
          </rPr>
          <t>LPA:</t>
        </r>
        <r>
          <rPr>
            <sz val="9"/>
            <color indexed="81"/>
            <rFont val="Tahoma"/>
            <family val="2"/>
          </rPr>
          <t xml:space="preserve">
проверити збир!
</t>
        </r>
      </text>
    </comment>
    <comment ref="I12541" authorId="0">
      <text>
        <r>
          <rPr>
            <b/>
            <sz val="9"/>
            <color indexed="81"/>
            <rFont val="Tahoma"/>
            <family val="2"/>
          </rPr>
          <t>LPA:</t>
        </r>
        <r>
          <rPr>
            <sz val="9"/>
            <color indexed="81"/>
            <rFont val="Tahoma"/>
            <family val="2"/>
          </rPr>
          <t xml:space="preserve">
проверити збир!
</t>
        </r>
      </text>
    </comment>
    <comment ref="I12542" authorId="0">
      <text>
        <r>
          <rPr>
            <b/>
            <sz val="9"/>
            <color indexed="81"/>
            <rFont val="Tahoma"/>
            <family val="2"/>
          </rPr>
          <t>LPA:</t>
        </r>
        <r>
          <rPr>
            <sz val="9"/>
            <color indexed="81"/>
            <rFont val="Tahoma"/>
            <family val="2"/>
          </rPr>
          <t xml:space="preserve">
проверити збир!
</t>
        </r>
      </text>
    </comment>
    <comment ref="I12543" authorId="0">
      <text>
        <r>
          <rPr>
            <b/>
            <sz val="9"/>
            <color indexed="81"/>
            <rFont val="Tahoma"/>
            <family val="2"/>
          </rPr>
          <t>LPA:</t>
        </r>
        <r>
          <rPr>
            <sz val="9"/>
            <color indexed="81"/>
            <rFont val="Tahoma"/>
            <family val="2"/>
          </rPr>
          <t xml:space="preserve">
проверити збир!
</t>
        </r>
      </text>
    </comment>
    <comment ref="I12544" authorId="0">
      <text>
        <r>
          <rPr>
            <b/>
            <sz val="9"/>
            <color indexed="81"/>
            <rFont val="Tahoma"/>
            <family val="2"/>
          </rPr>
          <t>LPA:</t>
        </r>
        <r>
          <rPr>
            <sz val="9"/>
            <color indexed="81"/>
            <rFont val="Tahoma"/>
            <family val="2"/>
          </rPr>
          <t xml:space="preserve">
проверити збир!
</t>
        </r>
      </text>
    </comment>
    <comment ref="I12545" authorId="0">
      <text>
        <r>
          <rPr>
            <b/>
            <sz val="9"/>
            <color indexed="81"/>
            <rFont val="Tahoma"/>
            <family val="2"/>
          </rPr>
          <t>LPA:</t>
        </r>
        <r>
          <rPr>
            <sz val="9"/>
            <color indexed="81"/>
            <rFont val="Tahoma"/>
            <family val="2"/>
          </rPr>
          <t xml:space="preserve">
проверити збир!
</t>
        </r>
      </text>
    </comment>
    <comment ref="I12546" authorId="0">
      <text>
        <r>
          <rPr>
            <b/>
            <sz val="9"/>
            <color indexed="81"/>
            <rFont val="Tahoma"/>
            <family val="2"/>
          </rPr>
          <t>LPA:</t>
        </r>
        <r>
          <rPr>
            <sz val="9"/>
            <color indexed="81"/>
            <rFont val="Tahoma"/>
            <family val="2"/>
          </rPr>
          <t xml:space="preserve">
проверити збир!
</t>
        </r>
      </text>
    </comment>
    <comment ref="I12547" authorId="0">
      <text>
        <r>
          <rPr>
            <b/>
            <sz val="9"/>
            <color indexed="81"/>
            <rFont val="Tahoma"/>
            <family val="2"/>
          </rPr>
          <t>LPA:</t>
        </r>
        <r>
          <rPr>
            <sz val="9"/>
            <color indexed="81"/>
            <rFont val="Tahoma"/>
            <family val="2"/>
          </rPr>
          <t xml:space="preserve">
проверити збир!
</t>
        </r>
      </text>
    </comment>
    <comment ref="I12548" authorId="0">
      <text>
        <r>
          <rPr>
            <b/>
            <sz val="9"/>
            <color indexed="81"/>
            <rFont val="Tahoma"/>
            <family val="2"/>
          </rPr>
          <t>LPA:</t>
        </r>
        <r>
          <rPr>
            <sz val="9"/>
            <color indexed="81"/>
            <rFont val="Tahoma"/>
            <family val="2"/>
          </rPr>
          <t xml:space="preserve">
проверити збир!
</t>
        </r>
      </text>
    </comment>
    <comment ref="I12617" authorId="0">
      <text>
        <r>
          <rPr>
            <b/>
            <sz val="9"/>
            <color indexed="81"/>
            <rFont val="Tahoma"/>
            <family val="2"/>
          </rPr>
          <t>LPA:</t>
        </r>
        <r>
          <rPr>
            <sz val="9"/>
            <color indexed="81"/>
            <rFont val="Tahoma"/>
            <family val="2"/>
          </rPr>
          <t xml:space="preserve">
проверити збир!
</t>
        </r>
      </text>
    </comment>
    <comment ref="I12618" authorId="0">
      <text>
        <r>
          <rPr>
            <b/>
            <sz val="9"/>
            <color indexed="81"/>
            <rFont val="Tahoma"/>
            <family val="2"/>
          </rPr>
          <t>LPA:</t>
        </r>
        <r>
          <rPr>
            <sz val="9"/>
            <color indexed="81"/>
            <rFont val="Tahoma"/>
            <family val="2"/>
          </rPr>
          <t xml:space="preserve">
проверити збир!
</t>
        </r>
      </text>
    </comment>
    <comment ref="I12619" authorId="0">
      <text>
        <r>
          <rPr>
            <b/>
            <sz val="9"/>
            <color indexed="81"/>
            <rFont val="Tahoma"/>
            <family val="2"/>
          </rPr>
          <t>LPA:</t>
        </r>
        <r>
          <rPr>
            <sz val="9"/>
            <color indexed="81"/>
            <rFont val="Tahoma"/>
            <family val="2"/>
          </rPr>
          <t xml:space="preserve">
проверити збир!
</t>
        </r>
      </text>
    </comment>
    <comment ref="I12620" authorId="0">
      <text>
        <r>
          <rPr>
            <b/>
            <sz val="9"/>
            <color indexed="81"/>
            <rFont val="Tahoma"/>
            <family val="2"/>
          </rPr>
          <t>LPA:</t>
        </r>
        <r>
          <rPr>
            <sz val="9"/>
            <color indexed="81"/>
            <rFont val="Tahoma"/>
            <family val="2"/>
          </rPr>
          <t xml:space="preserve">
проверити збир!
</t>
        </r>
      </text>
    </comment>
    <comment ref="I12621" authorId="0">
      <text>
        <r>
          <rPr>
            <b/>
            <sz val="9"/>
            <color indexed="81"/>
            <rFont val="Tahoma"/>
            <family val="2"/>
          </rPr>
          <t>LPA:</t>
        </r>
        <r>
          <rPr>
            <sz val="9"/>
            <color indexed="81"/>
            <rFont val="Tahoma"/>
            <family val="2"/>
          </rPr>
          <t xml:space="preserve">
проверити збир!
</t>
        </r>
      </text>
    </comment>
    <comment ref="I12622" authorId="0">
      <text>
        <r>
          <rPr>
            <b/>
            <sz val="9"/>
            <color indexed="81"/>
            <rFont val="Tahoma"/>
            <family val="2"/>
          </rPr>
          <t>LPA:</t>
        </r>
        <r>
          <rPr>
            <sz val="9"/>
            <color indexed="81"/>
            <rFont val="Tahoma"/>
            <family val="2"/>
          </rPr>
          <t xml:space="preserve">
проверити збир!
</t>
        </r>
      </text>
    </comment>
    <comment ref="I12623" authorId="0">
      <text>
        <r>
          <rPr>
            <b/>
            <sz val="9"/>
            <color indexed="81"/>
            <rFont val="Tahoma"/>
            <family val="2"/>
          </rPr>
          <t>LPA:</t>
        </r>
        <r>
          <rPr>
            <sz val="9"/>
            <color indexed="81"/>
            <rFont val="Tahoma"/>
            <family val="2"/>
          </rPr>
          <t xml:space="preserve">
проверити збир!
</t>
        </r>
      </text>
    </comment>
    <comment ref="I12624" authorId="0">
      <text>
        <r>
          <rPr>
            <b/>
            <sz val="9"/>
            <color indexed="81"/>
            <rFont val="Tahoma"/>
            <family val="2"/>
          </rPr>
          <t>LPA:</t>
        </r>
        <r>
          <rPr>
            <sz val="9"/>
            <color indexed="81"/>
            <rFont val="Tahoma"/>
            <family val="2"/>
          </rPr>
          <t xml:space="preserve">
проверити збир!
</t>
        </r>
      </text>
    </comment>
    <comment ref="I12625" authorId="0">
      <text>
        <r>
          <rPr>
            <b/>
            <sz val="9"/>
            <color indexed="81"/>
            <rFont val="Tahoma"/>
            <family val="2"/>
          </rPr>
          <t>LPA:</t>
        </r>
        <r>
          <rPr>
            <sz val="9"/>
            <color indexed="81"/>
            <rFont val="Tahoma"/>
            <family val="2"/>
          </rPr>
          <t xml:space="preserve">
проверити збир!
</t>
        </r>
      </text>
    </comment>
    <comment ref="I12626" authorId="0">
      <text>
        <r>
          <rPr>
            <b/>
            <sz val="9"/>
            <color indexed="81"/>
            <rFont val="Tahoma"/>
            <family val="2"/>
          </rPr>
          <t>LPA:</t>
        </r>
        <r>
          <rPr>
            <sz val="9"/>
            <color indexed="81"/>
            <rFont val="Tahoma"/>
            <family val="2"/>
          </rPr>
          <t xml:space="preserve">
проверити збир!
</t>
        </r>
      </text>
    </comment>
    <comment ref="I12627" authorId="0">
      <text>
        <r>
          <rPr>
            <b/>
            <sz val="9"/>
            <color indexed="81"/>
            <rFont val="Tahoma"/>
            <family val="2"/>
          </rPr>
          <t>LPA:</t>
        </r>
        <r>
          <rPr>
            <sz val="9"/>
            <color indexed="81"/>
            <rFont val="Tahoma"/>
            <family val="2"/>
          </rPr>
          <t xml:space="preserve">
проверити збир!
</t>
        </r>
      </text>
    </comment>
    <comment ref="I12628" authorId="0">
      <text>
        <r>
          <rPr>
            <b/>
            <sz val="9"/>
            <color indexed="81"/>
            <rFont val="Tahoma"/>
            <family val="2"/>
          </rPr>
          <t>LPA:</t>
        </r>
        <r>
          <rPr>
            <sz val="9"/>
            <color indexed="81"/>
            <rFont val="Tahoma"/>
            <family val="2"/>
          </rPr>
          <t xml:space="preserve">
проверити збир!
</t>
        </r>
      </text>
    </comment>
    <comment ref="I12629" authorId="0">
      <text>
        <r>
          <rPr>
            <b/>
            <sz val="9"/>
            <color indexed="81"/>
            <rFont val="Tahoma"/>
            <family val="2"/>
          </rPr>
          <t>LPA:</t>
        </r>
        <r>
          <rPr>
            <sz val="9"/>
            <color indexed="81"/>
            <rFont val="Tahoma"/>
            <family val="2"/>
          </rPr>
          <t xml:space="preserve">
проверити збир!
</t>
        </r>
      </text>
    </comment>
    <comment ref="H12632" authorId="0">
      <text>
        <r>
          <rPr>
            <b/>
            <sz val="9"/>
            <color indexed="81"/>
            <rFont val="Tahoma"/>
            <family val="2"/>
          </rPr>
          <t>LPA:</t>
        </r>
        <r>
          <rPr>
            <sz val="9"/>
            <color indexed="81"/>
            <rFont val="Tahoma"/>
            <family val="2"/>
          </rPr>
          <t xml:space="preserve">
проверити збир!</t>
        </r>
      </text>
    </comment>
    <comment ref="I12632" authorId="0">
      <text>
        <r>
          <rPr>
            <b/>
            <sz val="9"/>
            <color indexed="81"/>
            <rFont val="Tahoma"/>
            <family val="2"/>
          </rPr>
          <t>LPA:</t>
        </r>
        <r>
          <rPr>
            <sz val="9"/>
            <color indexed="81"/>
            <rFont val="Tahoma"/>
            <family val="2"/>
          </rPr>
          <t xml:space="preserve">
проверити збир!</t>
        </r>
      </text>
    </comment>
    <comment ref="I12633" authorId="0">
      <text>
        <r>
          <rPr>
            <b/>
            <sz val="9"/>
            <color indexed="81"/>
            <rFont val="Tahoma"/>
            <family val="2"/>
          </rPr>
          <t>LPA:</t>
        </r>
        <r>
          <rPr>
            <sz val="9"/>
            <color indexed="81"/>
            <rFont val="Tahoma"/>
            <family val="2"/>
          </rPr>
          <t xml:space="preserve">
проверити збир!
</t>
        </r>
      </text>
    </comment>
    <comment ref="I12634" authorId="0">
      <text>
        <r>
          <rPr>
            <b/>
            <sz val="9"/>
            <color indexed="81"/>
            <rFont val="Tahoma"/>
            <family val="2"/>
          </rPr>
          <t>LPA:</t>
        </r>
        <r>
          <rPr>
            <sz val="9"/>
            <color indexed="81"/>
            <rFont val="Tahoma"/>
            <family val="2"/>
          </rPr>
          <t xml:space="preserve">
проверити збир!
</t>
        </r>
      </text>
    </comment>
    <comment ref="I12635" authorId="0">
      <text>
        <r>
          <rPr>
            <b/>
            <sz val="9"/>
            <color indexed="81"/>
            <rFont val="Tahoma"/>
            <family val="2"/>
          </rPr>
          <t>LPA:</t>
        </r>
        <r>
          <rPr>
            <sz val="9"/>
            <color indexed="81"/>
            <rFont val="Tahoma"/>
            <family val="2"/>
          </rPr>
          <t xml:space="preserve">
проверити збир!
</t>
        </r>
      </text>
    </comment>
    <comment ref="I12636" authorId="0">
      <text>
        <r>
          <rPr>
            <b/>
            <sz val="9"/>
            <color indexed="81"/>
            <rFont val="Tahoma"/>
            <family val="2"/>
          </rPr>
          <t>LPA:</t>
        </r>
        <r>
          <rPr>
            <sz val="9"/>
            <color indexed="81"/>
            <rFont val="Tahoma"/>
            <family val="2"/>
          </rPr>
          <t xml:space="preserve">
проверити збир!
</t>
        </r>
      </text>
    </comment>
    <comment ref="I12637" authorId="0">
      <text>
        <r>
          <rPr>
            <b/>
            <sz val="9"/>
            <color indexed="81"/>
            <rFont val="Tahoma"/>
            <family val="2"/>
          </rPr>
          <t>LPA:</t>
        </r>
        <r>
          <rPr>
            <sz val="9"/>
            <color indexed="81"/>
            <rFont val="Tahoma"/>
            <family val="2"/>
          </rPr>
          <t xml:space="preserve">
проверити збир!
</t>
        </r>
      </text>
    </comment>
    <comment ref="I12638" authorId="0">
      <text>
        <r>
          <rPr>
            <b/>
            <sz val="9"/>
            <color indexed="81"/>
            <rFont val="Tahoma"/>
            <family val="2"/>
          </rPr>
          <t>LPA:</t>
        </r>
        <r>
          <rPr>
            <sz val="9"/>
            <color indexed="81"/>
            <rFont val="Tahoma"/>
            <family val="2"/>
          </rPr>
          <t xml:space="preserve">
проверити збир!
</t>
        </r>
      </text>
    </comment>
    <comment ref="I12639" authorId="0">
      <text>
        <r>
          <rPr>
            <b/>
            <sz val="9"/>
            <color indexed="81"/>
            <rFont val="Tahoma"/>
            <family val="2"/>
          </rPr>
          <t>LPA:</t>
        </r>
        <r>
          <rPr>
            <sz val="9"/>
            <color indexed="81"/>
            <rFont val="Tahoma"/>
            <family val="2"/>
          </rPr>
          <t xml:space="preserve">
проверити збир!
</t>
        </r>
      </text>
    </comment>
    <comment ref="I12640" authorId="0">
      <text>
        <r>
          <rPr>
            <b/>
            <sz val="9"/>
            <color indexed="81"/>
            <rFont val="Tahoma"/>
            <family val="2"/>
          </rPr>
          <t>LPA:</t>
        </r>
        <r>
          <rPr>
            <sz val="9"/>
            <color indexed="81"/>
            <rFont val="Tahoma"/>
            <family val="2"/>
          </rPr>
          <t xml:space="preserve">
проверити збир!
</t>
        </r>
      </text>
    </comment>
    <comment ref="I12641" authorId="0">
      <text>
        <r>
          <rPr>
            <b/>
            <sz val="9"/>
            <color indexed="81"/>
            <rFont val="Tahoma"/>
            <family val="2"/>
          </rPr>
          <t>LPA:</t>
        </r>
        <r>
          <rPr>
            <sz val="9"/>
            <color indexed="81"/>
            <rFont val="Tahoma"/>
            <family val="2"/>
          </rPr>
          <t xml:space="preserve">
проверити збир!
</t>
        </r>
      </text>
    </comment>
    <comment ref="I12642" authorId="0">
      <text>
        <r>
          <rPr>
            <b/>
            <sz val="9"/>
            <color indexed="81"/>
            <rFont val="Tahoma"/>
            <family val="2"/>
          </rPr>
          <t>LPA:</t>
        </r>
        <r>
          <rPr>
            <sz val="9"/>
            <color indexed="81"/>
            <rFont val="Tahoma"/>
            <family val="2"/>
          </rPr>
          <t xml:space="preserve">
проверити збир!
</t>
        </r>
      </text>
    </comment>
    <comment ref="I12643" authorId="0">
      <text>
        <r>
          <rPr>
            <b/>
            <sz val="9"/>
            <color indexed="81"/>
            <rFont val="Tahoma"/>
            <family val="2"/>
          </rPr>
          <t>LPA:</t>
        </r>
        <r>
          <rPr>
            <sz val="9"/>
            <color indexed="81"/>
            <rFont val="Tahoma"/>
            <family val="2"/>
          </rPr>
          <t xml:space="preserve">
проверити збир!
</t>
        </r>
      </text>
    </comment>
    <comment ref="I12644" authorId="0">
      <text>
        <r>
          <rPr>
            <b/>
            <sz val="9"/>
            <color indexed="81"/>
            <rFont val="Tahoma"/>
            <family val="2"/>
          </rPr>
          <t>LPA:</t>
        </r>
        <r>
          <rPr>
            <sz val="9"/>
            <color indexed="81"/>
            <rFont val="Tahoma"/>
            <family val="2"/>
          </rPr>
          <t xml:space="preserve">
проверити збир!
</t>
        </r>
      </text>
    </comment>
    <comment ref="I12645" authorId="0">
      <text>
        <r>
          <rPr>
            <b/>
            <sz val="9"/>
            <color indexed="81"/>
            <rFont val="Tahoma"/>
            <family val="2"/>
          </rPr>
          <t>LPA:</t>
        </r>
        <r>
          <rPr>
            <sz val="9"/>
            <color indexed="81"/>
            <rFont val="Tahoma"/>
            <family val="2"/>
          </rPr>
          <t xml:space="preserve">
проверити збир!
</t>
        </r>
      </text>
    </comment>
    <comment ref="I12646" authorId="0">
      <text>
        <r>
          <rPr>
            <b/>
            <sz val="9"/>
            <color indexed="81"/>
            <rFont val="Tahoma"/>
            <family val="2"/>
          </rPr>
          <t>LPA:</t>
        </r>
        <r>
          <rPr>
            <sz val="9"/>
            <color indexed="81"/>
            <rFont val="Tahoma"/>
            <family val="2"/>
          </rPr>
          <t xml:space="preserve">
проверити збир!
</t>
        </r>
      </text>
    </comment>
    <comment ref="I12647" authorId="0">
      <text>
        <r>
          <rPr>
            <b/>
            <sz val="9"/>
            <color indexed="81"/>
            <rFont val="Tahoma"/>
            <family val="2"/>
          </rPr>
          <t>LPA:</t>
        </r>
        <r>
          <rPr>
            <sz val="9"/>
            <color indexed="81"/>
            <rFont val="Tahoma"/>
            <family val="2"/>
          </rPr>
          <t xml:space="preserve">
проверити збир!
</t>
        </r>
      </text>
    </comment>
    <comment ref="H12670" authorId="0">
      <text>
        <r>
          <rPr>
            <b/>
            <sz val="9"/>
            <color indexed="81"/>
            <rFont val="Tahoma"/>
            <family val="2"/>
          </rPr>
          <t>LPA:</t>
        </r>
        <r>
          <rPr>
            <sz val="9"/>
            <color indexed="81"/>
            <rFont val="Tahoma"/>
            <family val="2"/>
          </rPr>
          <t xml:space="preserve">
провери збир!</t>
        </r>
      </text>
    </comment>
    <comment ref="I12670" authorId="0">
      <text>
        <r>
          <rPr>
            <b/>
            <sz val="9"/>
            <color indexed="81"/>
            <rFont val="Tahoma"/>
            <family val="2"/>
          </rPr>
          <t>LPA:</t>
        </r>
        <r>
          <rPr>
            <sz val="9"/>
            <color indexed="81"/>
            <rFont val="Tahoma"/>
            <family val="2"/>
          </rPr>
          <t xml:space="preserve">
проверити збир!
</t>
        </r>
      </text>
    </comment>
    <comment ref="I12671" authorId="0">
      <text>
        <r>
          <rPr>
            <b/>
            <sz val="9"/>
            <color indexed="81"/>
            <rFont val="Tahoma"/>
            <family val="2"/>
          </rPr>
          <t>LPA:</t>
        </r>
        <r>
          <rPr>
            <sz val="9"/>
            <color indexed="81"/>
            <rFont val="Tahoma"/>
            <family val="2"/>
          </rPr>
          <t xml:space="preserve">
проверити збир!
</t>
        </r>
      </text>
    </comment>
    <comment ref="I12672" authorId="0">
      <text>
        <r>
          <rPr>
            <b/>
            <sz val="9"/>
            <color indexed="81"/>
            <rFont val="Tahoma"/>
            <family val="2"/>
          </rPr>
          <t>LPA:</t>
        </r>
        <r>
          <rPr>
            <sz val="9"/>
            <color indexed="81"/>
            <rFont val="Tahoma"/>
            <family val="2"/>
          </rPr>
          <t xml:space="preserve">
проверити збир!
</t>
        </r>
      </text>
    </comment>
    <comment ref="I12673" authorId="0">
      <text>
        <r>
          <rPr>
            <b/>
            <sz val="9"/>
            <color indexed="81"/>
            <rFont val="Tahoma"/>
            <family val="2"/>
          </rPr>
          <t>LPA:</t>
        </r>
        <r>
          <rPr>
            <sz val="9"/>
            <color indexed="81"/>
            <rFont val="Tahoma"/>
            <family val="2"/>
          </rPr>
          <t xml:space="preserve">
проверити збир!
</t>
        </r>
      </text>
    </comment>
    <comment ref="I12674" authorId="0">
      <text>
        <r>
          <rPr>
            <b/>
            <sz val="9"/>
            <color indexed="81"/>
            <rFont val="Tahoma"/>
            <family val="2"/>
          </rPr>
          <t>LPA:</t>
        </r>
        <r>
          <rPr>
            <sz val="9"/>
            <color indexed="81"/>
            <rFont val="Tahoma"/>
            <family val="2"/>
          </rPr>
          <t xml:space="preserve">
проверити збир!
</t>
        </r>
      </text>
    </comment>
    <comment ref="I12675" authorId="0">
      <text>
        <r>
          <rPr>
            <b/>
            <sz val="9"/>
            <color indexed="81"/>
            <rFont val="Tahoma"/>
            <family val="2"/>
          </rPr>
          <t>LPA:</t>
        </r>
        <r>
          <rPr>
            <sz val="9"/>
            <color indexed="81"/>
            <rFont val="Tahoma"/>
            <family val="2"/>
          </rPr>
          <t xml:space="preserve">
проверити збир!
</t>
        </r>
      </text>
    </comment>
    <comment ref="I12676" authorId="0">
      <text>
        <r>
          <rPr>
            <b/>
            <sz val="9"/>
            <color indexed="81"/>
            <rFont val="Tahoma"/>
            <family val="2"/>
          </rPr>
          <t>LPA:</t>
        </r>
        <r>
          <rPr>
            <sz val="9"/>
            <color indexed="81"/>
            <rFont val="Tahoma"/>
            <family val="2"/>
          </rPr>
          <t xml:space="preserve">
проверити збир!
</t>
        </r>
      </text>
    </comment>
    <comment ref="I12677" authorId="0">
      <text>
        <r>
          <rPr>
            <b/>
            <sz val="9"/>
            <color indexed="81"/>
            <rFont val="Tahoma"/>
            <family val="2"/>
          </rPr>
          <t>LPA:</t>
        </r>
        <r>
          <rPr>
            <sz val="9"/>
            <color indexed="81"/>
            <rFont val="Tahoma"/>
            <family val="2"/>
          </rPr>
          <t xml:space="preserve">
проверити збир!
</t>
        </r>
      </text>
    </comment>
    <comment ref="I12678" authorId="0">
      <text>
        <r>
          <rPr>
            <b/>
            <sz val="9"/>
            <color indexed="81"/>
            <rFont val="Tahoma"/>
            <family val="2"/>
          </rPr>
          <t>LPA:</t>
        </r>
        <r>
          <rPr>
            <sz val="9"/>
            <color indexed="81"/>
            <rFont val="Tahoma"/>
            <family val="2"/>
          </rPr>
          <t xml:space="preserve">
проверити збир!
</t>
        </r>
      </text>
    </comment>
    <comment ref="I12679" authorId="0">
      <text>
        <r>
          <rPr>
            <b/>
            <sz val="9"/>
            <color indexed="81"/>
            <rFont val="Tahoma"/>
            <family val="2"/>
          </rPr>
          <t>LPA:</t>
        </r>
        <r>
          <rPr>
            <sz val="9"/>
            <color indexed="81"/>
            <rFont val="Tahoma"/>
            <family val="2"/>
          </rPr>
          <t xml:space="preserve">
проверити збир!
</t>
        </r>
      </text>
    </comment>
    <comment ref="I12680" authorId="0">
      <text>
        <r>
          <rPr>
            <b/>
            <sz val="9"/>
            <color indexed="81"/>
            <rFont val="Tahoma"/>
            <family val="2"/>
          </rPr>
          <t>LPA:</t>
        </r>
        <r>
          <rPr>
            <sz val="9"/>
            <color indexed="81"/>
            <rFont val="Tahoma"/>
            <family val="2"/>
          </rPr>
          <t xml:space="preserve">
проверити збир!
</t>
        </r>
      </text>
    </comment>
    <comment ref="I12681" authorId="0">
      <text>
        <r>
          <rPr>
            <b/>
            <sz val="9"/>
            <color indexed="81"/>
            <rFont val="Tahoma"/>
            <family val="2"/>
          </rPr>
          <t>LPA:</t>
        </r>
        <r>
          <rPr>
            <sz val="9"/>
            <color indexed="81"/>
            <rFont val="Tahoma"/>
            <family val="2"/>
          </rPr>
          <t xml:space="preserve">
проверити збир!
</t>
        </r>
      </text>
    </comment>
    <comment ref="I12682" authorId="0">
      <text>
        <r>
          <rPr>
            <b/>
            <sz val="9"/>
            <color indexed="81"/>
            <rFont val="Tahoma"/>
            <family val="2"/>
          </rPr>
          <t>LPA:</t>
        </r>
        <r>
          <rPr>
            <sz val="9"/>
            <color indexed="81"/>
            <rFont val="Tahoma"/>
            <family val="2"/>
          </rPr>
          <t xml:space="preserve">
проверити збир!
</t>
        </r>
      </text>
    </comment>
    <comment ref="I12683" authorId="0">
      <text>
        <r>
          <rPr>
            <b/>
            <sz val="9"/>
            <color indexed="81"/>
            <rFont val="Tahoma"/>
            <family val="2"/>
          </rPr>
          <t>LPA:</t>
        </r>
        <r>
          <rPr>
            <sz val="9"/>
            <color indexed="81"/>
            <rFont val="Tahoma"/>
            <family val="2"/>
          </rPr>
          <t xml:space="preserve">
проверити збир!
</t>
        </r>
      </text>
    </comment>
    <comment ref="I12684" authorId="0">
      <text>
        <r>
          <rPr>
            <b/>
            <sz val="9"/>
            <color indexed="81"/>
            <rFont val="Tahoma"/>
            <family val="2"/>
          </rPr>
          <t>LPA:</t>
        </r>
        <r>
          <rPr>
            <sz val="9"/>
            <color indexed="81"/>
            <rFont val="Tahoma"/>
            <family val="2"/>
          </rPr>
          <t xml:space="preserve">
проверити збир!
</t>
        </r>
      </text>
    </comment>
    <comment ref="I12685" authorId="0">
      <text>
        <r>
          <rPr>
            <b/>
            <sz val="9"/>
            <color indexed="81"/>
            <rFont val="Tahoma"/>
            <family val="2"/>
          </rPr>
          <t>LPA:</t>
        </r>
        <r>
          <rPr>
            <sz val="9"/>
            <color indexed="81"/>
            <rFont val="Tahoma"/>
            <family val="2"/>
          </rPr>
          <t xml:space="preserve">
проверити збир!
</t>
        </r>
      </text>
    </comment>
    <comment ref="I12856" authorId="0">
      <text>
        <r>
          <rPr>
            <b/>
            <sz val="9"/>
            <color indexed="81"/>
            <rFont val="Tahoma"/>
            <family val="2"/>
          </rPr>
          <t>LPA:</t>
        </r>
        <r>
          <rPr>
            <sz val="9"/>
            <color indexed="81"/>
            <rFont val="Tahoma"/>
            <family val="2"/>
          </rPr>
          <t xml:space="preserve">
проверити збир!
</t>
        </r>
      </text>
    </comment>
    <comment ref="I12857" authorId="0">
      <text>
        <r>
          <rPr>
            <b/>
            <sz val="9"/>
            <color indexed="81"/>
            <rFont val="Tahoma"/>
            <family val="2"/>
          </rPr>
          <t>LPA:</t>
        </r>
        <r>
          <rPr>
            <sz val="9"/>
            <color indexed="81"/>
            <rFont val="Tahoma"/>
            <family val="2"/>
          </rPr>
          <t xml:space="preserve">
проверити збир!
</t>
        </r>
      </text>
    </comment>
    <comment ref="I12858" authorId="0">
      <text>
        <r>
          <rPr>
            <b/>
            <sz val="9"/>
            <color indexed="81"/>
            <rFont val="Tahoma"/>
            <family val="2"/>
          </rPr>
          <t>LPA:</t>
        </r>
        <r>
          <rPr>
            <sz val="9"/>
            <color indexed="81"/>
            <rFont val="Tahoma"/>
            <family val="2"/>
          </rPr>
          <t xml:space="preserve">
проверити збир!
</t>
        </r>
      </text>
    </comment>
    <comment ref="I12859" authorId="0">
      <text>
        <r>
          <rPr>
            <b/>
            <sz val="9"/>
            <color indexed="81"/>
            <rFont val="Tahoma"/>
            <family val="2"/>
          </rPr>
          <t>LPA:</t>
        </r>
        <r>
          <rPr>
            <sz val="9"/>
            <color indexed="81"/>
            <rFont val="Tahoma"/>
            <family val="2"/>
          </rPr>
          <t xml:space="preserve">
проверити збир!
</t>
        </r>
      </text>
    </comment>
    <comment ref="I12860" authorId="0">
      <text>
        <r>
          <rPr>
            <b/>
            <sz val="9"/>
            <color indexed="81"/>
            <rFont val="Tahoma"/>
            <family val="2"/>
          </rPr>
          <t>LPA:</t>
        </r>
        <r>
          <rPr>
            <sz val="9"/>
            <color indexed="81"/>
            <rFont val="Tahoma"/>
            <family val="2"/>
          </rPr>
          <t xml:space="preserve">
проверити збир!
</t>
        </r>
      </text>
    </comment>
    <comment ref="I12861" authorId="0">
      <text>
        <r>
          <rPr>
            <b/>
            <sz val="9"/>
            <color indexed="81"/>
            <rFont val="Tahoma"/>
            <family val="2"/>
          </rPr>
          <t>LPA:</t>
        </r>
        <r>
          <rPr>
            <sz val="9"/>
            <color indexed="81"/>
            <rFont val="Tahoma"/>
            <family val="2"/>
          </rPr>
          <t xml:space="preserve">
проверити збир!
</t>
        </r>
      </text>
    </comment>
    <comment ref="I12862" authorId="0">
      <text>
        <r>
          <rPr>
            <b/>
            <sz val="9"/>
            <color indexed="81"/>
            <rFont val="Tahoma"/>
            <family val="2"/>
          </rPr>
          <t>LPA:</t>
        </r>
        <r>
          <rPr>
            <sz val="9"/>
            <color indexed="81"/>
            <rFont val="Tahoma"/>
            <family val="2"/>
          </rPr>
          <t xml:space="preserve">
проверити збир!
</t>
        </r>
      </text>
    </comment>
    <comment ref="I12863" authorId="0">
      <text>
        <r>
          <rPr>
            <b/>
            <sz val="9"/>
            <color indexed="81"/>
            <rFont val="Tahoma"/>
            <family val="2"/>
          </rPr>
          <t>LPA:</t>
        </r>
        <r>
          <rPr>
            <sz val="9"/>
            <color indexed="81"/>
            <rFont val="Tahoma"/>
            <family val="2"/>
          </rPr>
          <t xml:space="preserve">
проверити збир!
</t>
        </r>
      </text>
    </comment>
    <comment ref="I12864" authorId="0">
      <text>
        <r>
          <rPr>
            <b/>
            <sz val="9"/>
            <color indexed="81"/>
            <rFont val="Tahoma"/>
            <family val="2"/>
          </rPr>
          <t>LPA:</t>
        </r>
        <r>
          <rPr>
            <sz val="9"/>
            <color indexed="81"/>
            <rFont val="Tahoma"/>
            <family val="2"/>
          </rPr>
          <t xml:space="preserve">
проверити збир!
</t>
        </r>
      </text>
    </comment>
    <comment ref="I12865" authorId="0">
      <text>
        <r>
          <rPr>
            <b/>
            <sz val="9"/>
            <color indexed="81"/>
            <rFont val="Tahoma"/>
            <family val="2"/>
          </rPr>
          <t>LPA:</t>
        </r>
        <r>
          <rPr>
            <sz val="9"/>
            <color indexed="81"/>
            <rFont val="Tahoma"/>
            <family val="2"/>
          </rPr>
          <t xml:space="preserve">
проверити збир!
</t>
        </r>
      </text>
    </comment>
    <comment ref="I12866" authorId="0">
      <text>
        <r>
          <rPr>
            <b/>
            <sz val="9"/>
            <color indexed="81"/>
            <rFont val="Tahoma"/>
            <family val="2"/>
          </rPr>
          <t>LPA:</t>
        </r>
        <r>
          <rPr>
            <sz val="9"/>
            <color indexed="81"/>
            <rFont val="Tahoma"/>
            <family val="2"/>
          </rPr>
          <t xml:space="preserve">
проверити збир!
</t>
        </r>
      </text>
    </comment>
    <comment ref="I12867" authorId="0">
      <text>
        <r>
          <rPr>
            <b/>
            <sz val="9"/>
            <color indexed="81"/>
            <rFont val="Tahoma"/>
            <family val="2"/>
          </rPr>
          <t>LPA:</t>
        </r>
        <r>
          <rPr>
            <sz val="9"/>
            <color indexed="81"/>
            <rFont val="Tahoma"/>
            <family val="2"/>
          </rPr>
          <t xml:space="preserve">
проверити збир!
</t>
        </r>
      </text>
    </comment>
    <comment ref="I12868" authorId="0">
      <text>
        <r>
          <rPr>
            <b/>
            <sz val="9"/>
            <color indexed="81"/>
            <rFont val="Tahoma"/>
            <family val="2"/>
          </rPr>
          <t>LPA:</t>
        </r>
        <r>
          <rPr>
            <sz val="9"/>
            <color indexed="81"/>
            <rFont val="Tahoma"/>
            <family val="2"/>
          </rPr>
          <t xml:space="preserve">
проверити збир!
</t>
        </r>
      </text>
    </comment>
    <comment ref="H12871" authorId="0">
      <text>
        <r>
          <rPr>
            <b/>
            <sz val="9"/>
            <color indexed="81"/>
            <rFont val="Tahoma"/>
            <family val="2"/>
          </rPr>
          <t>LPA:</t>
        </r>
        <r>
          <rPr>
            <sz val="9"/>
            <color indexed="81"/>
            <rFont val="Tahoma"/>
            <family val="2"/>
          </rPr>
          <t xml:space="preserve">
проверити збир!</t>
        </r>
      </text>
    </comment>
    <comment ref="I12871" authorId="0">
      <text>
        <r>
          <rPr>
            <b/>
            <sz val="9"/>
            <color indexed="81"/>
            <rFont val="Tahoma"/>
            <family val="2"/>
          </rPr>
          <t>LPA:</t>
        </r>
        <r>
          <rPr>
            <sz val="9"/>
            <color indexed="81"/>
            <rFont val="Tahoma"/>
            <family val="2"/>
          </rPr>
          <t xml:space="preserve">
проверити збир!</t>
        </r>
      </text>
    </comment>
    <comment ref="I12872" authorId="0">
      <text>
        <r>
          <rPr>
            <b/>
            <sz val="9"/>
            <color indexed="81"/>
            <rFont val="Tahoma"/>
            <family val="2"/>
          </rPr>
          <t>LPA:</t>
        </r>
        <r>
          <rPr>
            <sz val="9"/>
            <color indexed="81"/>
            <rFont val="Tahoma"/>
            <family val="2"/>
          </rPr>
          <t xml:space="preserve">
проверити збир!
</t>
        </r>
      </text>
    </comment>
    <comment ref="I12873" authorId="0">
      <text>
        <r>
          <rPr>
            <b/>
            <sz val="9"/>
            <color indexed="81"/>
            <rFont val="Tahoma"/>
            <family val="2"/>
          </rPr>
          <t>LPA:</t>
        </r>
        <r>
          <rPr>
            <sz val="9"/>
            <color indexed="81"/>
            <rFont val="Tahoma"/>
            <family val="2"/>
          </rPr>
          <t xml:space="preserve">
проверити збир!
</t>
        </r>
      </text>
    </comment>
    <comment ref="I12874" authorId="0">
      <text>
        <r>
          <rPr>
            <b/>
            <sz val="9"/>
            <color indexed="81"/>
            <rFont val="Tahoma"/>
            <family val="2"/>
          </rPr>
          <t>LPA:</t>
        </r>
        <r>
          <rPr>
            <sz val="9"/>
            <color indexed="81"/>
            <rFont val="Tahoma"/>
            <family val="2"/>
          </rPr>
          <t xml:space="preserve">
проверити збир!
</t>
        </r>
      </text>
    </comment>
    <comment ref="I12875" authorId="0">
      <text>
        <r>
          <rPr>
            <b/>
            <sz val="9"/>
            <color indexed="81"/>
            <rFont val="Tahoma"/>
            <family val="2"/>
          </rPr>
          <t>LPA:</t>
        </r>
        <r>
          <rPr>
            <sz val="9"/>
            <color indexed="81"/>
            <rFont val="Tahoma"/>
            <family val="2"/>
          </rPr>
          <t xml:space="preserve">
проверити збир!
</t>
        </r>
      </text>
    </comment>
    <comment ref="I12876" authorId="0">
      <text>
        <r>
          <rPr>
            <b/>
            <sz val="9"/>
            <color indexed="81"/>
            <rFont val="Tahoma"/>
            <family val="2"/>
          </rPr>
          <t>LPA:</t>
        </r>
        <r>
          <rPr>
            <sz val="9"/>
            <color indexed="81"/>
            <rFont val="Tahoma"/>
            <family val="2"/>
          </rPr>
          <t xml:space="preserve">
проверити збир!
</t>
        </r>
      </text>
    </comment>
    <comment ref="I12877" authorId="0">
      <text>
        <r>
          <rPr>
            <b/>
            <sz val="9"/>
            <color indexed="81"/>
            <rFont val="Tahoma"/>
            <family val="2"/>
          </rPr>
          <t>LPA:</t>
        </r>
        <r>
          <rPr>
            <sz val="9"/>
            <color indexed="81"/>
            <rFont val="Tahoma"/>
            <family val="2"/>
          </rPr>
          <t xml:space="preserve">
проверити збир!
</t>
        </r>
      </text>
    </comment>
    <comment ref="I12878" authorId="0">
      <text>
        <r>
          <rPr>
            <b/>
            <sz val="9"/>
            <color indexed="81"/>
            <rFont val="Tahoma"/>
            <family val="2"/>
          </rPr>
          <t>LPA:</t>
        </r>
        <r>
          <rPr>
            <sz val="9"/>
            <color indexed="81"/>
            <rFont val="Tahoma"/>
            <family val="2"/>
          </rPr>
          <t xml:space="preserve">
проверити збир!
</t>
        </r>
      </text>
    </comment>
    <comment ref="I12879" authorId="0">
      <text>
        <r>
          <rPr>
            <b/>
            <sz val="9"/>
            <color indexed="81"/>
            <rFont val="Tahoma"/>
            <family val="2"/>
          </rPr>
          <t>LPA:</t>
        </r>
        <r>
          <rPr>
            <sz val="9"/>
            <color indexed="81"/>
            <rFont val="Tahoma"/>
            <family val="2"/>
          </rPr>
          <t xml:space="preserve">
проверити збир!
</t>
        </r>
      </text>
    </comment>
    <comment ref="I12880" authorId="0">
      <text>
        <r>
          <rPr>
            <b/>
            <sz val="9"/>
            <color indexed="81"/>
            <rFont val="Tahoma"/>
            <family val="2"/>
          </rPr>
          <t>LPA:</t>
        </r>
        <r>
          <rPr>
            <sz val="9"/>
            <color indexed="81"/>
            <rFont val="Tahoma"/>
            <family val="2"/>
          </rPr>
          <t xml:space="preserve">
проверити збир!
</t>
        </r>
      </text>
    </comment>
    <comment ref="I12881" authorId="0">
      <text>
        <r>
          <rPr>
            <b/>
            <sz val="9"/>
            <color indexed="81"/>
            <rFont val="Tahoma"/>
            <family val="2"/>
          </rPr>
          <t>LPA:</t>
        </r>
        <r>
          <rPr>
            <sz val="9"/>
            <color indexed="81"/>
            <rFont val="Tahoma"/>
            <family val="2"/>
          </rPr>
          <t xml:space="preserve">
проверити збир!
</t>
        </r>
      </text>
    </comment>
    <comment ref="I12882" authorId="0">
      <text>
        <r>
          <rPr>
            <b/>
            <sz val="9"/>
            <color indexed="81"/>
            <rFont val="Tahoma"/>
            <family val="2"/>
          </rPr>
          <t>LPA:</t>
        </r>
        <r>
          <rPr>
            <sz val="9"/>
            <color indexed="81"/>
            <rFont val="Tahoma"/>
            <family val="2"/>
          </rPr>
          <t xml:space="preserve">
проверити збир!
</t>
        </r>
      </text>
    </comment>
    <comment ref="I12883" authorId="0">
      <text>
        <r>
          <rPr>
            <b/>
            <sz val="9"/>
            <color indexed="81"/>
            <rFont val="Tahoma"/>
            <family val="2"/>
          </rPr>
          <t>LPA:</t>
        </r>
        <r>
          <rPr>
            <sz val="9"/>
            <color indexed="81"/>
            <rFont val="Tahoma"/>
            <family val="2"/>
          </rPr>
          <t xml:space="preserve">
проверити збир!
</t>
        </r>
      </text>
    </comment>
    <comment ref="I12884" authorId="0">
      <text>
        <r>
          <rPr>
            <b/>
            <sz val="9"/>
            <color indexed="81"/>
            <rFont val="Tahoma"/>
            <family val="2"/>
          </rPr>
          <t>LPA:</t>
        </r>
        <r>
          <rPr>
            <sz val="9"/>
            <color indexed="81"/>
            <rFont val="Tahoma"/>
            <family val="2"/>
          </rPr>
          <t xml:space="preserve">
проверити збир!
</t>
        </r>
      </text>
    </comment>
    <comment ref="I12885" authorId="0">
      <text>
        <r>
          <rPr>
            <b/>
            <sz val="9"/>
            <color indexed="81"/>
            <rFont val="Tahoma"/>
            <family val="2"/>
          </rPr>
          <t>LPA:</t>
        </r>
        <r>
          <rPr>
            <sz val="9"/>
            <color indexed="81"/>
            <rFont val="Tahoma"/>
            <family val="2"/>
          </rPr>
          <t xml:space="preserve">
проверити збир!
</t>
        </r>
      </text>
    </comment>
    <comment ref="I12886" authorId="0">
      <text>
        <r>
          <rPr>
            <b/>
            <sz val="9"/>
            <color indexed="81"/>
            <rFont val="Tahoma"/>
            <family val="2"/>
          </rPr>
          <t>LPA:</t>
        </r>
        <r>
          <rPr>
            <sz val="9"/>
            <color indexed="81"/>
            <rFont val="Tahoma"/>
            <family val="2"/>
          </rPr>
          <t xml:space="preserve">
проверити збир!
</t>
        </r>
      </text>
    </comment>
    <comment ref="I12956" authorId="0">
      <text>
        <r>
          <rPr>
            <b/>
            <sz val="9"/>
            <color indexed="81"/>
            <rFont val="Tahoma"/>
            <family val="2"/>
          </rPr>
          <t>LPA:</t>
        </r>
        <r>
          <rPr>
            <sz val="9"/>
            <color indexed="81"/>
            <rFont val="Tahoma"/>
            <family val="2"/>
          </rPr>
          <t xml:space="preserve">
проверити збир!
</t>
        </r>
      </text>
    </comment>
    <comment ref="I12957" authorId="0">
      <text>
        <r>
          <rPr>
            <b/>
            <sz val="9"/>
            <color indexed="81"/>
            <rFont val="Tahoma"/>
            <family val="2"/>
          </rPr>
          <t>LPA:</t>
        </r>
        <r>
          <rPr>
            <sz val="9"/>
            <color indexed="81"/>
            <rFont val="Tahoma"/>
            <family val="2"/>
          </rPr>
          <t xml:space="preserve">
проверити збир!
</t>
        </r>
      </text>
    </comment>
    <comment ref="I12958" authorId="0">
      <text>
        <r>
          <rPr>
            <b/>
            <sz val="9"/>
            <color indexed="81"/>
            <rFont val="Tahoma"/>
            <family val="2"/>
          </rPr>
          <t>LPA:</t>
        </r>
        <r>
          <rPr>
            <sz val="9"/>
            <color indexed="81"/>
            <rFont val="Tahoma"/>
            <family val="2"/>
          </rPr>
          <t xml:space="preserve">
проверити збир!
</t>
        </r>
      </text>
    </comment>
    <comment ref="I12959" authorId="0">
      <text>
        <r>
          <rPr>
            <b/>
            <sz val="9"/>
            <color indexed="81"/>
            <rFont val="Tahoma"/>
            <family val="2"/>
          </rPr>
          <t>LPA:</t>
        </r>
        <r>
          <rPr>
            <sz val="9"/>
            <color indexed="81"/>
            <rFont val="Tahoma"/>
            <family val="2"/>
          </rPr>
          <t xml:space="preserve">
проверити збир!
</t>
        </r>
      </text>
    </comment>
    <comment ref="I12960" authorId="0">
      <text>
        <r>
          <rPr>
            <b/>
            <sz val="9"/>
            <color indexed="81"/>
            <rFont val="Tahoma"/>
            <family val="2"/>
          </rPr>
          <t>LPA:</t>
        </r>
        <r>
          <rPr>
            <sz val="9"/>
            <color indexed="81"/>
            <rFont val="Tahoma"/>
            <family val="2"/>
          </rPr>
          <t xml:space="preserve">
проверити збир!
</t>
        </r>
      </text>
    </comment>
    <comment ref="I12961" authorId="0">
      <text>
        <r>
          <rPr>
            <b/>
            <sz val="9"/>
            <color indexed="81"/>
            <rFont val="Tahoma"/>
            <family val="2"/>
          </rPr>
          <t>LPA:</t>
        </r>
        <r>
          <rPr>
            <sz val="9"/>
            <color indexed="81"/>
            <rFont val="Tahoma"/>
            <family val="2"/>
          </rPr>
          <t xml:space="preserve">
проверити збир!
</t>
        </r>
      </text>
    </comment>
    <comment ref="I12962" authorId="0">
      <text>
        <r>
          <rPr>
            <b/>
            <sz val="9"/>
            <color indexed="81"/>
            <rFont val="Tahoma"/>
            <family val="2"/>
          </rPr>
          <t>LPA:</t>
        </r>
        <r>
          <rPr>
            <sz val="9"/>
            <color indexed="81"/>
            <rFont val="Tahoma"/>
            <family val="2"/>
          </rPr>
          <t xml:space="preserve">
проверити збир!
</t>
        </r>
      </text>
    </comment>
    <comment ref="I12963" authorId="0">
      <text>
        <r>
          <rPr>
            <b/>
            <sz val="9"/>
            <color indexed="81"/>
            <rFont val="Tahoma"/>
            <family val="2"/>
          </rPr>
          <t>LPA:</t>
        </r>
        <r>
          <rPr>
            <sz val="9"/>
            <color indexed="81"/>
            <rFont val="Tahoma"/>
            <family val="2"/>
          </rPr>
          <t xml:space="preserve">
проверити збир!
</t>
        </r>
      </text>
    </comment>
    <comment ref="I12964" authorId="0">
      <text>
        <r>
          <rPr>
            <b/>
            <sz val="9"/>
            <color indexed="81"/>
            <rFont val="Tahoma"/>
            <family val="2"/>
          </rPr>
          <t>LPA:</t>
        </r>
        <r>
          <rPr>
            <sz val="9"/>
            <color indexed="81"/>
            <rFont val="Tahoma"/>
            <family val="2"/>
          </rPr>
          <t xml:space="preserve">
проверити збир!
</t>
        </r>
      </text>
    </comment>
    <comment ref="I12965" authorId="0">
      <text>
        <r>
          <rPr>
            <b/>
            <sz val="9"/>
            <color indexed="81"/>
            <rFont val="Tahoma"/>
            <family val="2"/>
          </rPr>
          <t>LPA:</t>
        </r>
        <r>
          <rPr>
            <sz val="9"/>
            <color indexed="81"/>
            <rFont val="Tahoma"/>
            <family val="2"/>
          </rPr>
          <t xml:space="preserve">
проверити збир!
</t>
        </r>
      </text>
    </comment>
    <comment ref="I12966" authorId="0">
      <text>
        <r>
          <rPr>
            <b/>
            <sz val="9"/>
            <color indexed="81"/>
            <rFont val="Tahoma"/>
            <family val="2"/>
          </rPr>
          <t>LPA:</t>
        </r>
        <r>
          <rPr>
            <sz val="9"/>
            <color indexed="81"/>
            <rFont val="Tahoma"/>
            <family val="2"/>
          </rPr>
          <t xml:space="preserve">
проверити збир!
</t>
        </r>
      </text>
    </comment>
    <comment ref="I12967" authorId="0">
      <text>
        <r>
          <rPr>
            <b/>
            <sz val="9"/>
            <color indexed="81"/>
            <rFont val="Tahoma"/>
            <family val="2"/>
          </rPr>
          <t>LPA:</t>
        </r>
        <r>
          <rPr>
            <sz val="9"/>
            <color indexed="81"/>
            <rFont val="Tahoma"/>
            <family val="2"/>
          </rPr>
          <t xml:space="preserve">
проверити збир!
</t>
        </r>
      </text>
    </comment>
    <comment ref="I12968" authorId="0">
      <text>
        <r>
          <rPr>
            <b/>
            <sz val="9"/>
            <color indexed="81"/>
            <rFont val="Tahoma"/>
            <family val="2"/>
          </rPr>
          <t>LPA:</t>
        </r>
        <r>
          <rPr>
            <sz val="9"/>
            <color indexed="81"/>
            <rFont val="Tahoma"/>
            <family val="2"/>
          </rPr>
          <t xml:space="preserve">
проверити збир!
</t>
        </r>
      </text>
    </comment>
    <comment ref="H12971" authorId="0">
      <text>
        <r>
          <rPr>
            <b/>
            <sz val="9"/>
            <color indexed="81"/>
            <rFont val="Tahoma"/>
            <family val="2"/>
          </rPr>
          <t>LPA:</t>
        </r>
        <r>
          <rPr>
            <sz val="9"/>
            <color indexed="81"/>
            <rFont val="Tahoma"/>
            <family val="2"/>
          </rPr>
          <t xml:space="preserve">
проверити збир!</t>
        </r>
      </text>
    </comment>
    <comment ref="I12971" authorId="0">
      <text>
        <r>
          <rPr>
            <b/>
            <sz val="9"/>
            <color indexed="81"/>
            <rFont val="Tahoma"/>
            <family val="2"/>
          </rPr>
          <t>LPA:</t>
        </r>
        <r>
          <rPr>
            <sz val="9"/>
            <color indexed="81"/>
            <rFont val="Tahoma"/>
            <family val="2"/>
          </rPr>
          <t xml:space="preserve">
проверити збир!</t>
        </r>
      </text>
    </comment>
    <comment ref="I12972" authorId="0">
      <text>
        <r>
          <rPr>
            <b/>
            <sz val="9"/>
            <color indexed="81"/>
            <rFont val="Tahoma"/>
            <family val="2"/>
          </rPr>
          <t>LPA:</t>
        </r>
        <r>
          <rPr>
            <sz val="9"/>
            <color indexed="81"/>
            <rFont val="Tahoma"/>
            <family val="2"/>
          </rPr>
          <t xml:space="preserve">
проверити збир!
</t>
        </r>
      </text>
    </comment>
    <comment ref="I12973" authorId="0">
      <text>
        <r>
          <rPr>
            <b/>
            <sz val="9"/>
            <color indexed="81"/>
            <rFont val="Tahoma"/>
            <family val="2"/>
          </rPr>
          <t>LPA:</t>
        </r>
        <r>
          <rPr>
            <sz val="9"/>
            <color indexed="81"/>
            <rFont val="Tahoma"/>
            <family val="2"/>
          </rPr>
          <t xml:space="preserve">
проверити збир!
</t>
        </r>
      </text>
    </comment>
    <comment ref="I12974" authorId="0">
      <text>
        <r>
          <rPr>
            <b/>
            <sz val="9"/>
            <color indexed="81"/>
            <rFont val="Tahoma"/>
            <family val="2"/>
          </rPr>
          <t>LPA:</t>
        </r>
        <r>
          <rPr>
            <sz val="9"/>
            <color indexed="81"/>
            <rFont val="Tahoma"/>
            <family val="2"/>
          </rPr>
          <t xml:space="preserve">
проверити збир!
</t>
        </r>
      </text>
    </comment>
    <comment ref="I12975" authorId="0">
      <text>
        <r>
          <rPr>
            <b/>
            <sz val="9"/>
            <color indexed="81"/>
            <rFont val="Tahoma"/>
            <family val="2"/>
          </rPr>
          <t>LPA:</t>
        </r>
        <r>
          <rPr>
            <sz val="9"/>
            <color indexed="81"/>
            <rFont val="Tahoma"/>
            <family val="2"/>
          </rPr>
          <t xml:space="preserve">
проверити збир!
</t>
        </r>
      </text>
    </comment>
    <comment ref="I12976" authorId="0">
      <text>
        <r>
          <rPr>
            <b/>
            <sz val="9"/>
            <color indexed="81"/>
            <rFont val="Tahoma"/>
            <family val="2"/>
          </rPr>
          <t>LPA:</t>
        </r>
        <r>
          <rPr>
            <sz val="9"/>
            <color indexed="81"/>
            <rFont val="Tahoma"/>
            <family val="2"/>
          </rPr>
          <t xml:space="preserve">
проверити збир!
</t>
        </r>
      </text>
    </comment>
    <comment ref="I12977" authorId="0">
      <text>
        <r>
          <rPr>
            <b/>
            <sz val="9"/>
            <color indexed="81"/>
            <rFont val="Tahoma"/>
            <family val="2"/>
          </rPr>
          <t>LPA:</t>
        </r>
        <r>
          <rPr>
            <sz val="9"/>
            <color indexed="81"/>
            <rFont val="Tahoma"/>
            <family val="2"/>
          </rPr>
          <t xml:space="preserve">
проверити збир!
</t>
        </r>
      </text>
    </comment>
    <comment ref="I12978" authorId="0">
      <text>
        <r>
          <rPr>
            <b/>
            <sz val="9"/>
            <color indexed="81"/>
            <rFont val="Tahoma"/>
            <family val="2"/>
          </rPr>
          <t>LPA:</t>
        </r>
        <r>
          <rPr>
            <sz val="9"/>
            <color indexed="81"/>
            <rFont val="Tahoma"/>
            <family val="2"/>
          </rPr>
          <t xml:space="preserve">
проверити збир!
</t>
        </r>
      </text>
    </comment>
    <comment ref="I12979" authorId="0">
      <text>
        <r>
          <rPr>
            <b/>
            <sz val="9"/>
            <color indexed="81"/>
            <rFont val="Tahoma"/>
            <family val="2"/>
          </rPr>
          <t>LPA:</t>
        </r>
        <r>
          <rPr>
            <sz val="9"/>
            <color indexed="81"/>
            <rFont val="Tahoma"/>
            <family val="2"/>
          </rPr>
          <t xml:space="preserve">
проверити збир!
</t>
        </r>
      </text>
    </comment>
    <comment ref="I12980" authorId="0">
      <text>
        <r>
          <rPr>
            <b/>
            <sz val="9"/>
            <color indexed="81"/>
            <rFont val="Tahoma"/>
            <family val="2"/>
          </rPr>
          <t>LPA:</t>
        </r>
        <r>
          <rPr>
            <sz val="9"/>
            <color indexed="81"/>
            <rFont val="Tahoma"/>
            <family val="2"/>
          </rPr>
          <t xml:space="preserve">
проверити збир!
</t>
        </r>
      </text>
    </comment>
    <comment ref="I12981" authorId="0">
      <text>
        <r>
          <rPr>
            <b/>
            <sz val="9"/>
            <color indexed="81"/>
            <rFont val="Tahoma"/>
            <family val="2"/>
          </rPr>
          <t>LPA:</t>
        </r>
        <r>
          <rPr>
            <sz val="9"/>
            <color indexed="81"/>
            <rFont val="Tahoma"/>
            <family val="2"/>
          </rPr>
          <t xml:space="preserve">
проверити збир!
</t>
        </r>
      </text>
    </comment>
    <comment ref="I12982" authorId="0">
      <text>
        <r>
          <rPr>
            <b/>
            <sz val="9"/>
            <color indexed="81"/>
            <rFont val="Tahoma"/>
            <family val="2"/>
          </rPr>
          <t>LPA:</t>
        </r>
        <r>
          <rPr>
            <sz val="9"/>
            <color indexed="81"/>
            <rFont val="Tahoma"/>
            <family val="2"/>
          </rPr>
          <t xml:space="preserve">
проверити збир!
</t>
        </r>
      </text>
    </comment>
    <comment ref="I12983" authorId="0">
      <text>
        <r>
          <rPr>
            <b/>
            <sz val="9"/>
            <color indexed="81"/>
            <rFont val="Tahoma"/>
            <family val="2"/>
          </rPr>
          <t>LPA:</t>
        </r>
        <r>
          <rPr>
            <sz val="9"/>
            <color indexed="81"/>
            <rFont val="Tahoma"/>
            <family val="2"/>
          </rPr>
          <t xml:space="preserve">
проверити збир!
</t>
        </r>
      </text>
    </comment>
    <comment ref="I12984" authorId="0">
      <text>
        <r>
          <rPr>
            <b/>
            <sz val="9"/>
            <color indexed="81"/>
            <rFont val="Tahoma"/>
            <family val="2"/>
          </rPr>
          <t>LPA:</t>
        </r>
        <r>
          <rPr>
            <sz val="9"/>
            <color indexed="81"/>
            <rFont val="Tahoma"/>
            <family val="2"/>
          </rPr>
          <t xml:space="preserve">
проверити збир!
</t>
        </r>
      </text>
    </comment>
    <comment ref="I12985" authorId="0">
      <text>
        <r>
          <rPr>
            <b/>
            <sz val="9"/>
            <color indexed="81"/>
            <rFont val="Tahoma"/>
            <family val="2"/>
          </rPr>
          <t>LPA:</t>
        </r>
        <r>
          <rPr>
            <sz val="9"/>
            <color indexed="81"/>
            <rFont val="Tahoma"/>
            <family val="2"/>
          </rPr>
          <t xml:space="preserve">
проверити збир!
</t>
        </r>
      </text>
    </comment>
    <comment ref="I12986" authorId="0">
      <text>
        <r>
          <rPr>
            <b/>
            <sz val="9"/>
            <color indexed="81"/>
            <rFont val="Tahoma"/>
            <family val="2"/>
          </rPr>
          <t>LPA:</t>
        </r>
        <r>
          <rPr>
            <sz val="9"/>
            <color indexed="81"/>
            <rFont val="Tahoma"/>
            <family val="2"/>
          </rPr>
          <t xml:space="preserve">
проверити збир!
</t>
        </r>
      </text>
    </comment>
    <comment ref="H13009" authorId="0">
      <text>
        <r>
          <rPr>
            <b/>
            <sz val="9"/>
            <color indexed="81"/>
            <rFont val="Tahoma"/>
            <family val="2"/>
          </rPr>
          <t>LPA:</t>
        </r>
        <r>
          <rPr>
            <sz val="9"/>
            <color indexed="81"/>
            <rFont val="Tahoma"/>
            <family val="2"/>
          </rPr>
          <t xml:space="preserve">
провери збир!</t>
        </r>
      </text>
    </comment>
    <comment ref="I13009" authorId="0">
      <text>
        <r>
          <rPr>
            <b/>
            <sz val="9"/>
            <color indexed="81"/>
            <rFont val="Tahoma"/>
            <family val="2"/>
          </rPr>
          <t>LPA:</t>
        </r>
        <r>
          <rPr>
            <sz val="9"/>
            <color indexed="81"/>
            <rFont val="Tahoma"/>
            <family val="2"/>
          </rPr>
          <t xml:space="preserve">
проверити збир!
</t>
        </r>
      </text>
    </comment>
    <comment ref="I13010" authorId="0">
      <text>
        <r>
          <rPr>
            <b/>
            <sz val="9"/>
            <color indexed="81"/>
            <rFont val="Tahoma"/>
            <family val="2"/>
          </rPr>
          <t>LPA:</t>
        </r>
        <r>
          <rPr>
            <sz val="9"/>
            <color indexed="81"/>
            <rFont val="Tahoma"/>
            <family val="2"/>
          </rPr>
          <t xml:space="preserve">
проверити збир!
</t>
        </r>
      </text>
    </comment>
    <comment ref="I13011" authorId="0">
      <text>
        <r>
          <rPr>
            <b/>
            <sz val="9"/>
            <color indexed="81"/>
            <rFont val="Tahoma"/>
            <family val="2"/>
          </rPr>
          <t>LPA:</t>
        </r>
        <r>
          <rPr>
            <sz val="9"/>
            <color indexed="81"/>
            <rFont val="Tahoma"/>
            <family val="2"/>
          </rPr>
          <t xml:space="preserve">
проверити збир!
</t>
        </r>
      </text>
    </comment>
    <comment ref="I13012" authorId="0">
      <text>
        <r>
          <rPr>
            <b/>
            <sz val="9"/>
            <color indexed="81"/>
            <rFont val="Tahoma"/>
            <family val="2"/>
          </rPr>
          <t>LPA:</t>
        </r>
        <r>
          <rPr>
            <sz val="9"/>
            <color indexed="81"/>
            <rFont val="Tahoma"/>
            <family val="2"/>
          </rPr>
          <t xml:space="preserve">
проверити збир!
</t>
        </r>
      </text>
    </comment>
    <comment ref="I13013" authorId="0">
      <text>
        <r>
          <rPr>
            <b/>
            <sz val="9"/>
            <color indexed="81"/>
            <rFont val="Tahoma"/>
            <family val="2"/>
          </rPr>
          <t>LPA:</t>
        </r>
        <r>
          <rPr>
            <sz val="9"/>
            <color indexed="81"/>
            <rFont val="Tahoma"/>
            <family val="2"/>
          </rPr>
          <t xml:space="preserve">
проверити збир!
</t>
        </r>
      </text>
    </comment>
    <comment ref="I13014" authorId="0">
      <text>
        <r>
          <rPr>
            <b/>
            <sz val="9"/>
            <color indexed="81"/>
            <rFont val="Tahoma"/>
            <family val="2"/>
          </rPr>
          <t>LPA:</t>
        </r>
        <r>
          <rPr>
            <sz val="9"/>
            <color indexed="81"/>
            <rFont val="Tahoma"/>
            <family val="2"/>
          </rPr>
          <t xml:space="preserve">
проверити збир!
</t>
        </r>
      </text>
    </comment>
    <comment ref="I13015" authorId="0">
      <text>
        <r>
          <rPr>
            <b/>
            <sz val="9"/>
            <color indexed="81"/>
            <rFont val="Tahoma"/>
            <family val="2"/>
          </rPr>
          <t>LPA:</t>
        </r>
        <r>
          <rPr>
            <sz val="9"/>
            <color indexed="81"/>
            <rFont val="Tahoma"/>
            <family val="2"/>
          </rPr>
          <t xml:space="preserve">
проверити збир!
</t>
        </r>
      </text>
    </comment>
    <comment ref="I13016" authorId="0">
      <text>
        <r>
          <rPr>
            <b/>
            <sz val="9"/>
            <color indexed="81"/>
            <rFont val="Tahoma"/>
            <family val="2"/>
          </rPr>
          <t>LPA:</t>
        </r>
        <r>
          <rPr>
            <sz val="9"/>
            <color indexed="81"/>
            <rFont val="Tahoma"/>
            <family val="2"/>
          </rPr>
          <t xml:space="preserve">
проверити збир!
</t>
        </r>
      </text>
    </comment>
    <comment ref="I13017" authorId="0">
      <text>
        <r>
          <rPr>
            <b/>
            <sz val="9"/>
            <color indexed="81"/>
            <rFont val="Tahoma"/>
            <family val="2"/>
          </rPr>
          <t>LPA:</t>
        </r>
        <r>
          <rPr>
            <sz val="9"/>
            <color indexed="81"/>
            <rFont val="Tahoma"/>
            <family val="2"/>
          </rPr>
          <t xml:space="preserve">
проверити збир!
</t>
        </r>
      </text>
    </comment>
    <comment ref="I13018" authorId="0">
      <text>
        <r>
          <rPr>
            <b/>
            <sz val="9"/>
            <color indexed="81"/>
            <rFont val="Tahoma"/>
            <family val="2"/>
          </rPr>
          <t>LPA:</t>
        </r>
        <r>
          <rPr>
            <sz val="9"/>
            <color indexed="81"/>
            <rFont val="Tahoma"/>
            <family val="2"/>
          </rPr>
          <t xml:space="preserve">
проверити збир!
</t>
        </r>
      </text>
    </comment>
    <comment ref="I13019" authorId="0">
      <text>
        <r>
          <rPr>
            <b/>
            <sz val="9"/>
            <color indexed="81"/>
            <rFont val="Tahoma"/>
            <family val="2"/>
          </rPr>
          <t>LPA:</t>
        </r>
        <r>
          <rPr>
            <sz val="9"/>
            <color indexed="81"/>
            <rFont val="Tahoma"/>
            <family val="2"/>
          </rPr>
          <t xml:space="preserve">
проверити збир!
</t>
        </r>
      </text>
    </comment>
    <comment ref="I13020" authorId="0">
      <text>
        <r>
          <rPr>
            <b/>
            <sz val="9"/>
            <color indexed="81"/>
            <rFont val="Tahoma"/>
            <family val="2"/>
          </rPr>
          <t>LPA:</t>
        </r>
        <r>
          <rPr>
            <sz val="9"/>
            <color indexed="81"/>
            <rFont val="Tahoma"/>
            <family val="2"/>
          </rPr>
          <t xml:space="preserve">
проверити збир!
</t>
        </r>
      </text>
    </comment>
    <comment ref="I13021" authorId="0">
      <text>
        <r>
          <rPr>
            <b/>
            <sz val="9"/>
            <color indexed="81"/>
            <rFont val="Tahoma"/>
            <family val="2"/>
          </rPr>
          <t>LPA:</t>
        </r>
        <r>
          <rPr>
            <sz val="9"/>
            <color indexed="81"/>
            <rFont val="Tahoma"/>
            <family val="2"/>
          </rPr>
          <t xml:space="preserve">
проверити збир!
</t>
        </r>
      </text>
    </comment>
    <comment ref="I13022" authorId="0">
      <text>
        <r>
          <rPr>
            <b/>
            <sz val="9"/>
            <color indexed="81"/>
            <rFont val="Tahoma"/>
            <family val="2"/>
          </rPr>
          <t>LPA:</t>
        </r>
        <r>
          <rPr>
            <sz val="9"/>
            <color indexed="81"/>
            <rFont val="Tahoma"/>
            <family val="2"/>
          </rPr>
          <t xml:space="preserve">
проверити збир!
</t>
        </r>
      </text>
    </comment>
    <comment ref="I13023" authorId="0">
      <text>
        <r>
          <rPr>
            <b/>
            <sz val="9"/>
            <color indexed="81"/>
            <rFont val="Tahoma"/>
            <family val="2"/>
          </rPr>
          <t>LPA:</t>
        </r>
        <r>
          <rPr>
            <sz val="9"/>
            <color indexed="81"/>
            <rFont val="Tahoma"/>
            <family val="2"/>
          </rPr>
          <t xml:space="preserve">
проверити збир!
</t>
        </r>
      </text>
    </comment>
    <comment ref="I13024" authorId="0">
      <text>
        <r>
          <rPr>
            <b/>
            <sz val="9"/>
            <color indexed="81"/>
            <rFont val="Tahoma"/>
            <family val="2"/>
          </rPr>
          <t>LPA:</t>
        </r>
        <r>
          <rPr>
            <sz val="9"/>
            <color indexed="81"/>
            <rFont val="Tahoma"/>
            <family val="2"/>
          </rPr>
          <t xml:space="preserve">
проверити збир!
</t>
        </r>
      </text>
    </comment>
    <comment ref="I13096" authorId="0">
      <text>
        <r>
          <rPr>
            <b/>
            <sz val="9"/>
            <color indexed="81"/>
            <rFont val="Tahoma"/>
            <family val="2"/>
          </rPr>
          <t>LPA:</t>
        </r>
        <r>
          <rPr>
            <sz val="9"/>
            <color indexed="81"/>
            <rFont val="Tahoma"/>
            <family val="2"/>
          </rPr>
          <t xml:space="preserve">
проверити збир!
</t>
        </r>
      </text>
    </comment>
    <comment ref="I13097" authorId="0">
      <text>
        <r>
          <rPr>
            <b/>
            <sz val="9"/>
            <color indexed="81"/>
            <rFont val="Tahoma"/>
            <family val="2"/>
          </rPr>
          <t>LPA:</t>
        </r>
        <r>
          <rPr>
            <sz val="9"/>
            <color indexed="81"/>
            <rFont val="Tahoma"/>
            <family val="2"/>
          </rPr>
          <t xml:space="preserve">
проверити збир!
</t>
        </r>
      </text>
    </comment>
    <comment ref="I13098" authorId="0">
      <text>
        <r>
          <rPr>
            <b/>
            <sz val="9"/>
            <color indexed="81"/>
            <rFont val="Tahoma"/>
            <family val="2"/>
          </rPr>
          <t>LPA:</t>
        </r>
        <r>
          <rPr>
            <sz val="9"/>
            <color indexed="81"/>
            <rFont val="Tahoma"/>
            <family val="2"/>
          </rPr>
          <t xml:space="preserve">
проверити збир!
</t>
        </r>
      </text>
    </comment>
    <comment ref="I13099" authorId="0">
      <text>
        <r>
          <rPr>
            <b/>
            <sz val="9"/>
            <color indexed="81"/>
            <rFont val="Tahoma"/>
            <family val="2"/>
          </rPr>
          <t>LPA:</t>
        </r>
        <r>
          <rPr>
            <sz val="9"/>
            <color indexed="81"/>
            <rFont val="Tahoma"/>
            <family val="2"/>
          </rPr>
          <t xml:space="preserve">
проверити збир!
</t>
        </r>
      </text>
    </comment>
    <comment ref="I13100" authorId="0">
      <text>
        <r>
          <rPr>
            <b/>
            <sz val="9"/>
            <color indexed="81"/>
            <rFont val="Tahoma"/>
            <family val="2"/>
          </rPr>
          <t>LPA:</t>
        </r>
        <r>
          <rPr>
            <sz val="9"/>
            <color indexed="81"/>
            <rFont val="Tahoma"/>
            <family val="2"/>
          </rPr>
          <t xml:space="preserve">
проверити збир!
</t>
        </r>
      </text>
    </comment>
    <comment ref="I13101" authorId="0">
      <text>
        <r>
          <rPr>
            <b/>
            <sz val="9"/>
            <color indexed="81"/>
            <rFont val="Tahoma"/>
            <family val="2"/>
          </rPr>
          <t>LPA:</t>
        </r>
        <r>
          <rPr>
            <sz val="9"/>
            <color indexed="81"/>
            <rFont val="Tahoma"/>
            <family val="2"/>
          </rPr>
          <t xml:space="preserve">
проверити збир!
</t>
        </r>
      </text>
    </comment>
    <comment ref="I13102" authorId="0">
      <text>
        <r>
          <rPr>
            <b/>
            <sz val="9"/>
            <color indexed="81"/>
            <rFont val="Tahoma"/>
            <family val="2"/>
          </rPr>
          <t>LPA:</t>
        </r>
        <r>
          <rPr>
            <sz val="9"/>
            <color indexed="81"/>
            <rFont val="Tahoma"/>
            <family val="2"/>
          </rPr>
          <t xml:space="preserve">
проверити збир!
</t>
        </r>
      </text>
    </comment>
    <comment ref="I13103" authorId="0">
      <text>
        <r>
          <rPr>
            <b/>
            <sz val="9"/>
            <color indexed="81"/>
            <rFont val="Tahoma"/>
            <family val="2"/>
          </rPr>
          <t>LPA:</t>
        </r>
        <r>
          <rPr>
            <sz val="9"/>
            <color indexed="81"/>
            <rFont val="Tahoma"/>
            <family val="2"/>
          </rPr>
          <t xml:space="preserve">
проверити збир!
</t>
        </r>
      </text>
    </comment>
    <comment ref="I13104" authorId="0">
      <text>
        <r>
          <rPr>
            <b/>
            <sz val="9"/>
            <color indexed="81"/>
            <rFont val="Tahoma"/>
            <family val="2"/>
          </rPr>
          <t>LPA:</t>
        </r>
        <r>
          <rPr>
            <sz val="9"/>
            <color indexed="81"/>
            <rFont val="Tahoma"/>
            <family val="2"/>
          </rPr>
          <t xml:space="preserve">
проверити збир!
</t>
        </r>
      </text>
    </comment>
    <comment ref="I13105" authorId="0">
      <text>
        <r>
          <rPr>
            <b/>
            <sz val="9"/>
            <color indexed="81"/>
            <rFont val="Tahoma"/>
            <family val="2"/>
          </rPr>
          <t>LPA:</t>
        </r>
        <r>
          <rPr>
            <sz val="9"/>
            <color indexed="81"/>
            <rFont val="Tahoma"/>
            <family val="2"/>
          </rPr>
          <t xml:space="preserve">
проверити збир!
</t>
        </r>
      </text>
    </comment>
    <comment ref="I13106" authorId="0">
      <text>
        <r>
          <rPr>
            <b/>
            <sz val="9"/>
            <color indexed="81"/>
            <rFont val="Tahoma"/>
            <family val="2"/>
          </rPr>
          <t>LPA:</t>
        </r>
        <r>
          <rPr>
            <sz val="9"/>
            <color indexed="81"/>
            <rFont val="Tahoma"/>
            <family val="2"/>
          </rPr>
          <t xml:space="preserve">
проверити збир!
</t>
        </r>
      </text>
    </comment>
    <comment ref="I13107" authorId="0">
      <text>
        <r>
          <rPr>
            <b/>
            <sz val="9"/>
            <color indexed="81"/>
            <rFont val="Tahoma"/>
            <family val="2"/>
          </rPr>
          <t>LPA:</t>
        </r>
        <r>
          <rPr>
            <sz val="9"/>
            <color indexed="81"/>
            <rFont val="Tahoma"/>
            <family val="2"/>
          </rPr>
          <t xml:space="preserve">
проверити збир!
</t>
        </r>
      </text>
    </comment>
    <comment ref="I13108" authorId="0">
      <text>
        <r>
          <rPr>
            <b/>
            <sz val="9"/>
            <color indexed="81"/>
            <rFont val="Tahoma"/>
            <family val="2"/>
          </rPr>
          <t>LPA:</t>
        </r>
        <r>
          <rPr>
            <sz val="9"/>
            <color indexed="81"/>
            <rFont val="Tahoma"/>
            <family val="2"/>
          </rPr>
          <t xml:space="preserve">
проверити збир!
</t>
        </r>
      </text>
    </comment>
    <comment ref="H13111" authorId="0">
      <text>
        <r>
          <rPr>
            <b/>
            <sz val="9"/>
            <color indexed="81"/>
            <rFont val="Tahoma"/>
            <family val="2"/>
          </rPr>
          <t>LPA:</t>
        </r>
        <r>
          <rPr>
            <sz val="9"/>
            <color indexed="81"/>
            <rFont val="Tahoma"/>
            <family val="2"/>
          </rPr>
          <t xml:space="preserve">
проверити збир!</t>
        </r>
      </text>
    </comment>
    <comment ref="I13111" authorId="0">
      <text>
        <r>
          <rPr>
            <b/>
            <sz val="9"/>
            <color indexed="81"/>
            <rFont val="Tahoma"/>
            <family val="2"/>
          </rPr>
          <t>LPA:</t>
        </r>
        <r>
          <rPr>
            <sz val="9"/>
            <color indexed="81"/>
            <rFont val="Tahoma"/>
            <family val="2"/>
          </rPr>
          <t xml:space="preserve">
проверити збир!</t>
        </r>
      </text>
    </comment>
    <comment ref="I13112" authorId="0">
      <text>
        <r>
          <rPr>
            <b/>
            <sz val="9"/>
            <color indexed="81"/>
            <rFont val="Tahoma"/>
            <family val="2"/>
          </rPr>
          <t>LPA:</t>
        </r>
        <r>
          <rPr>
            <sz val="9"/>
            <color indexed="81"/>
            <rFont val="Tahoma"/>
            <family val="2"/>
          </rPr>
          <t xml:space="preserve">
проверити збир!
</t>
        </r>
      </text>
    </comment>
    <comment ref="I13113" authorId="0">
      <text>
        <r>
          <rPr>
            <b/>
            <sz val="9"/>
            <color indexed="81"/>
            <rFont val="Tahoma"/>
            <family val="2"/>
          </rPr>
          <t>LPA:</t>
        </r>
        <r>
          <rPr>
            <sz val="9"/>
            <color indexed="81"/>
            <rFont val="Tahoma"/>
            <family val="2"/>
          </rPr>
          <t xml:space="preserve">
проверити збир!
</t>
        </r>
      </text>
    </comment>
    <comment ref="I13114" authorId="0">
      <text>
        <r>
          <rPr>
            <b/>
            <sz val="9"/>
            <color indexed="81"/>
            <rFont val="Tahoma"/>
            <family val="2"/>
          </rPr>
          <t>LPA:</t>
        </r>
        <r>
          <rPr>
            <sz val="9"/>
            <color indexed="81"/>
            <rFont val="Tahoma"/>
            <family val="2"/>
          </rPr>
          <t xml:space="preserve">
проверити збир!
</t>
        </r>
      </text>
    </comment>
    <comment ref="I13115" authorId="0">
      <text>
        <r>
          <rPr>
            <b/>
            <sz val="9"/>
            <color indexed="81"/>
            <rFont val="Tahoma"/>
            <family val="2"/>
          </rPr>
          <t>LPA:</t>
        </r>
        <r>
          <rPr>
            <sz val="9"/>
            <color indexed="81"/>
            <rFont val="Tahoma"/>
            <family val="2"/>
          </rPr>
          <t xml:space="preserve">
проверити збир!
</t>
        </r>
      </text>
    </comment>
    <comment ref="I13116" authorId="0">
      <text>
        <r>
          <rPr>
            <b/>
            <sz val="9"/>
            <color indexed="81"/>
            <rFont val="Tahoma"/>
            <family val="2"/>
          </rPr>
          <t>LPA:</t>
        </r>
        <r>
          <rPr>
            <sz val="9"/>
            <color indexed="81"/>
            <rFont val="Tahoma"/>
            <family val="2"/>
          </rPr>
          <t xml:space="preserve">
проверити збир!
</t>
        </r>
      </text>
    </comment>
    <comment ref="I13117" authorId="0">
      <text>
        <r>
          <rPr>
            <b/>
            <sz val="9"/>
            <color indexed="81"/>
            <rFont val="Tahoma"/>
            <family val="2"/>
          </rPr>
          <t>LPA:</t>
        </r>
        <r>
          <rPr>
            <sz val="9"/>
            <color indexed="81"/>
            <rFont val="Tahoma"/>
            <family val="2"/>
          </rPr>
          <t xml:space="preserve">
проверити збир!
</t>
        </r>
      </text>
    </comment>
    <comment ref="I13118" authorId="0">
      <text>
        <r>
          <rPr>
            <b/>
            <sz val="9"/>
            <color indexed="81"/>
            <rFont val="Tahoma"/>
            <family val="2"/>
          </rPr>
          <t>LPA:</t>
        </r>
        <r>
          <rPr>
            <sz val="9"/>
            <color indexed="81"/>
            <rFont val="Tahoma"/>
            <family val="2"/>
          </rPr>
          <t xml:space="preserve">
проверити збир!
</t>
        </r>
      </text>
    </comment>
    <comment ref="I13119" authorId="0">
      <text>
        <r>
          <rPr>
            <b/>
            <sz val="9"/>
            <color indexed="81"/>
            <rFont val="Tahoma"/>
            <family val="2"/>
          </rPr>
          <t>LPA:</t>
        </r>
        <r>
          <rPr>
            <sz val="9"/>
            <color indexed="81"/>
            <rFont val="Tahoma"/>
            <family val="2"/>
          </rPr>
          <t xml:space="preserve">
проверити збир!
</t>
        </r>
      </text>
    </comment>
    <comment ref="I13120" authorId="0">
      <text>
        <r>
          <rPr>
            <b/>
            <sz val="9"/>
            <color indexed="81"/>
            <rFont val="Tahoma"/>
            <family val="2"/>
          </rPr>
          <t>LPA:</t>
        </r>
        <r>
          <rPr>
            <sz val="9"/>
            <color indexed="81"/>
            <rFont val="Tahoma"/>
            <family val="2"/>
          </rPr>
          <t xml:space="preserve">
проверити збир!
</t>
        </r>
      </text>
    </comment>
    <comment ref="I13121" authorId="0">
      <text>
        <r>
          <rPr>
            <b/>
            <sz val="9"/>
            <color indexed="81"/>
            <rFont val="Tahoma"/>
            <family val="2"/>
          </rPr>
          <t>LPA:</t>
        </r>
        <r>
          <rPr>
            <sz val="9"/>
            <color indexed="81"/>
            <rFont val="Tahoma"/>
            <family val="2"/>
          </rPr>
          <t xml:space="preserve">
проверити збир!
</t>
        </r>
      </text>
    </comment>
    <comment ref="I13122" authorId="0">
      <text>
        <r>
          <rPr>
            <b/>
            <sz val="9"/>
            <color indexed="81"/>
            <rFont val="Tahoma"/>
            <family val="2"/>
          </rPr>
          <t>LPA:</t>
        </r>
        <r>
          <rPr>
            <sz val="9"/>
            <color indexed="81"/>
            <rFont val="Tahoma"/>
            <family val="2"/>
          </rPr>
          <t xml:space="preserve">
проверити збир!
</t>
        </r>
      </text>
    </comment>
    <comment ref="I13123" authorId="0">
      <text>
        <r>
          <rPr>
            <b/>
            <sz val="9"/>
            <color indexed="81"/>
            <rFont val="Tahoma"/>
            <family val="2"/>
          </rPr>
          <t>LPA:</t>
        </r>
        <r>
          <rPr>
            <sz val="9"/>
            <color indexed="81"/>
            <rFont val="Tahoma"/>
            <family val="2"/>
          </rPr>
          <t xml:space="preserve">
проверити збир!
</t>
        </r>
      </text>
    </comment>
    <comment ref="I13124" authorId="0">
      <text>
        <r>
          <rPr>
            <b/>
            <sz val="9"/>
            <color indexed="81"/>
            <rFont val="Tahoma"/>
            <family val="2"/>
          </rPr>
          <t>LPA:</t>
        </r>
        <r>
          <rPr>
            <sz val="9"/>
            <color indexed="81"/>
            <rFont val="Tahoma"/>
            <family val="2"/>
          </rPr>
          <t xml:space="preserve">
проверити збир!
</t>
        </r>
      </text>
    </comment>
    <comment ref="I13125" authorId="0">
      <text>
        <r>
          <rPr>
            <b/>
            <sz val="9"/>
            <color indexed="81"/>
            <rFont val="Tahoma"/>
            <family val="2"/>
          </rPr>
          <t>LPA:</t>
        </r>
        <r>
          <rPr>
            <sz val="9"/>
            <color indexed="81"/>
            <rFont val="Tahoma"/>
            <family val="2"/>
          </rPr>
          <t xml:space="preserve">
проверити збир!
</t>
        </r>
      </text>
    </comment>
    <comment ref="I13126" authorId="0">
      <text>
        <r>
          <rPr>
            <b/>
            <sz val="9"/>
            <color indexed="81"/>
            <rFont val="Tahoma"/>
            <family val="2"/>
          </rPr>
          <t>LPA:</t>
        </r>
        <r>
          <rPr>
            <sz val="9"/>
            <color indexed="81"/>
            <rFont val="Tahoma"/>
            <family val="2"/>
          </rPr>
          <t xml:space="preserve">
проверити збир!
</t>
        </r>
      </text>
    </comment>
    <comment ref="I13195" authorId="0">
      <text>
        <r>
          <rPr>
            <b/>
            <sz val="9"/>
            <color indexed="81"/>
            <rFont val="Tahoma"/>
            <family val="2"/>
          </rPr>
          <t>LPA:</t>
        </r>
        <r>
          <rPr>
            <sz val="9"/>
            <color indexed="81"/>
            <rFont val="Tahoma"/>
            <family val="2"/>
          </rPr>
          <t xml:space="preserve">
проверити збир!
</t>
        </r>
      </text>
    </comment>
    <comment ref="I13196" authorId="0">
      <text>
        <r>
          <rPr>
            <b/>
            <sz val="9"/>
            <color indexed="81"/>
            <rFont val="Tahoma"/>
            <family val="2"/>
          </rPr>
          <t>LPA:</t>
        </r>
        <r>
          <rPr>
            <sz val="9"/>
            <color indexed="81"/>
            <rFont val="Tahoma"/>
            <family val="2"/>
          </rPr>
          <t xml:space="preserve">
проверити збир!
</t>
        </r>
      </text>
    </comment>
    <comment ref="I13197" authorId="0">
      <text>
        <r>
          <rPr>
            <b/>
            <sz val="9"/>
            <color indexed="81"/>
            <rFont val="Tahoma"/>
            <family val="2"/>
          </rPr>
          <t>LPA:</t>
        </r>
        <r>
          <rPr>
            <sz val="9"/>
            <color indexed="81"/>
            <rFont val="Tahoma"/>
            <family val="2"/>
          </rPr>
          <t xml:space="preserve">
проверити збир!
</t>
        </r>
      </text>
    </comment>
    <comment ref="I13198" authorId="0">
      <text>
        <r>
          <rPr>
            <b/>
            <sz val="9"/>
            <color indexed="81"/>
            <rFont val="Tahoma"/>
            <family val="2"/>
          </rPr>
          <t>LPA:</t>
        </r>
        <r>
          <rPr>
            <sz val="9"/>
            <color indexed="81"/>
            <rFont val="Tahoma"/>
            <family val="2"/>
          </rPr>
          <t xml:space="preserve">
проверити збир!
</t>
        </r>
      </text>
    </comment>
    <comment ref="I13199" authorId="0">
      <text>
        <r>
          <rPr>
            <b/>
            <sz val="9"/>
            <color indexed="81"/>
            <rFont val="Tahoma"/>
            <family val="2"/>
          </rPr>
          <t>LPA:</t>
        </r>
        <r>
          <rPr>
            <sz val="9"/>
            <color indexed="81"/>
            <rFont val="Tahoma"/>
            <family val="2"/>
          </rPr>
          <t xml:space="preserve">
проверити збир!
</t>
        </r>
      </text>
    </comment>
    <comment ref="I13200" authorId="0">
      <text>
        <r>
          <rPr>
            <b/>
            <sz val="9"/>
            <color indexed="81"/>
            <rFont val="Tahoma"/>
            <family val="2"/>
          </rPr>
          <t>LPA:</t>
        </r>
        <r>
          <rPr>
            <sz val="9"/>
            <color indexed="81"/>
            <rFont val="Tahoma"/>
            <family val="2"/>
          </rPr>
          <t xml:space="preserve">
проверити збир!
</t>
        </r>
      </text>
    </comment>
    <comment ref="I13201" authorId="0">
      <text>
        <r>
          <rPr>
            <b/>
            <sz val="9"/>
            <color indexed="81"/>
            <rFont val="Tahoma"/>
            <family val="2"/>
          </rPr>
          <t>LPA:</t>
        </r>
        <r>
          <rPr>
            <sz val="9"/>
            <color indexed="81"/>
            <rFont val="Tahoma"/>
            <family val="2"/>
          </rPr>
          <t xml:space="preserve">
проверити збир!
</t>
        </r>
      </text>
    </comment>
    <comment ref="I13202" authorId="0">
      <text>
        <r>
          <rPr>
            <b/>
            <sz val="9"/>
            <color indexed="81"/>
            <rFont val="Tahoma"/>
            <family val="2"/>
          </rPr>
          <t>LPA:</t>
        </r>
        <r>
          <rPr>
            <sz val="9"/>
            <color indexed="81"/>
            <rFont val="Tahoma"/>
            <family val="2"/>
          </rPr>
          <t xml:space="preserve">
проверити збир!
</t>
        </r>
      </text>
    </comment>
    <comment ref="I13203" authorId="0">
      <text>
        <r>
          <rPr>
            <b/>
            <sz val="9"/>
            <color indexed="81"/>
            <rFont val="Tahoma"/>
            <family val="2"/>
          </rPr>
          <t>LPA:</t>
        </r>
        <r>
          <rPr>
            <sz val="9"/>
            <color indexed="81"/>
            <rFont val="Tahoma"/>
            <family val="2"/>
          </rPr>
          <t xml:space="preserve">
проверити збир!
</t>
        </r>
      </text>
    </comment>
    <comment ref="I13204" authorId="0">
      <text>
        <r>
          <rPr>
            <b/>
            <sz val="9"/>
            <color indexed="81"/>
            <rFont val="Tahoma"/>
            <family val="2"/>
          </rPr>
          <t>LPA:</t>
        </r>
        <r>
          <rPr>
            <sz val="9"/>
            <color indexed="81"/>
            <rFont val="Tahoma"/>
            <family val="2"/>
          </rPr>
          <t xml:space="preserve">
проверити збир!
</t>
        </r>
      </text>
    </comment>
    <comment ref="I13205" authorId="0">
      <text>
        <r>
          <rPr>
            <b/>
            <sz val="9"/>
            <color indexed="81"/>
            <rFont val="Tahoma"/>
            <family val="2"/>
          </rPr>
          <t>LPA:</t>
        </r>
        <r>
          <rPr>
            <sz val="9"/>
            <color indexed="81"/>
            <rFont val="Tahoma"/>
            <family val="2"/>
          </rPr>
          <t xml:space="preserve">
проверити збир!
</t>
        </r>
      </text>
    </comment>
    <comment ref="I13206" authorId="0">
      <text>
        <r>
          <rPr>
            <b/>
            <sz val="9"/>
            <color indexed="81"/>
            <rFont val="Tahoma"/>
            <family val="2"/>
          </rPr>
          <t>LPA:</t>
        </r>
        <r>
          <rPr>
            <sz val="9"/>
            <color indexed="81"/>
            <rFont val="Tahoma"/>
            <family val="2"/>
          </rPr>
          <t xml:space="preserve">
проверити збир!
</t>
        </r>
      </text>
    </comment>
    <comment ref="I13207" authorId="0">
      <text>
        <r>
          <rPr>
            <b/>
            <sz val="9"/>
            <color indexed="81"/>
            <rFont val="Tahoma"/>
            <family val="2"/>
          </rPr>
          <t>LPA:</t>
        </r>
        <r>
          <rPr>
            <sz val="9"/>
            <color indexed="81"/>
            <rFont val="Tahoma"/>
            <family val="2"/>
          </rPr>
          <t xml:space="preserve">
проверити збир!
</t>
        </r>
      </text>
    </comment>
    <comment ref="H13210" authorId="0">
      <text>
        <r>
          <rPr>
            <b/>
            <sz val="9"/>
            <color indexed="81"/>
            <rFont val="Tahoma"/>
            <family val="2"/>
          </rPr>
          <t>LPA:</t>
        </r>
        <r>
          <rPr>
            <sz val="9"/>
            <color indexed="81"/>
            <rFont val="Tahoma"/>
            <family val="2"/>
          </rPr>
          <t xml:space="preserve">
проверити збир!</t>
        </r>
      </text>
    </comment>
    <comment ref="I13210" authorId="0">
      <text>
        <r>
          <rPr>
            <b/>
            <sz val="9"/>
            <color indexed="81"/>
            <rFont val="Tahoma"/>
            <family val="2"/>
          </rPr>
          <t>LPA:</t>
        </r>
        <r>
          <rPr>
            <sz val="9"/>
            <color indexed="81"/>
            <rFont val="Tahoma"/>
            <family val="2"/>
          </rPr>
          <t xml:space="preserve">
проверити збир!</t>
        </r>
      </text>
    </comment>
    <comment ref="I13211" authorId="0">
      <text>
        <r>
          <rPr>
            <b/>
            <sz val="9"/>
            <color indexed="81"/>
            <rFont val="Tahoma"/>
            <family val="2"/>
          </rPr>
          <t>LPA:</t>
        </r>
        <r>
          <rPr>
            <sz val="9"/>
            <color indexed="81"/>
            <rFont val="Tahoma"/>
            <family val="2"/>
          </rPr>
          <t xml:space="preserve">
проверити збир!
</t>
        </r>
      </text>
    </comment>
    <comment ref="I13212" authorId="0">
      <text>
        <r>
          <rPr>
            <b/>
            <sz val="9"/>
            <color indexed="81"/>
            <rFont val="Tahoma"/>
            <family val="2"/>
          </rPr>
          <t>LPA:</t>
        </r>
        <r>
          <rPr>
            <sz val="9"/>
            <color indexed="81"/>
            <rFont val="Tahoma"/>
            <family val="2"/>
          </rPr>
          <t xml:space="preserve">
проверити збир!
</t>
        </r>
      </text>
    </comment>
    <comment ref="I13213" authorId="0">
      <text>
        <r>
          <rPr>
            <b/>
            <sz val="9"/>
            <color indexed="81"/>
            <rFont val="Tahoma"/>
            <family val="2"/>
          </rPr>
          <t>LPA:</t>
        </r>
        <r>
          <rPr>
            <sz val="9"/>
            <color indexed="81"/>
            <rFont val="Tahoma"/>
            <family val="2"/>
          </rPr>
          <t xml:space="preserve">
проверити збир!
</t>
        </r>
      </text>
    </comment>
    <comment ref="I13214" authorId="0">
      <text>
        <r>
          <rPr>
            <b/>
            <sz val="9"/>
            <color indexed="81"/>
            <rFont val="Tahoma"/>
            <family val="2"/>
          </rPr>
          <t>LPA:</t>
        </r>
        <r>
          <rPr>
            <sz val="9"/>
            <color indexed="81"/>
            <rFont val="Tahoma"/>
            <family val="2"/>
          </rPr>
          <t xml:space="preserve">
проверити збир!
</t>
        </r>
      </text>
    </comment>
    <comment ref="I13215" authorId="0">
      <text>
        <r>
          <rPr>
            <b/>
            <sz val="9"/>
            <color indexed="81"/>
            <rFont val="Tahoma"/>
            <family val="2"/>
          </rPr>
          <t>LPA:</t>
        </r>
        <r>
          <rPr>
            <sz val="9"/>
            <color indexed="81"/>
            <rFont val="Tahoma"/>
            <family val="2"/>
          </rPr>
          <t xml:space="preserve">
проверити збир!
</t>
        </r>
      </text>
    </comment>
    <comment ref="I13216" authorId="0">
      <text>
        <r>
          <rPr>
            <b/>
            <sz val="9"/>
            <color indexed="81"/>
            <rFont val="Tahoma"/>
            <family val="2"/>
          </rPr>
          <t>LPA:</t>
        </r>
        <r>
          <rPr>
            <sz val="9"/>
            <color indexed="81"/>
            <rFont val="Tahoma"/>
            <family val="2"/>
          </rPr>
          <t xml:space="preserve">
проверити збир!
</t>
        </r>
      </text>
    </comment>
    <comment ref="I13217" authorId="0">
      <text>
        <r>
          <rPr>
            <b/>
            <sz val="9"/>
            <color indexed="81"/>
            <rFont val="Tahoma"/>
            <family val="2"/>
          </rPr>
          <t>LPA:</t>
        </r>
        <r>
          <rPr>
            <sz val="9"/>
            <color indexed="81"/>
            <rFont val="Tahoma"/>
            <family val="2"/>
          </rPr>
          <t xml:space="preserve">
проверити збир!
</t>
        </r>
      </text>
    </comment>
    <comment ref="I13218" authorId="0">
      <text>
        <r>
          <rPr>
            <b/>
            <sz val="9"/>
            <color indexed="81"/>
            <rFont val="Tahoma"/>
            <family val="2"/>
          </rPr>
          <t>LPA:</t>
        </r>
        <r>
          <rPr>
            <sz val="9"/>
            <color indexed="81"/>
            <rFont val="Tahoma"/>
            <family val="2"/>
          </rPr>
          <t xml:space="preserve">
проверити збир!
</t>
        </r>
      </text>
    </comment>
    <comment ref="I13219" authorId="0">
      <text>
        <r>
          <rPr>
            <b/>
            <sz val="9"/>
            <color indexed="81"/>
            <rFont val="Tahoma"/>
            <family val="2"/>
          </rPr>
          <t>LPA:</t>
        </r>
        <r>
          <rPr>
            <sz val="9"/>
            <color indexed="81"/>
            <rFont val="Tahoma"/>
            <family val="2"/>
          </rPr>
          <t xml:space="preserve">
проверити збир!
</t>
        </r>
      </text>
    </comment>
    <comment ref="I13220" authorId="0">
      <text>
        <r>
          <rPr>
            <b/>
            <sz val="9"/>
            <color indexed="81"/>
            <rFont val="Tahoma"/>
            <family val="2"/>
          </rPr>
          <t>LPA:</t>
        </r>
        <r>
          <rPr>
            <sz val="9"/>
            <color indexed="81"/>
            <rFont val="Tahoma"/>
            <family val="2"/>
          </rPr>
          <t xml:space="preserve">
проверити збир!
</t>
        </r>
      </text>
    </comment>
    <comment ref="I13221" authorId="0">
      <text>
        <r>
          <rPr>
            <b/>
            <sz val="9"/>
            <color indexed="81"/>
            <rFont val="Tahoma"/>
            <family val="2"/>
          </rPr>
          <t>LPA:</t>
        </r>
        <r>
          <rPr>
            <sz val="9"/>
            <color indexed="81"/>
            <rFont val="Tahoma"/>
            <family val="2"/>
          </rPr>
          <t xml:space="preserve">
проверити збир!
</t>
        </r>
      </text>
    </comment>
    <comment ref="I13222" authorId="0">
      <text>
        <r>
          <rPr>
            <b/>
            <sz val="9"/>
            <color indexed="81"/>
            <rFont val="Tahoma"/>
            <family val="2"/>
          </rPr>
          <t>LPA:</t>
        </r>
        <r>
          <rPr>
            <sz val="9"/>
            <color indexed="81"/>
            <rFont val="Tahoma"/>
            <family val="2"/>
          </rPr>
          <t xml:space="preserve">
проверити збир!
</t>
        </r>
      </text>
    </comment>
    <comment ref="I13223" authorId="0">
      <text>
        <r>
          <rPr>
            <b/>
            <sz val="9"/>
            <color indexed="81"/>
            <rFont val="Tahoma"/>
            <family val="2"/>
          </rPr>
          <t>LPA:</t>
        </r>
        <r>
          <rPr>
            <sz val="9"/>
            <color indexed="81"/>
            <rFont val="Tahoma"/>
            <family val="2"/>
          </rPr>
          <t xml:space="preserve">
проверити збир!
</t>
        </r>
      </text>
    </comment>
    <comment ref="I13224" authorId="0">
      <text>
        <r>
          <rPr>
            <b/>
            <sz val="9"/>
            <color indexed="81"/>
            <rFont val="Tahoma"/>
            <family val="2"/>
          </rPr>
          <t>LPA:</t>
        </r>
        <r>
          <rPr>
            <sz val="9"/>
            <color indexed="81"/>
            <rFont val="Tahoma"/>
            <family val="2"/>
          </rPr>
          <t xml:space="preserve">
проверити збир!
</t>
        </r>
      </text>
    </comment>
    <comment ref="I13225" authorId="0">
      <text>
        <r>
          <rPr>
            <b/>
            <sz val="9"/>
            <color indexed="81"/>
            <rFont val="Tahoma"/>
            <family val="2"/>
          </rPr>
          <t>LPA:</t>
        </r>
        <r>
          <rPr>
            <sz val="9"/>
            <color indexed="81"/>
            <rFont val="Tahoma"/>
            <family val="2"/>
          </rPr>
          <t xml:space="preserve">
проверити збир!
</t>
        </r>
      </text>
    </comment>
    <comment ref="I13294" authorId="0">
      <text>
        <r>
          <rPr>
            <b/>
            <sz val="9"/>
            <color indexed="81"/>
            <rFont val="Tahoma"/>
            <family val="2"/>
          </rPr>
          <t>LPA:</t>
        </r>
        <r>
          <rPr>
            <sz val="9"/>
            <color indexed="81"/>
            <rFont val="Tahoma"/>
            <family val="2"/>
          </rPr>
          <t xml:space="preserve">
проверити збир!
</t>
        </r>
      </text>
    </comment>
    <comment ref="I13295" authorId="0">
      <text>
        <r>
          <rPr>
            <b/>
            <sz val="9"/>
            <color indexed="81"/>
            <rFont val="Tahoma"/>
            <family val="2"/>
          </rPr>
          <t>LPA:</t>
        </r>
        <r>
          <rPr>
            <sz val="9"/>
            <color indexed="81"/>
            <rFont val="Tahoma"/>
            <family val="2"/>
          </rPr>
          <t xml:space="preserve">
проверити збир!
</t>
        </r>
      </text>
    </comment>
    <comment ref="I13296" authorId="0">
      <text>
        <r>
          <rPr>
            <b/>
            <sz val="9"/>
            <color indexed="81"/>
            <rFont val="Tahoma"/>
            <family val="2"/>
          </rPr>
          <t>LPA:</t>
        </r>
        <r>
          <rPr>
            <sz val="9"/>
            <color indexed="81"/>
            <rFont val="Tahoma"/>
            <family val="2"/>
          </rPr>
          <t xml:space="preserve">
проверити збир!
</t>
        </r>
      </text>
    </comment>
    <comment ref="I13297" authorId="0">
      <text>
        <r>
          <rPr>
            <b/>
            <sz val="9"/>
            <color indexed="81"/>
            <rFont val="Tahoma"/>
            <family val="2"/>
          </rPr>
          <t>LPA:</t>
        </r>
        <r>
          <rPr>
            <sz val="9"/>
            <color indexed="81"/>
            <rFont val="Tahoma"/>
            <family val="2"/>
          </rPr>
          <t xml:space="preserve">
проверити збир!
</t>
        </r>
      </text>
    </comment>
    <comment ref="I13298" authorId="0">
      <text>
        <r>
          <rPr>
            <b/>
            <sz val="9"/>
            <color indexed="81"/>
            <rFont val="Tahoma"/>
            <family val="2"/>
          </rPr>
          <t>LPA:</t>
        </r>
        <r>
          <rPr>
            <sz val="9"/>
            <color indexed="81"/>
            <rFont val="Tahoma"/>
            <family val="2"/>
          </rPr>
          <t xml:space="preserve">
проверити збир!
</t>
        </r>
      </text>
    </comment>
    <comment ref="I13299" authorId="0">
      <text>
        <r>
          <rPr>
            <b/>
            <sz val="9"/>
            <color indexed="81"/>
            <rFont val="Tahoma"/>
            <family val="2"/>
          </rPr>
          <t>LPA:</t>
        </r>
        <r>
          <rPr>
            <sz val="9"/>
            <color indexed="81"/>
            <rFont val="Tahoma"/>
            <family val="2"/>
          </rPr>
          <t xml:space="preserve">
проверити збир!
</t>
        </r>
      </text>
    </comment>
    <comment ref="I13300" authorId="0">
      <text>
        <r>
          <rPr>
            <b/>
            <sz val="9"/>
            <color indexed="81"/>
            <rFont val="Tahoma"/>
            <family val="2"/>
          </rPr>
          <t>LPA:</t>
        </r>
        <r>
          <rPr>
            <sz val="9"/>
            <color indexed="81"/>
            <rFont val="Tahoma"/>
            <family val="2"/>
          </rPr>
          <t xml:space="preserve">
проверити збир!
</t>
        </r>
      </text>
    </comment>
    <comment ref="I13301" authorId="0">
      <text>
        <r>
          <rPr>
            <b/>
            <sz val="9"/>
            <color indexed="81"/>
            <rFont val="Tahoma"/>
            <family val="2"/>
          </rPr>
          <t>LPA:</t>
        </r>
        <r>
          <rPr>
            <sz val="9"/>
            <color indexed="81"/>
            <rFont val="Tahoma"/>
            <family val="2"/>
          </rPr>
          <t xml:space="preserve">
проверити збир!
</t>
        </r>
      </text>
    </comment>
    <comment ref="I13302" authorId="0">
      <text>
        <r>
          <rPr>
            <b/>
            <sz val="9"/>
            <color indexed="81"/>
            <rFont val="Tahoma"/>
            <family val="2"/>
          </rPr>
          <t>LPA:</t>
        </r>
        <r>
          <rPr>
            <sz val="9"/>
            <color indexed="81"/>
            <rFont val="Tahoma"/>
            <family val="2"/>
          </rPr>
          <t xml:space="preserve">
проверити збир!
</t>
        </r>
      </text>
    </comment>
    <comment ref="I13303" authorId="0">
      <text>
        <r>
          <rPr>
            <b/>
            <sz val="9"/>
            <color indexed="81"/>
            <rFont val="Tahoma"/>
            <family val="2"/>
          </rPr>
          <t>LPA:</t>
        </r>
        <r>
          <rPr>
            <sz val="9"/>
            <color indexed="81"/>
            <rFont val="Tahoma"/>
            <family val="2"/>
          </rPr>
          <t xml:space="preserve">
проверити збир!
</t>
        </r>
      </text>
    </comment>
    <comment ref="I13304" authorId="0">
      <text>
        <r>
          <rPr>
            <b/>
            <sz val="9"/>
            <color indexed="81"/>
            <rFont val="Tahoma"/>
            <family val="2"/>
          </rPr>
          <t>LPA:</t>
        </r>
        <r>
          <rPr>
            <sz val="9"/>
            <color indexed="81"/>
            <rFont val="Tahoma"/>
            <family val="2"/>
          </rPr>
          <t xml:space="preserve">
проверити збир!
</t>
        </r>
      </text>
    </comment>
    <comment ref="I13305" authorId="0">
      <text>
        <r>
          <rPr>
            <b/>
            <sz val="9"/>
            <color indexed="81"/>
            <rFont val="Tahoma"/>
            <family val="2"/>
          </rPr>
          <t>LPA:</t>
        </r>
        <r>
          <rPr>
            <sz val="9"/>
            <color indexed="81"/>
            <rFont val="Tahoma"/>
            <family val="2"/>
          </rPr>
          <t xml:space="preserve">
проверити збир!
</t>
        </r>
      </text>
    </comment>
    <comment ref="I13306" authorId="0">
      <text>
        <r>
          <rPr>
            <b/>
            <sz val="9"/>
            <color indexed="81"/>
            <rFont val="Tahoma"/>
            <family val="2"/>
          </rPr>
          <t>LPA:</t>
        </r>
        <r>
          <rPr>
            <sz val="9"/>
            <color indexed="81"/>
            <rFont val="Tahoma"/>
            <family val="2"/>
          </rPr>
          <t xml:space="preserve">
проверити збир!
</t>
        </r>
      </text>
    </comment>
    <comment ref="H13309" authorId="0">
      <text>
        <r>
          <rPr>
            <b/>
            <sz val="9"/>
            <color indexed="81"/>
            <rFont val="Tahoma"/>
            <family val="2"/>
          </rPr>
          <t>LPA:</t>
        </r>
        <r>
          <rPr>
            <sz val="9"/>
            <color indexed="81"/>
            <rFont val="Tahoma"/>
            <family val="2"/>
          </rPr>
          <t xml:space="preserve">
проверити збир!</t>
        </r>
      </text>
    </comment>
    <comment ref="I13309" authorId="0">
      <text>
        <r>
          <rPr>
            <b/>
            <sz val="9"/>
            <color indexed="81"/>
            <rFont val="Tahoma"/>
            <family val="2"/>
          </rPr>
          <t>LPA:</t>
        </r>
        <r>
          <rPr>
            <sz val="9"/>
            <color indexed="81"/>
            <rFont val="Tahoma"/>
            <family val="2"/>
          </rPr>
          <t xml:space="preserve">
проверити збир!</t>
        </r>
      </text>
    </comment>
    <comment ref="I13310" authorId="0">
      <text>
        <r>
          <rPr>
            <b/>
            <sz val="9"/>
            <color indexed="81"/>
            <rFont val="Tahoma"/>
            <family val="2"/>
          </rPr>
          <t>LPA:</t>
        </r>
        <r>
          <rPr>
            <sz val="9"/>
            <color indexed="81"/>
            <rFont val="Tahoma"/>
            <family val="2"/>
          </rPr>
          <t xml:space="preserve">
проверити збир!
</t>
        </r>
      </text>
    </comment>
    <comment ref="I13311" authorId="0">
      <text>
        <r>
          <rPr>
            <b/>
            <sz val="9"/>
            <color indexed="81"/>
            <rFont val="Tahoma"/>
            <family val="2"/>
          </rPr>
          <t>LPA:</t>
        </r>
        <r>
          <rPr>
            <sz val="9"/>
            <color indexed="81"/>
            <rFont val="Tahoma"/>
            <family val="2"/>
          </rPr>
          <t xml:space="preserve">
проверити збир!
</t>
        </r>
      </text>
    </comment>
    <comment ref="I13312" authorId="0">
      <text>
        <r>
          <rPr>
            <b/>
            <sz val="9"/>
            <color indexed="81"/>
            <rFont val="Tahoma"/>
            <family val="2"/>
          </rPr>
          <t>LPA:</t>
        </r>
        <r>
          <rPr>
            <sz val="9"/>
            <color indexed="81"/>
            <rFont val="Tahoma"/>
            <family val="2"/>
          </rPr>
          <t xml:space="preserve">
проверити збир!
</t>
        </r>
      </text>
    </comment>
    <comment ref="I13313" authorId="0">
      <text>
        <r>
          <rPr>
            <b/>
            <sz val="9"/>
            <color indexed="81"/>
            <rFont val="Tahoma"/>
            <family val="2"/>
          </rPr>
          <t>LPA:</t>
        </r>
        <r>
          <rPr>
            <sz val="9"/>
            <color indexed="81"/>
            <rFont val="Tahoma"/>
            <family val="2"/>
          </rPr>
          <t xml:space="preserve">
проверити збир!
</t>
        </r>
      </text>
    </comment>
    <comment ref="I13314" authorId="0">
      <text>
        <r>
          <rPr>
            <b/>
            <sz val="9"/>
            <color indexed="81"/>
            <rFont val="Tahoma"/>
            <family val="2"/>
          </rPr>
          <t>LPA:</t>
        </r>
        <r>
          <rPr>
            <sz val="9"/>
            <color indexed="81"/>
            <rFont val="Tahoma"/>
            <family val="2"/>
          </rPr>
          <t xml:space="preserve">
проверити збир!
</t>
        </r>
      </text>
    </comment>
    <comment ref="I13315" authorId="0">
      <text>
        <r>
          <rPr>
            <b/>
            <sz val="9"/>
            <color indexed="81"/>
            <rFont val="Tahoma"/>
            <family val="2"/>
          </rPr>
          <t>LPA:</t>
        </r>
        <r>
          <rPr>
            <sz val="9"/>
            <color indexed="81"/>
            <rFont val="Tahoma"/>
            <family val="2"/>
          </rPr>
          <t xml:space="preserve">
проверити збир!
</t>
        </r>
      </text>
    </comment>
    <comment ref="I13316" authorId="0">
      <text>
        <r>
          <rPr>
            <b/>
            <sz val="9"/>
            <color indexed="81"/>
            <rFont val="Tahoma"/>
            <family val="2"/>
          </rPr>
          <t>LPA:</t>
        </r>
        <r>
          <rPr>
            <sz val="9"/>
            <color indexed="81"/>
            <rFont val="Tahoma"/>
            <family val="2"/>
          </rPr>
          <t xml:space="preserve">
проверити збир!
</t>
        </r>
      </text>
    </comment>
    <comment ref="I13317" authorId="0">
      <text>
        <r>
          <rPr>
            <b/>
            <sz val="9"/>
            <color indexed="81"/>
            <rFont val="Tahoma"/>
            <family val="2"/>
          </rPr>
          <t>LPA:</t>
        </r>
        <r>
          <rPr>
            <sz val="9"/>
            <color indexed="81"/>
            <rFont val="Tahoma"/>
            <family val="2"/>
          </rPr>
          <t xml:space="preserve">
проверити збир!
</t>
        </r>
      </text>
    </comment>
    <comment ref="I13318" authorId="0">
      <text>
        <r>
          <rPr>
            <b/>
            <sz val="9"/>
            <color indexed="81"/>
            <rFont val="Tahoma"/>
            <family val="2"/>
          </rPr>
          <t>LPA:</t>
        </r>
        <r>
          <rPr>
            <sz val="9"/>
            <color indexed="81"/>
            <rFont val="Tahoma"/>
            <family val="2"/>
          </rPr>
          <t xml:space="preserve">
проверити збир!
</t>
        </r>
      </text>
    </comment>
    <comment ref="I13319" authorId="0">
      <text>
        <r>
          <rPr>
            <b/>
            <sz val="9"/>
            <color indexed="81"/>
            <rFont val="Tahoma"/>
            <family val="2"/>
          </rPr>
          <t>LPA:</t>
        </r>
        <r>
          <rPr>
            <sz val="9"/>
            <color indexed="81"/>
            <rFont val="Tahoma"/>
            <family val="2"/>
          </rPr>
          <t xml:space="preserve">
проверити збир!
</t>
        </r>
      </text>
    </comment>
    <comment ref="I13320" authorId="0">
      <text>
        <r>
          <rPr>
            <b/>
            <sz val="9"/>
            <color indexed="81"/>
            <rFont val="Tahoma"/>
            <family val="2"/>
          </rPr>
          <t>LPA:</t>
        </r>
        <r>
          <rPr>
            <sz val="9"/>
            <color indexed="81"/>
            <rFont val="Tahoma"/>
            <family val="2"/>
          </rPr>
          <t xml:space="preserve">
проверити збир!
</t>
        </r>
      </text>
    </comment>
    <comment ref="I13321" authorId="0">
      <text>
        <r>
          <rPr>
            <b/>
            <sz val="9"/>
            <color indexed="81"/>
            <rFont val="Tahoma"/>
            <family val="2"/>
          </rPr>
          <t>LPA:</t>
        </r>
        <r>
          <rPr>
            <sz val="9"/>
            <color indexed="81"/>
            <rFont val="Tahoma"/>
            <family val="2"/>
          </rPr>
          <t xml:space="preserve">
проверити збир!
</t>
        </r>
      </text>
    </comment>
    <comment ref="I13322" authorId="0">
      <text>
        <r>
          <rPr>
            <b/>
            <sz val="9"/>
            <color indexed="81"/>
            <rFont val="Tahoma"/>
            <family val="2"/>
          </rPr>
          <t>LPA:</t>
        </r>
        <r>
          <rPr>
            <sz val="9"/>
            <color indexed="81"/>
            <rFont val="Tahoma"/>
            <family val="2"/>
          </rPr>
          <t xml:space="preserve">
проверити збир!
</t>
        </r>
      </text>
    </comment>
    <comment ref="I13323" authorId="0">
      <text>
        <r>
          <rPr>
            <b/>
            <sz val="9"/>
            <color indexed="81"/>
            <rFont val="Tahoma"/>
            <family val="2"/>
          </rPr>
          <t>LPA:</t>
        </r>
        <r>
          <rPr>
            <sz val="9"/>
            <color indexed="81"/>
            <rFont val="Tahoma"/>
            <family val="2"/>
          </rPr>
          <t xml:space="preserve">
проверити збир!
</t>
        </r>
      </text>
    </comment>
    <comment ref="I13324" authorId="0">
      <text>
        <r>
          <rPr>
            <b/>
            <sz val="9"/>
            <color indexed="81"/>
            <rFont val="Tahoma"/>
            <family val="2"/>
          </rPr>
          <t>LPA:</t>
        </r>
        <r>
          <rPr>
            <sz val="9"/>
            <color indexed="81"/>
            <rFont val="Tahoma"/>
            <family val="2"/>
          </rPr>
          <t xml:space="preserve">
проверити збир!
</t>
        </r>
      </text>
    </comment>
    <comment ref="I13393" authorId="0">
      <text>
        <r>
          <rPr>
            <b/>
            <sz val="9"/>
            <color indexed="81"/>
            <rFont val="Tahoma"/>
            <family val="2"/>
          </rPr>
          <t>LPA:</t>
        </r>
        <r>
          <rPr>
            <sz val="9"/>
            <color indexed="81"/>
            <rFont val="Tahoma"/>
            <family val="2"/>
          </rPr>
          <t xml:space="preserve">
проверити збир!
</t>
        </r>
      </text>
    </comment>
    <comment ref="I13394" authorId="0">
      <text>
        <r>
          <rPr>
            <b/>
            <sz val="9"/>
            <color indexed="81"/>
            <rFont val="Tahoma"/>
            <family val="2"/>
          </rPr>
          <t>LPA:</t>
        </r>
        <r>
          <rPr>
            <sz val="9"/>
            <color indexed="81"/>
            <rFont val="Tahoma"/>
            <family val="2"/>
          </rPr>
          <t xml:space="preserve">
проверити збир!
</t>
        </r>
      </text>
    </comment>
    <comment ref="I13395" authorId="0">
      <text>
        <r>
          <rPr>
            <b/>
            <sz val="9"/>
            <color indexed="81"/>
            <rFont val="Tahoma"/>
            <family val="2"/>
          </rPr>
          <t>LPA:</t>
        </r>
        <r>
          <rPr>
            <sz val="9"/>
            <color indexed="81"/>
            <rFont val="Tahoma"/>
            <family val="2"/>
          </rPr>
          <t xml:space="preserve">
проверити збир!
</t>
        </r>
      </text>
    </comment>
    <comment ref="I13396" authorId="0">
      <text>
        <r>
          <rPr>
            <b/>
            <sz val="9"/>
            <color indexed="81"/>
            <rFont val="Tahoma"/>
            <family val="2"/>
          </rPr>
          <t>LPA:</t>
        </r>
        <r>
          <rPr>
            <sz val="9"/>
            <color indexed="81"/>
            <rFont val="Tahoma"/>
            <family val="2"/>
          </rPr>
          <t xml:space="preserve">
проверити збир!
</t>
        </r>
      </text>
    </comment>
    <comment ref="I13397" authorId="0">
      <text>
        <r>
          <rPr>
            <b/>
            <sz val="9"/>
            <color indexed="81"/>
            <rFont val="Tahoma"/>
            <family val="2"/>
          </rPr>
          <t>LPA:</t>
        </r>
        <r>
          <rPr>
            <sz val="9"/>
            <color indexed="81"/>
            <rFont val="Tahoma"/>
            <family val="2"/>
          </rPr>
          <t xml:space="preserve">
проверити збир!
</t>
        </r>
      </text>
    </comment>
    <comment ref="I13398" authorId="0">
      <text>
        <r>
          <rPr>
            <b/>
            <sz val="9"/>
            <color indexed="81"/>
            <rFont val="Tahoma"/>
            <family val="2"/>
          </rPr>
          <t>LPA:</t>
        </r>
        <r>
          <rPr>
            <sz val="9"/>
            <color indexed="81"/>
            <rFont val="Tahoma"/>
            <family val="2"/>
          </rPr>
          <t xml:space="preserve">
проверити збир!
</t>
        </r>
      </text>
    </comment>
    <comment ref="I13399" authorId="0">
      <text>
        <r>
          <rPr>
            <b/>
            <sz val="9"/>
            <color indexed="81"/>
            <rFont val="Tahoma"/>
            <family val="2"/>
          </rPr>
          <t>LPA:</t>
        </r>
        <r>
          <rPr>
            <sz val="9"/>
            <color indexed="81"/>
            <rFont val="Tahoma"/>
            <family val="2"/>
          </rPr>
          <t xml:space="preserve">
проверити збир!
</t>
        </r>
      </text>
    </comment>
    <comment ref="I13400" authorId="0">
      <text>
        <r>
          <rPr>
            <b/>
            <sz val="9"/>
            <color indexed="81"/>
            <rFont val="Tahoma"/>
            <family val="2"/>
          </rPr>
          <t>LPA:</t>
        </r>
        <r>
          <rPr>
            <sz val="9"/>
            <color indexed="81"/>
            <rFont val="Tahoma"/>
            <family val="2"/>
          </rPr>
          <t xml:space="preserve">
проверити збир!
</t>
        </r>
      </text>
    </comment>
    <comment ref="I13401" authorId="0">
      <text>
        <r>
          <rPr>
            <b/>
            <sz val="9"/>
            <color indexed="81"/>
            <rFont val="Tahoma"/>
            <family val="2"/>
          </rPr>
          <t>LPA:</t>
        </r>
        <r>
          <rPr>
            <sz val="9"/>
            <color indexed="81"/>
            <rFont val="Tahoma"/>
            <family val="2"/>
          </rPr>
          <t xml:space="preserve">
проверити збир!
</t>
        </r>
      </text>
    </comment>
    <comment ref="I13402" authorId="0">
      <text>
        <r>
          <rPr>
            <b/>
            <sz val="9"/>
            <color indexed="81"/>
            <rFont val="Tahoma"/>
            <family val="2"/>
          </rPr>
          <t>LPA:</t>
        </r>
        <r>
          <rPr>
            <sz val="9"/>
            <color indexed="81"/>
            <rFont val="Tahoma"/>
            <family val="2"/>
          </rPr>
          <t xml:space="preserve">
проверити збир!
</t>
        </r>
      </text>
    </comment>
    <comment ref="I13403" authorId="0">
      <text>
        <r>
          <rPr>
            <b/>
            <sz val="9"/>
            <color indexed="81"/>
            <rFont val="Tahoma"/>
            <family val="2"/>
          </rPr>
          <t>LPA:</t>
        </r>
        <r>
          <rPr>
            <sz val="9"/>
            <color indexed="81"/>
            <rFont val="Tahoma"/>
            <family val="2"/>
          </rPr>
          <t xml:space="preserve">
проверити збир!
</t>
        </r>
      </text>
    </comment>
    <comment ref="I13404" authorId="0">
      <text>
        <r>
          <rPr>
            <b/>
            <sz val="9"/>
            <color indexed="81"/>
            <rFont val="Tahoma"/>
            <family val="2"/>
          </rPr>
          <t>LPA:</t>
        </r>
        <r>
          <rPr>
            <sz val="9"/>
            <color indexed="81"/>
            <rFont val="Tahoma"/>
            <family val="2"/>
          </rPr>
          <t xml:space="preserve">
проверити збир!
</t>
        </r>
      </text>
    </comment>
    <comment ref="I13405" authorId="0">
      <text>
        <r>
          <rPr>
            <b/>
            <sz val="9"/>
            <color indexed="81"/>
            <rFont val="Tahoma"/>
            <family val="2"/>
          </rPr>
          <t>LPA:</t>
        </r>
        <r>
          <rPr>
            <sz val="9"/>
            <color indexed="81"/>
            <rFont val="Tahoma"/>
            <family val="2"/>
          </rPr>
          <t xml:space="preserve">
проверити збир!
</t>
        </r>
      </text>
    </comment>
    <comment ref="H13408" authorId="0">
      <text>
        <r>
          <rPr>
            <b/>
            <sz val="9"/>
            <color indexed="81"/>
            <rFont val="Tahoma"/>
            <family val="2"/>
          </rPr>
          <t>LPA:</t>
        </r>
        <r>
          <rPr>
            <sz val="9"/>
            <color indexed="81"/>
            <rFont val="Tahoma"/>
            <family val="2"/>
          </rPr>
          <t xml:space="preserve">
проверити збир!</t>
        </r>
      </text>
    </comment>
    <comment ref="I13408" authorId="0">
      <text>
        <r>
          <rPr>
            <b/>
            <sz val="9"/>
            <color indexed="81"/>
            <rFont val="Tahoma"/>
            <family val="2"/>
          </rPr>
          <t>LPA:</t>
        </r>
        <r>
          <rPr>
            <sz val="9"/>
            <color indexed="81"/>
            <rFont val="Tahoma"/>
            <family val="2"/>
          </rPr>
          <t xml:space="preserve">
проверити збир!</t>
        </r>
      </text>
    </comment>
    <comment ref="I13409" authorId="0">
      <text>
        <r>
          <rPr>
            <b/>
            <sz val="9"/>
            <color indexed="81"/>
            <rFont val="Tahoma"/>
            <family val="2"/>
          </rPr>
          <t>LPA:</t>
        </r>
        <r>
          <rPr>
            <sz val="9"/>
            <color indexed="81"/>
            <rFont val="Tahoma"/>
            <family val="2"/>
          </rPr>
          <t xml:space="preserve">
проверити збир!
</t>
        </r>
      </text>
    </comment>
    <comment ref="I13410" authorId="0">
      <text>
        <r>
          <rPr>
            <b/>
            <sz val="9"/>
            <color indexed="81"/>
            <rFont val="Tahoma"/>
            <family val="2"/>
          </rPr>
          <t>LPA:</t>
        </r>
        <r>
          <rPr>
            <sz val="9"/>
            <color indexed="81"/>
            <rFont val="Tahoma"/>
            <family val="2"/>
          </rPr>
          <t xml:space="preserve">
проверити збир!
</t>
        </r>
      </text>
    </comment>
    <comment ref="I13411" authorId="0">
      <text>
        <r>
          <rPr>
            <b/>
            <sz val="9"/>
            <color indexed="81"/>
            <rFont val="Tahoma"/>
            <family val="2"/>
          </rPr>
          <t>LPA:</t>
        </r>
        <r>
          <rPr>
            <sz val="9"/>
            <color indexed="81"/>
            <rFont val="Tahoma"/>
            <family val="2"/>
          </rPr>
          <t xml:space="preserve">
проверити збир!
</t>
        </r>
      </text>
    </comment>
    <comment ref="I13412" authorId="0">
      <text>
        <r>
          <rPr>
            <b/>
            <sz val="9"/>
            <color indexed="81"/>
            <rFont val="Tahoma"/>
            <family val="2"/>
          </rPr>
          <t>LPA:</t>
        </r>
        <r>
          <rPr>
            <sz val="9"/>
            <color indexed="81"/>
            <rFont val="Tahoma"/>
            <family val="2"/>
          </rPr>
          <t xml:space="preserve">
проверити збир!
</t>
        </r>
      </text>
    </comment>
    <comment ref="I13413" authorId="0">
      <text>
        <r>
          <rPr>
            <b/>
            <sz val="9"/>
            <color indexed="81"/>
            <rFont val="Tahoma"/>
            <family val="2"/>
          </rPr>
          <t>LPA:</t>
        </r>
        <r>
          <rPr>
            <sz val="9"/>
            <color indexed="81"/>
            <rFont val="Tahoma"/>
            <family val="2"/>
          </rPr>
          <t xml:space="preserve">
проверити збир!
</t>
        </r>
      </text>
    </comment>
    <comment ref="I13414" authorId="0">
      <text>
        <r>
          <rPr>
            <b/>
            <sz val="9"/>
            <color indexed="81"/>
            <rFont val="Tahoma"/>
            <family val="2"/>
          </rPr>
          <t>LPA:</t>
        </r>
        <r>
          <rPr>
            <sz val="9"/>
            <color indexed="81"/>
            <rFont val="Tahoma"/>
            <family val="2"/>
          </rPr>
          <t xml:space="preserve">
проверити збир!
</t>
        </r>
      </text>
    </comment>
    <comment ref="I13415" authorId="0">
      <text>
        <r>
          <rPr>
            <b/>
            <sz val="9"/>
            <color indexed="81"/>
            <rFont val="Tahoma"/>
            <family val="2"/>
          </rPr>
          <t>LPA:</t>
        </r>
        <r>
          <rPr>
            <sz val="9"/>
            <color indexed="81"/>
            <rFont val="Tahoma"/>
            <family val="2"/>
          </rPr>
          <t xml:space="preserve">
проверити збир!
</t>
        </r>
      </text>
    </comment>
    <comment ref="I13416" authorId="0">
      <text>
        <r>
          <rPr>
            <b/>
            <sz val="9"/>
            <color indexed="81"/>
            <rFont val="Tahoma"/>
            <family val="2"/>
          </rPr>
          <t>LPA:</t>
        </r>
        <r>
          <rPr>
            <sz val="9"/>
            <color indexed="81"/>
            <rFont val="Tahoma"/>
            <family val="2"/>
          </rPr>
          <t xml:space="preserve">
проверити збир!
</t>
        </r>
      </text>
    </comment>
    <comment ref="I13417" authorId="0">
      <text>
        <r>
          <rPr>
            <b/>
            <sz val="9"/>
            <color indexed="81"/>
            <rFont val="Tahoma"/>
            <family val="2"/>
          </rPr>
          <t>LPA:</t>
        </r>
        <r>
          <rPr>
            <sz val="9"/>
            <color indexed="81"/>
            <rFont val="Tahoma"/>
            <family val="2"/>
          </rPr>
          <t xml:space="preserve">
проверити збир!
</t>
        </r>
      </text>
    </comment>
    <comment ref="I13418" authorId="0">
      <text>
        <r>
          <rPr>
            <b/>
            <sz val="9"/>
            <color indexed="81"/>
            <rFont val="Tahoma"/>
            <family val="2"/>
          </rPr>
          <t>LPA:</t>
        </r>
        <r>
          <rPr>
            <sz val="9"/>
            <color indexed="81"/>
            <rFont val="Tahoma"/>
            <family val="2"/>
          </rPr>
          <t xml:space="preserve">
проверити збир!
</t>
        </r>
      </text>
    </comment>
    <comment ref="I13419" authorId="0">
      <text>
        <r>
          <rPr>
            <b/>
            <sz val="9"/>
            <color indexed="81"/>
            <rFont val="Tahoma"/>
            <family val="2"/>
          </rPr>
          <t>LPA:</t>
        </r>
        <r>
          <rPr>
            <sz val="9"/>
            <color indexed="81"/>
            <rFont val="Tahoma"/>
            <family val="2"/>
          </rPr>
          <t xml:space="preserve">
проверити збир!
</t>
        </r>
      </text>
    </comment>
    <comment ref="I13420" authorId="0">
      <text>
        <r>
          <rPr>
            <b/>
            <sz val="9"/>
            <color indexed="81"/>
            <rFont val="Tahoma"/>
            <family val="2"/>
          </rPr>
          <t>LPA:</t>
        </r>
        <r>
          <rPr>
            <sz val="9"/>
            <color indexed="81"/>
            <rFont val="Tahoma"/>
            <family val="2"/>
          </rPr>
          <t xml:space="preserve">
проверити збир!
</t>
        </r>
      </text>
    </comment>
    <comment ref="I13421" authorId="0">
      <text>
        <r>
          <rPr>
            <b/>
            <sz val="9"/>
            <color indexed="81"/>
            <rFont val="Tahoma"/>
            <family val="2"/>
          </rPr>
          <t>LPA:</t>
        </r>
        <r>
          <rPr>
            <sz val="9"/>
            <color indexed="81"/>
            <rFont val="Tahoma"/>
            <family val="2"/>
          </rPr>
          <t xml:space="preserve">
проверити збир!
</t>
        </r>
      </text>
    </comment>
    <comment ref="I13422" authorId="0">
      <text>
        <r>
          <rPr>
            <b/>
            <sz val="9"/>
            <color indexed="81"/>
            <rFont val="Tahoma"/>
            <family val="2"/>
          </rPr>
          <t>LPA:</t>
        </r>
        <r>
          <rPr>
            <sz val="9"/>
            <color indexed="81"/>
            <rFont val="Tahoma"/>
            <family val="2"/>
          </rPr>
          <t xml:space="preserve">
проверити збир!
</t>
        </r>
      </text>
    </comment>
    <comment ref="I13423" authorId="0">
      <text>
        <r>
          <rPr>
            <b/>
            <sz val="9"/>
            <color indexed="81"/>
            <rFont val="Tahoma"/>
            <family val="2"/>
          </rPr>
          <t>LPA:</t>
        </r>
        <r>
          <rPr>
            <sz val="9"/>
            <color indexed="81"/>
            <rFont val="Tahoma"/>
            <family val="2"/>
          </rPr>
          <t xml:space="preserve">
проверити збир!
</t>
        </r>
      </text>
    </comment>
    <comment ref="I13492" authorId="0">
      <text>
        <r>
          <rPr>
            <b/>
            <sz val="9"/>
            <color indexed="81"/>
            <rFont val="Tahoma"/>
            <family val="2"/>
          </rPr>
          <t>LPA:</t>
        </r>
        <r>
          <rPr>
            <sz val="9"/>
            <color indexed="81"/>
            <rFont val="Tahoma"/>
            <family val="2"/>
          </rPr>
          <t xml:space="preserve">
проверити збир!
</t>
        </r>
      </text>
    </comment>
    <comment ref="I13493" authorId="0">
      <text>
        <r>
          <rPr>
            <b/>
            <sz val="9"/>
            <color indexed="81"/>
            <rFont val="Tahoma"/>
            <family val="2"/>
          </rPr>
          <t>LPA:</t>
        </r>
        <r>
          <rPr>
            <sz val="9"/>
            <color indexed="81"/>
            <rFont val="Tahoma"/>
            <family val="2"/>
          </rPr>
          <t xml:space="preserve">
проверити збир!
</t>
        </r>
      </text>
    </comment>
    <comment ref="I13494" authorId="0">
      <text>
        <r>
          <rPr>
            <b/>
            <sz val="9"/>
            <color indexed="81"/>
            <rFont val="Tahoma"/>
            <family val="2"/>
          </rPr>
          <t>LPA:</t>
        </r>
        <r>
          <rPr>
            <sz val="9"/>
            <color indexed="81"/>
            <rFont val="Tahoma"/>
            <family val="2"/>
          </rPr>
          <t xml:space="preserve">
проверити збир!
</t>
        </r>
      </text>
    </comment>
    <comment ref="I13495" authorId="0">
      <text>
        <r>
          <rPr>
            <b/>
            <sz val="9"/>
            <color indexed="81"/>
            <rFont val="Tahoma"/>
            <family val="2"/>
          </rPr>
          <t>LPA:</t>
        </r>
        <r>
          <rPr>
            <sz val="9"/>
            <color indexed="81"/>
            <rFont val="Tahoma"/>
            <family val="2"/>
          </rPr>
          <t xml:space="preserve">
проверити збир!
</t>
        </r>
      </text>
    </comment>
    <comment ref="I13496" authorId="0">
      <text>
        <r>
          <rPr>
            <b/>
            <sz val="9"/>
            <color indexed="81"/>
            <rFont val="Tahoma"/>
            <family val="2"/>
          </rPr>
          <t>LPA:</t>
        </r>
        <r>
          <rPr>
            <sz val="9"/>
            <color indexed="81"/>
            <rFont val="Tahoma"/>
            <family val="2"/>
          </rPr>
          <t xml:space="preserve">
проверити збир!
</t>
        </r>
      </text>
    </comment>
    <comment ref="I13497" authorId="0">
      <text>
        <r>
          <rPr>
            <b/>
            <sz val="9"/>
            <color indexed="81"/>
            <rFont val="Tahoma"/>
            <family val="2"/>
          </rPr>
          <t>LPA:</t>
        </r>
        <r>
          <rPr>
            <sz val="9"/>
            <color indexed="81"/>
            <rFont val="Tahoma"/>
            <family val="2"/>
          </rPr>
          <t xml:space="preserve">
проверити збир!
</t>
        </r>
      </text>
    </comment>
    <comment ref="I13498" authorId="0">
      <text>
        <r>
          <rPr>
            <b/>
            <sz val="9"/>
            <color indexed="81"/>
            <rFont val="Tahoma"/>
            <family val="2"/>
          </rPr>
          <t>LPA:</t>
        </r>
        <r>
          <rPr>
            <sz val="9"/>
            <color indexed="81"/>
            <rFont val="Tahoma"/>
            <family val="2"/>
          </rPr>
          <t xml:space="preserve">
проверити збир!
</t>
        </r>
      </text>
    </comment>
    <comment ref="I13499" authorId="0">
      <text>
        <r>
          <rPr>
            <b/>
            <sz val="9"/>
            <color indexed="81"/>
            <rFont val="Tahoma"/>
            <family val="2"/>
          </rPr>
          <t>LPA:</t>
        </r>
        <r>
          <rPr>
            <sz val="9"/>
            <color indexed="81"/>
            <rFont val="Tahoma"/>
            <family val="2"/>
          </rPr>
          <t xml:space="preserve">
проверити збир!
</t>
        </r>
      </text>
    </comment>
    <comment ref="I13500" authorId="0">
      <text>
        <r>
          <rPr>
            <b/>
            <sz val="9"/>
            <color indexed="81"/>
            <rFont val="Tahoma"/>
            <family val="2"/>
          </rPr>
          <t>LPA:</t>
        </r>
        <r>
          <rPr>
            <sz val="9"/>
            <color indexed="81"/>
            <rFont val="Tahoma"/>
            <family val="2"/>
          </rPr>
          <t xml:space="preserve">
проверити збир!
</t>
        </r>
      </text>
    </comment>
    <comment ref="I13501" authorId="0">
      <text>
        <r>
          <rPr>
            <b/>
            <sz val="9"/>
            <color indexed="81"/>
            <rFont val="Tahoma"/>
            <family val="2"/>
          </rPr>
          <t>LPA:</t>
        </r>
        <r>
          <rPr>
            <sz val="9"/>
            <color indexed="81"/>
            <rFont val="Tahoma"/>
            <family val="2"/>
          </rPr>
          <t xml:space="preserve">
проверити збир!
</t>
        </r>
      </text>
    </comment>
    <comment ref="I13502" authorId="0">
      <text>
        <r>
          <rPr>
            <b/>
            <sz val="9"/>
            <color indexed="81"/>
            <rFont val="Tahoma"/>
            <family val="2"/>
          </rPr>
          <t>LPA:</t>
        </r>
        <r>
          <rPr>
            <sz val="9"/>
            <color indexed="81"/>
            <rFont val="Tahoma"/>
            <family val="2"/>
          </rPr>
          <t xml:space="preserve">
проверити збир!
</t>
        </r>
      </text>
    </comment>
    <comment ref="I13503" authorId="0">
      <text>
        <r>
          <rPr>
            <b/>
            <sz val="9"/>
            <color indexed="81"/>
            <rFont val="Tahoma"/>
            <family val="2"/>
          </rPr>
          <t>LPA:</t>
        </r>
        <r>
          <rPr>
            <sz val="9"/>
            <color indexed="81"/>
            <rFont val="Tahoma"/>
            <family val="2"/>
          </rPr>
          <t xml:space="preserve">
проверити збир!
</t>
        </r>
      </text>
    </comment>
    <comment ref="I13504" authorId="0">
      <text>
        <r>
          <rPr>
            <b/>
            <sz val="9"/>
            <color indexed="81"/>
            <rFont val="Tahoma"/>
            <family val="2"/>
          </rPr>
          <t>LPA:</t>
        </r>
        <r>
          <rPr>
            <sz val="9"/>
            <color indexed="81"/>
            <rFont val="Tahoma"/>
            <family val="2"/>
          </rPr>
          <t xml:space="preserve">
проверити збир!
</t>
        </r>
      </text>
    </comment>
    <comment ref="H13507" authorId="0">
      <text>
        <r>
          <rPr>
            <b/>
            <sz val="9"/>
            <color indexed="81"/>
            <rFont val="Tahoma"/>
            <family val="2"/>
          </rPr>
          <t>LPA:</t>
        </r>
        <r>
          <rPr>
            <sz val="9"/>
            <color indexed="81"/>
            <rFont val="Tahoma"/>
            <family val="2"/>
          </rPr>
          <t xml:space="preserve">
проверити збир!</t>
        </r>
      </text>
    </comment>
    <comment ref="I13507" authorId="0">
      <text>
        <r>
          <rPr>
            <b/>
            <sz val="9"/>
            <color indexed="81"/>
            <rFont val="Tahoma"/>
            <family val="2"/>
          </rPr>
          <t>LPA:</t>
        </r>
        <r>
          <rPr>
            <sz val="9"/>
            <color indexed="81"/>
            <rFont val="Tahoma"/>
            <family val="2"/>
          </rPr>
          <t xml:space="preserve">
проверити збир!</t>
        </r>
      </text>
    </comment>
    <comment ref="I13508" authorId="0">
      <text>
        <r>
          <rPr>
            <b/>
            <sz val="9"/>
            <color indexed="81"/>
            <rFont val="Tahoma"/>
            <family val="2"/>
          </rPr>
          <t>LPA:</t>
        </r>
        <r>
          <rPr>
            <sz val="9"/>
            <color indexed="81"/>
            <rFont val="Tahoma"/>
            <family val="2"/>
          </rPr>
          <t xml:space="preserve">
проверити збир!
</t>
        </r>
      </text>
    </comment>
    <comment ref="I13509" authorId="0">
      <text>
        <r>
          <rPr>
            <b/>
            <sz val="9"/>
            <color indexed="81"/>
            <rFont val="Tahoma"/>
            <family val="2"/>
          </rPr>
          <t>LPA:</t>
        </r>
        <r>
          <rPr>
            <sz val="9"/>
            <color indexed="81"/>
            <rFont val="Tahoma"/>
            <family val="2"/>
          </rPr>
          <t xml:space="preserve">
проверити збир!
</t>
        </r>
      </text>
    </comment>
    <comment ref="I13510" authorId="0">
      <text>
        <r>
          <rPr>
            <b/>
            <sz val="9"/>
            <color indexed="81"/>
            <rFont val="Tahoma"/>
            <family val="2"/>
          </rPr>
          <t>LPA:</t>
        </r>
        <r>
          <rPr>
            <sz val="9"/>
            <color indexed="81"/>
            <rFont val="Tahoma"/>
            <family val="2"/>
          </rPr>
          <t xml:space="preserve">
проверити збир!
</t>
        </r>
      </text>
    </comment>
    <comment ref="I13511" authorId="0">
      <text>
        <r>
          <rPr>
            <b/>
            <sz val="9"/>
            <color indexed="81"/>
            <rFont val="Tahoma"/>
            <family val="2"/>
          </rPr>
          <t>LPA:</t>
        </r>
        <r>
          <rPr>
            <sz val="9"/>
            <color indexed="81"/>
            <rFont val="Tahoma"/>
            <family val="2"/>
          </rPr>
          <t xml:space="preserve">
проверити збир!
</t>
        </r>
      </text>
    </comment>
    <comment ref="I13512" authorId="0">
      <text>
        <r>
          <rPr>
            <b/>
            <sz val="9"/>
            <color indexed="81"/>
            <rFont val="Tahoma"/>
            <family val="2"/>
          </rPr>
          <t>LPA:</t>
        </r>
        <r>
          <rPr>
            <sz val="9"/>
            <color indexed="81"/>
            <rFont val="Tahoma"/>
            <family val="2"/>
          </rPr>
          <t xml:space="preserve">
проверити збир!
</t>
        </r>
      </text>
    </comment>
    <comment ref="I13513" authorId="0">
      <text>
        <r>
          <rPr>
            <b/>
            <sz val="9"/>
            <color indexed="81"/>
            <rFont val="Tahoma"/>
            <family val="2"/>
          </rPr>
          <t>LPA:</t>
        </r>
        <r>
          <rPr>
            <sz val="9"/>
            <color indexed="81"/>
            <rFont val="Tahoma"/>
            <family val="2"/>
          </rPr>
          <t xml:space="preserve">
проверити збир!
</t>
        </r>
      </text>
    </comment>
    <comment ref="I13514" authorId="0">
      <text>
        <r>
          <rPr>
            <b/>
            <sz val="9"/>
            <color indexed="81"/>
            <rFont val="Tahoma"/>
            <family val="2"/>
          </rPr>
          <t>LPA:</t>
        </r>
        <r>
          <rPr>
            <sz val="9"/>
            <color indexed="81"/>
            <rFont val="Tahoma"/>
            <family val="2"/>
          </rPr>
          <t xml:space="preserve">
проверити збир!
</t>
        </r>
      </text>
    </comment>
    <comment ref="I13515" authorId="0">
      <text>
        <r>
          <rPr>
            <b/>
            <sz val="9"/>
            <color indexed="81"/>
            <rFont val="Tahoma"/>
            <family val="2"/>
          </rPr>
          <t>LPA:</t>
        </r>
        <r>
          <rPr>
            <sz val="9"/>
            <color indexed="81"/>
            <rFont val="Tahoma"/>
            <family val="2"/>
          </rPr>
          <t xml:space="preserve">
проверити збир!
</t>
        </r>
      </text>
    </comment>
    <comment ref="I13516" authorId="0">
      <text>
        <r>
          <rPr>
            <b/>
            <sz val="9"/>
            <color indexed="81"/>
            <rFont val="Tahoma"/>
            <family val="2"/>
          </rPr>
          <t>LPA:</t>
        </r>
        <r>
          <rPr>
            <sz val="9"/>
            <color indexed="81"/>
            <rFont val="Tahoma"/>
            <family val="2"/>
          </rPr>
          <t xml:space="preserve">
проверити збир!
</t>
        </r>
      </text>
    </comment>
    <comment ref="I13517" authorId="0">
      <text>
        <r>
          <rPr>
            <b/>
            <sz val="9"/>
            <color indexed="81"/>
            <rFont val="Tahoma"/>
            <family val="2"/>
          </rPr>
          <t>LPA:</t>
        </r>
        <r>
          <rPr>
            <sz val="9"/>
            <color indexed="81"/>
            <rFont val="Tahoma"/>
            <family val="2"/>
          </rPr>
          <t xml:space="preserve">
проверити збир!
</t>
        </r>
      </text>
    </comment>
    <comment ref="I13518" authorId="0">
      <text>
        <r>
          <rPr>
            <b/>
            <sz val="9"/>
            <color indexed="81"/>
            <rFont val="Tahoma"/>
            <family val="2"/>
          </rPr>
          <t>LPA:</t>
        </r>
        <r>
          <rPr>
            <sz val="9"/>
            <color indexed="81"/>
            <rFont val="Tahoma"/>
            <family val="2"/>
          </rPr>
          <t xml:space="preserve">
проверити збир!
</t>
        </r>
      </text>
    </comment>
    <comment ref="I13519" authorId="0">
      <text>
        <r>
          <rPr>
            <b/>
            <sz val="9"/>
            <color indexed="81"/>
            <rFont val="Tahoma"/>
            <family val="2"/>
          </rPr>
          <t>LPA:</t>
        </r>
        <r>
          <rPr>
            <sz val="9"/>
            <color indexed="81"/>
            <rFont val="Tahoma"/>
            <family val="2"/>
          </rPr>
          <t xml:space="preserve">
проверити збир!
</t>
        </r>
      </text>
    </comment>
    <comment ref="I13520" authorId="0">
      <text>
        <r>
          <rPr>
            <b/>
            <sz val="9"/>
            <color indexed="81"/>
            <rFont val="Tahoma"/>
            <family val="2"/>
          </rPr>
          <t>LPA:</t>
        </r>
        <r>
          <rPr>
            <sz val="9"/>
            <color indexed="81"/>
            <rFont val="Tahoma"/>
            <family val="2"/>
          </rPr>
          <t xml:space="preserve">
проверити збир!
</t>
        </r>
      </text>
    </comment>
    <comment ref="I13521" authorId="0">
      <text>
        <r>
          <rPr>
            <b/>
            <sz val="9"/>
            <color indexed="81"/>
            <rFont val="Tahoma"/>
            <family val="2"/>
          </rPr>
          <t>LPA:</t>
        </r>
        <r>
          <rPr>
            <sz val="9"/>
            <color indexed="81"/>
            <rFont val="Tahoma"/>
            <family val="2"/>
          </rPr>
          <t xml:space="preserve">
проверити збир!
</t>
        </r>
      </text>
    </comment>
    <comment ref="I13522" authorId="0">
      <text>
        <r>
          <rPr>
            <b/>
            <sz val="9"/>
            <color indexed="81"/>
            <rFont val="Tahoma"/>
            <family val="2"/>
          </rPr>
          <t>LPA:</t>
        </r>
        <r>
          <rPr>
            <sz val="9"/>
            <color indexed="81"/>
            <rFont val="Tahoma"/>
            <family val="2"/>
          </rPr>
          <t xml:space="preserve">
проверити збир!
</t>
        </r>
      </text>
    </comment>
    <comment ref="H13526" authorId="0">
      <text>
        <r>
          <rPr>
            <b/>
            <sz val="9"/>
            <color indexed="81"/>
            <rFont val="Tahoma"/>
            <family val="2"/>
          </rPr>
          <t>LPA:</t>
        </r>
        <r>
          <rPr>
            <sz val="9"/>
            <color indexed="81"/>
            <rFont val="Tahoma"/>
            <family val="2"/>
          </rPr>
          <t xml:space="preserve">
проверити збир!</t>
        </r>
      </text>
    </comment>
    <comment ref="I13526" authorId="0">
      <text>
        <r>
          <rPr>
            <b/>
            <sz val="9"/>
            <color indexed="81"/>
            <rFont val="Tahoma"/>
            <family val="2"/>
          </rPr>
          <t>LPA:</t>
        </r>
        <r>
          <rPr>
            <sz val="9"/>
            <color indexed="81"/>
            <rFont val="Tahoma"/>
            <family val="2"/>
          </rPr>
          <t xml:space="preserve">
проверити збир!
</t>
        </r>
      </text>
    </comment>
    <comment ref="I13527" authorId="0">
      <text>
        <r>
          <rPr>
            <b/>
            <sz val="9"/>
            <color indexed="81"/>
            <rFont val="Tahoma"/>
            <family val="2"/>
          </rPr>
          <t>LPA:</t>
        </r>
        <r>
          <rPr>
            <sz val="9"/>
            <color indexed="81"/>
            <rFont val="Tahoma"/>
            <family val="2"/>
          </rPr>
          <t xml:space="preserve">
проверити збир!
</t>
        </r>
      </text>
    </comment>
    <comment ref="I13528" authorId="0">
      <text>
        <r>
          <rPr>
            <b/>
            <sz val="9"/>
            <color indexed="81"/>
            <rFont val="Tahoma"/>
            <family val="2"/>
          </rPr>
          <t>LPA:</t>
        </r>
        <r>
          <rPr>
            <sz val="9"/>
            <color indexed="81"/>
            <rFont val="Tahoma"/>
            <family val="2"/>
          </rPr>
          <t xml:space="preserve">
проверити збир!
</t>
        </r>
      </text>
    </comment>
    <comment ref="I13529" authorId="0">
      <text>
        <r>
          <rPr>
            <b/>
            <sz val="9"/>
            <color indexed="81"/>
            <rFont val="Tahoma"/>
            <family val="2"/>
          </rPr>
          <t>LPA:</t>
        </r>
        <r>
          <rPr>
            <sz val="9"/>
            <color indexed="81"/>
            <rFont val="Tahoma"/>
            <family val="2"/>
          </rPr>
          <t xml:space="preserve">
проверити збир!
</t>
        </r>
      </text>
    </comment>
    <comment ref="I13530" authorId="0">
      <text>
        <r>
          <rPr>
            <b/>
            <sz val="9"/>
            <color indexed="81"/>
            <rFont val="Tahoma"/>
            <family val="2"/>
          </rPr>
          <t>LPA:</t>
        </r>
        <r>
          <rPr>
            <sz val="9"/>
            <color indexed="81"/>
            <rFont val="Tahoma"/>
            <family val="2"/>
          </rPr>
          <t xml:space="preserve">
проверити збир!
</t>
        </r>
      </text>
    </comment>
    <comment ref="I13531" authorId="0">
      <text>
        <r>
          <rPr>
            <b/>
            <sz val="9"/>
            <color indexed="81"/>
            <rFont val="Tahoma"/>
            <family val="2"/>
          </rPr>
          <t>LPA:</t>
        </r>
        <r>
          <rPr>
            <sz val="9"/>
            <color indexed="81"/>
            <rFont val="Tahoma"/>
            <family val="2"/>
          </rPr>
          <t xml:space="preserve">
проверити збир!
</t>
        </r>
      </text>
    </comment>
    <comment ref="I13532" authorId="0">
      <text>
        <r>
          <rPr>
            <b/>
            <sz val="9"/>
            <color indexed="81"/>
            <rFont val="Tahoma"/>
            <family val="2"/>
          </rPr>
          <t>LPA:</t>
        </r>
        <r>
          <rPr>
            <sz val="9"/>
            <color indexed="81"/>
            <rFont val="Tahoma"/>
            <family val="2"/>
          </rPr>
          <t xml:space="preserve">
проверити збир!
</t>
        </r>
      </text>
    </comment>
    <comment ref="I13533" authorId="0">
      <text>
        <r>
          <rPr>
            <b/>
            <sz val="9"/>
            <color indexed="81"/>
            <rFont val="Tahoma"/>
            <family val="2"/>
          </rPr>
          <t>LPA:</t>
        </r>
        <r>
          <rPr>
            <sz val="9"/>
            <color indexed="81"/>
            <rFont val="Tahoma"/>
            <family val="2"/>
          </rPr>
          <t xml:space="preserve">
проверити збир!
</t>
        </r>
      </text>
    </comment>
    <comment ref="I13534" authorId="0">
      <text>
        <r>
          <rPr>
            <b/>
            <sz val="9"/>
            <color indexed="81"/>
            <rFont val="Tahoma"/>
            <family val="2"/>
          </rPr>
          <t>LPA:</t>
        </r>
        <r>
          <rPr>
            <sz val="9"/>
            <color indexed="81"/>
            <rFont val="Tahoma"/>
            <family val="2"/>
          </rPr>
          <t xml:space="preserve">
проверити збир!
</t>
        </r>
      </text>
    </comment>
    <comment ref="I13535" authorId="0">
      <text>
        <r>
          <rPr>
            <b/>
            <sz val="9"/>
            <color indexed="81"/>
            <rFont val="Tahoma"/>
            <family val="2"/>
          </rPr>
          <t>LPA:</t>
        </r>
        <r>
          <rPr>
            <sz val="9"/>
            <color indexed="81"/>
            <rFont val="Tahoma"/>
            <family val="2"/>
          </rPr>
          <t xml:space="preserve">
проверити збир!
</t>
        </r>
      </text>
    </comment>
    <comment ref="I13536" authorId="0">
      <text>
        <r>
          <rPr>
            <b/>
            <sz val="9"/>
            <color indexed="81"/>
            <rFont val="Tahoma"/>
            <family val="2"/>
          </rPr>
          <t>LPA:</t>
        </r>
        <r>
          <rPr>
            <sz val="9"/>
            <color indexed="81"/>
            <rFont val="Tahoma"/>
            <family val="2"/>
          </rPr>
          <t xml:space="preserve">
проверити збир!
</t>
        </r>
      </text>
    </comment>
    <comment ref="I13537" authorId="0">
      <text>
        <r>
          <rPr>
            <b/>
            <sz val="9"/>
            <color indexed="81"/>
            <rFont val="Tahoma"/>
            <family val="2"/>
          </rPr>
          <t>LPA:</t>
        </r>
        <r>
          <rPr>
            <sz val="9"/>
            <color indexed="81"/>
            <rFont val="Tahoma"/>
            <family val="2"/>
          </rPr>
          <t xml:space="preserve">
проверити збир!
</t>
        </r>
      </text>
    </comment>
    <comment ref="I13538" authorId="0">
      <text>
        <r>
          <rPr>
            <b/>
            <sz val="9"/>
            <color indexed="81"/>
            <rFont val="Tahoma"/>
            <family val="2"/>
          </rPr>
          <t>LPA:</t>
        </r>
        <r>
          <rPr>
            <sz val="9"/>
            <color indexed="81"/>
            <rFont val="Tahoma"/>
            <family val="2"/>
          </rPr>
          <t xml:space="preserve">
проверити збир!
</t>
        </r>
      </text>
    </comment>
    <comment ref="I13539" authorId="0">
      <text>
        <r>
          <rPr>
            <b/>
            <sz val="9"/>
            <color indexed="81"/>
            <rFont val="Tahoma"/>
            <family val="2"/>
          </rPr>
          <t>LPA:</t>
        </r>
        <r>
          <rPr>
            <sz val="9"/>
            <color indexed="81"/>
            <rFont val="Tahoma"/>
            <family val="2"/>
          </rPr>
          <t xml:space="preserve">
проверити збир!
</t>
        </r>
      </text>
    </comment>
    <comment ref="I13540" authorId="0">
      <text>
        <r>
          <rPr>
            <b/>
            <sz val="9"/>
            <color indexed="81"/>
            <rFont val="Tahoma"/>
            <family val="2"/>
          </rPr>
          <t>LPA:</t>
        </r>
        <r>
          <rPr>
            <sz val="9"/>
            <color indexed="81"/>
            <rFont val="Tahoma"/>
            <family val="2"/>
          </rPr>
          <t xml:space="preserve">
проверити збир!
</t>
        </r>
      </text>
    </comment>
    <comment ref="I13541" authorId="0">
      <text>
        <r>
          <rPr>
            <b/>
            <sz val="9"/>
            <color indexed="81"/>
            <rFont val="Tahoma"/>
            <family val="2"/>
          </rPr>
          <t>LPA:</t>
        </r>
        <r>
          <rPr>
            <sz val="9"/>
            <color indexed="81"/>
            <rFont val="Tahoma"/>
            <family val="2"/>
          </rPr>
          <t xml:space="preserve">
проверити збир!
</t>
        </r>
      </text>
    </comment>
    <comment ref="H13545" authorId="0">
      <text>
        <r>
          <rPr>
            <b/>
            <sz val="9"/>
            <color indexed="81"/>
            <rFont val="Tahoma"/>
            <family val="2"/>
          </rPr>
          <t>LPA:</t>
        </r>
        <r>
          <rPr>
            <sz val="9"/>
            <color indexed="81"/>
            <rFont val="Tahoma"/>
            <family val="2"/>
          </rPr>
          <t xml:space="preserve">
провери збир!</t>
        </r>
      </text>
    </comment>
    <comment ref="I13545" authorId="0">
      <text>
        <r>
          <rPr>
            <b/>
            <sz val="9"/>
            <color indexed="81"/>
            <rFont val="Tahoma"/>
            <family val="2"/>
          </rPr>
          <t>LPA:</t>
        </r>
        <r>
          <rPr>
            <sz val="9"/>
            <color indexed="81"/>
            <rFont val="Tahoma"/>
            <family val="2"/>
          </rPr>
          <t xml:space="preserve">
проверити збир!
</t>
        </r>
      </text>
    </comment>
    <comment ref="I13546" authorId="0">
      <text>
        <r>
          <rPr>
            <b/>
            <sz val="9"/>
            <color indexed="81"/>
            <rFont val="Tahoma"/>
            <family val="2"/>
          </rPr>
          <t>LPA:</t>
        </r>
        <r>
          <rPr>
            <sz val="9"/>
            <color indexed="81"/>
            <rFont val="Tahoma"/>
            <family val="2"/>
          </rPr>
          <t xml:space="preserve">
проверити збир!
</t>
        </r>
      </text>
    </comment>
    <comment ref="I13547" authorId="0">
      <text>
        <r>
          <rPr>
            <b/>
            <sz val="9"/>
            <color indexed="81"/>
            <rFont val="Tahoma"/>
            <family val="2"/>
          </rPr>
          <t>LPA:</t>
        </r>
        <r>
          <rPr>
            <sz val="9"/>
            <color indexed="81"/>
            <rFont val="Tahoma"/>
            <family val="2"/>
          </rPr>
          <t xml:space="preserve">
проверити збир!
</t>
        </r>
      </text>
    </comment>
    <comment ref="I13548" authorId="0">
      <text>
        <r>
          <rPr>
            <b/>
            <sz val="9"/>
            <color indexed="81"/>
            <rFont val="Tahoma"/>
            <family val="2"/>
          </rPr>
          <t>LPA:</t>
        </r>
        <r>
          <rPr>
            <sz val="9"/>
            <color indexed="81"/>
            <rFont val="Tahoma"/>
            <family val="2"/>
          </rPr>
          <t xml:space="preserve">
проверити збир!
</t>
        </r>
      </text>
    </comment>
    <comment ref="I13549" authorId="0">
      <text>
        <r>
          <rPr>
            <b/>
            <sz val="9"/>
            <color indexed="81"/>
            <rFont val="Tahoma"/>
            <family val="2"/>
          </rPr>
          <t>LPA:</t>
        </r>
        <r>
          <rPr>
            <sz val="9"/>
            <color indexed="81"/>
            <rFont val="Tahoma"/>
            <family val="2"/>
          </rPr>
          <t xml:space="preserve">
проверити збир!
</t>
        </r>
      </text>
    </comment>
    <comment ref="I13550" authorId="0">
      <text>
        <r>
          <rPr>
            <b/>
            <sz val="9"/>
            <color indexed="81"/>
            <rFont val="Tahoma"/>
            <family val="2"/>
          </rPr>
          <t>LPA:</t>
        </r>
        <r>
          <rPr>
            <sz val="9"/>
            <color indexed="81"/>
            <rFont val="Tahoma"/>
            <family val="2"/>
          </rPr>
          <t xml:space="preserve">
проверити збир!
</t>
        </r>
      </text>
    </comment>
    <comment ref="I13551" authorId="0">
      <text>
        <r>
          <rPr>
            <b/>
            <sz val="9"/>
            <color indexed="81"/>
            <rFont val="Tahoma"/>
            <family val="2"/>
          </rPr>
          <t>LPA:</t>
        </r>
        <r>
          <rPr>
            <sz val="9"/>
            <color indexed="81"/>
            <rFont val="Tahoma"/>
            <family val="2"/>
          </rPr>
          <t xml:space="preserve">
проверити збир!
</t>
        </r>
      </text>
    </comment>
    <comment ref="I13552" authorId="0">
      <text>
        <r>
          <rPr>
            <b/>
            <sz val="9"/>
            <color indexed="81"/>
            <rFont val="Tahoma"/>
            <family val="2"/>
          </rPr>
          <t>LPA:</t>
        </r>
        <r>
          <rPr>
            <sz val="9"/>
            <color indexed="81"/>
            <rFont val="Tahoma"/>
            <family val="2"/>
          </rPr>
          <t xml:space="preserve">
проверити збир!
</t>
        </r>
      </text>
    </comment>
    <comment ref="I13553" authorId="0">
      <text>
        <r>
          <rPr>
            <b/>
            <sz val="9"/>
            <color indexed="81"/>
            <rFont val="Tahoma"/>
            <family val="2"/>
          </rPr>
          <t>LPA:</t>
        </r>
        <r>
          <rPr>
            <sz val="9"/>
            <color indexed="81"/>
            <rFont val="Tahoma"/>
            <family val="2"/>
          </rPr>
          <t xml:space="preserve">
проверити збир!
</t>
        </r>
      </text>
    </comment>
    <comment ref="I13554" authorId="0">
      <text>
        <r>
          <rPr>
            <b/>
            <sz val="9"/>
            <color indexed="81"/>
            <rFont val="Tahoma"/>
            <family val="2"/>
          </rPr>
          <t>LPA:</t>
        </r>
        <r>
          <rPr>
            <sz val="9"/>
            <color indexed="81"/>
            <rFont val="Tahoma"/>
            <family val="2"/>
          </rPr>
          <t xml:space="preserve">
проверити збир!
</t>
        </r>
      </text>
    </comment>
    <comment ref="I13555" authorId="0">
      <text>
        <r>
          <rPr>
            <b/>
            <sz val="9"/>
            <color indexed="81"/>
            <rFont val="Tahoma"/>
            <family val="2"/>
          </rPr>
          <t>LPA:</t>
        </r>
        <r>
          <rPr>
            <sz val="9"/>
            <color indexed="81"/>
            <rFont val="Tahoma"/>
            <family val="2"/>
          </rPr>
          <t xml:space="preserve">
проверити збир!
</t>
        </r>
      </text>
    </comment>
    <comment ref="I13556" authorId="0">
      <text>
        <r>
          <rPr>
            <b/>
            <sz val="9"/>
            <color indexed="81"/>
            <rFont val="Tahoma"/>
            <family val="2"/>
          </rPr>
          <t>LPA:</t>
        </r>
        <r>
          <rPr>
            <sz val="9"/>
            <color indexed="81"/>
            <rFont val="Tahoma"/>
            <family val="2"/>
          </rPr>
          <t xml:space="preserve">
проверити збир!
</t>
        </r>
      </text>
    </comment>
    <comment ref="I13557" authorId="0">
      <text>
        <r>
          <rPr>
            <b/>
            <sz val="9"/>
            <color indexed="81"/>
            <rFont val="Tahoma"/>
            <family val="2"/>
          </rPr>
          <t>LPA:</t>
        </r>
        <r>
          <rPr>
            <sz val="9"/>
            <color indexed="81"/>
            <rFont val="Tahoma"/>
            <family val="2"/>
          </rPr>
          <t xml:space="preserve">
проверити збир!
</t>
        </r>
      </text>
    </comment>
    <comment ref="I13558" authorId="0">
      <text>
        <r>
          <rPr>
            <b/>
            <sz val="9"/>
            <color indexed="81"/>
            <rFont val="Tahoma"/>
            <family val="2"/>
          </rPr>
          <t>LPA:</t>
        </r>
        <r>
          <rPr>
            <sz val="9"/>
            <color indexed="81"/>
            <rFont val="Tahoma"/>
            <family val="2"/>
          </rPr>
          <t xml:space="preserve">
проверити збир!
</t>
        </r>
      </text>
    </comment>
    <comment ref="I13559" authorId="0">
      <text>
        <r>
          <rPr>
            <b/>
            <sz val="9"/>
            <color indexed="81"/>
            <rFont val="Tahoma"/>
            <family val="2"/>
          </rPr>
          <t>LPA:</t>
        </r>
        <r>
          <rPr>
            <sz val="9"/>
            <color indexed="81"/>
            <rFont val="Tahoma"/>
            <family val="2"/>
          </rPr>
          <t xml:space="preserve">
проверити збир!
</t>
        </r>
      </text>
    </comment>
    <comment ref="I13560" authorId="0">
      <text>
        <r>
          <rPr>
            <b/>
            <sz val="9"/>
            <color indexed="81"/>
            <rFont val="Tahoma"/>
            <family val="2"/>
          </rPr>
          <t>LPA:</t>
        </r>
        <r>
          <rPr>
            <sz val="9"/>
            <color indexed="81"/>
            <rFont val="Tahoma"/>
            <family val="2"/>
          </rPr>
          <t xml:space="preserve">
проверити збир!
</t>
        </r>
      </text>
    </comment>
    <comment ref="I13631" authorId="0">
      <text>
        <r>
          <rPr>
            <b/>
            <sz val="9"/>
            <color indexed="81"/>
            <rFont val="Tahoma"/>
            <family val="2"/>
          </rPr>
          <t>LPA:</t>
        </r>
        <r>
          <rPr>
            <sz val="9"/>
            <color indexed="81"/>
            <rFont val="Tahoma"/>
            <family val="2"/>
          </rPr>
          <t xml:space="preserve">
проверити збир!
</t>
        </r>
      </text>
    </comment>
    <comment ref="I13632" authorId="0">
      <text>
        <r>
          <rPr>
            <b/>
            <sz val="9"/>
            <color indexed="81"/>
            <rFont val="Tahoma"/>
            <family val="2"/>
          </rPr>
          <t>LPA:</t>
        </r>
        <r>
          <rPr>
            <sz val="9"/>
            <color indexed="81"/>
            <rFont val="Tahoma"/>
            <family val="2"/>
          </rPr>
          <t xml:space="preserve">
проверити збир!
</t>
        </r>
      </text>
    </comment>
    <comment ref="I13633" authorId="0">
      <text>
        <r>
          <rPr>
            <b/>
            <sz val="9"/>
            <color indexed="81"/>
            <rFont val="Tahoma"/>
            <family val="2"/>
          </rPr>
          <t>LPA:</t>
        </r>
        <r>
          <rPr>
            <sz val="9"/>
            <color indexed="81"/>
            <rFont val="Tahoma"/>
            <family val="2"/>
          </rPr>
          <t xml:space="preserve">
проверити збир!
</t>
        </r>
      </text>
    </comment>
    <comment ref="I13634" authorId="0">
      <text>
        <r>
          <rPr>
            <b/>
            <sz val="9"/>
            <color indexed="81"/>
            <rFont val="Tahoma"/>
            <family val="2"/>
          </rPr>
          <t>LPA:</t>
        </r>
        <r>
          <rPr>
            <sz val="9"/>
            <color indexed="81"/>
            <rFont val="Tahoma"/>
            <family val="2"/>
          </rPr>
          <t xml:space="preserve">
проверити збир!
</t>
        </r>
      </text>
    </comment>
    <comment ref="I13635" authorId="0">
      <text>
        <r>
          <rPr>
            <b/>
            <sz val="9"/>
            <color indexed="81"/>
            <rFont val="Tahoma"/>
            <family val="2"/>
          </rPr>
          <t>LPA:</t>
        </r>
        <r>
          <rPr>
            <sz val="9"/>
            <color indexed="81"/>
            <rFont val="Tahoma"/>
            <family val="2"/>
          </rPr>
          <t xml:space="preserve">
проверити збир!
</t>
        </r>
      </text>
    </comment>
    <comment ref="I13636" authorId="0">
      <text>
        <r>
          <rPr>
            <b/>
            <sz val="9"/>
            <color indexed="81"/>
            <rFont val="Tahoma"/>
            <family val="2"/>
          </rPr>
          <t>LPA:</t>
        </r>
        <r>
          <rPr>
            <sz val="9"/>
            <color indexed="81"/>
            <rFont val="Tahoma"/>
            <family val="2"/>
          </rPr>
          <t xml:space="preserve">
проверити збир!
</t>
        </r>
      </text>
    </comment>
    <comment ref="I13637" authorId="0">
      <text>
        <r>
          <rPr>
            <b/>
            <sz val="9"/>
            <color indexed="81"/>
            <rFont val="Tahoma"/>
            <family val="2"/>
          </rPr>
          <t>LPA:</t>
        </r>
        <r>
          <rPr>
            <sz val="9"/>
            <color indexed="81"/>
            <rFont val="Tahoma"/>
            <family val="2"/>
          </rPr>
          <t xml:space="preserve">
проверити збир!
</t>
        </r>
      </text>
    </comment>
    <comment ref="I13638" authorId="0">
      <text>
        <r>
          <rPr>
            <b/>
            <sz val="9"/>
            <color indexed="81"/>
            <rFont val="Tahoma"/>
            <family val="2"/>
          </rPr>
          <t>LPA:</t>
        </r>
        <r>
          <rPr>
            <sz val="9"/>
            <color indexed="81"/>
            <rFont val="Tahoma"/>
            <family val="2"/>
          </rPr>
          <t xml:space="preserve">
проверити збир!
</t>
        </r>
      </text>
    </comment>
    <comment ref="I13639" authorId="0">
      <text>
        <r>
          <rPr>
            <b/>
            <sz val="9"/>
            <color indexed="81"/>
            <rFont val="Tahoma"/>
            <family val="2"/>
          </rPr>
          <t>LPA:</t>
        </r>
        <r>
          <rPr>
            <sz val="9"/>
            <color indexed="81"/>
            <rFont val="Tahoma"/>
            <family val="2"/>
          </rPr>
          <t xml:space="preserve">
проверити збир!
</t>
        </r>
      </text>
    </comment>
    <comment ref="I13640" authorId="0">
      <text>
        <r>
          <rPr>
            <b/>
            <sz val="9"/>
            <color indexed="81"/>
            <rFont val="Tahoma"/>
            <family val="2"/>
          </rPr>
          <t>LPA:</t>
        </r>
        <r>
          <rPr>
            <sz val="9"/>
            <color indexed="81"/>
            <rFont val="Tahoma"/>
            <family val="2"/>
          </rPr>
          <t xml:space="preserve">
проверити збир!
</t>
        </r>
      </text>
    </comment>
    <comment ref="I13641" authorId="0">
      <text>
        <r>
          <rPr>
            <b/>
            <sz val="9"/>
            <color indexed="81"/>
            <rFont val="Tahoma"/>
            <family val="2"/>
          </rPr>
          <t>LPA:</t>
        </r>
        <r>
          <rPr>
            <sz val="9"/>
            <color indexed="81"/>
            <rFont val="Tahoma"/>
            <family val="2"/>
          </rPr>
          <t xml:space="preserve">
проверити збир!
</t>
        </r>
      </text>
    </comment>
    <comment ref="I13642" authorId="0">
      <text>
        <r>
          <rPr>
            <b/>
            <sz val="9"/>
            <color indexed="81"/>
            <rFont val="Tahoma"/>
            <family val="2"/>
          </rPr>
          <t>LPA:</t>
        </r>
        <r>
          <rPr>
            <sz val="9"/>
            <color indexed="81"/>
            <rFont val="Tahoma"/>
            <family val="2"/>
          </rPr>
          <t xml:space="preserve">
проверити збир!
</t>
        </r>
      </text>
    </comment>
    <comment ref="I13643" authorId="0">
      <text>
        <r>
          <rPr>
            <b/>
            <sz val="9"/>
            <color indexed="81"/>
            <rFont val="Tahoma"/>
            <family val="2"/>
          </rPr>
          <t>LPA:</t>
        </r>
        <r>
          <rPr>
            <sz val="9"/>
            <color indexed="81"/>
            <rFont val="Tahoma"/>
            <family val="2"/>
          </rPr>
          <t xml:space="preserve">
проверити збир!
</t>
        </r>
      </text>
    </comment>
    <comment ref="H13646" authorId="0">
      <text>
        <r>
          <rPr>
            <b/>
            <sz val="9"/>
            <color indexed="81"/>
            <rFont val="Tahoma"/>
            <family val="2"/>
          </rPr>
          <t>LPA:</t>
        </r>
        <r>
          <rPr>
            <sz val="9"/>
            <color indexed="81"/>
            <rFont val="Tahoma"/>
            <family val="2"/>
          </rPr>
          <t xml:space="preserve">
проверити збир!</t>
        </r>
      </text>
    </comment>
    <comment ref="I13646" authorId="0">
      <text>
        <r>
          <rPr>
            <b/>
            <sz val="9"/>
            <color indexed="81"/>
            <rFont val="Tahoma"/>
            <family val="2"/>
          </rPr>
          <t>LPA:</t>
        </r>
        <r>
          <rPr>
            <sz val="9"/>
            <color indexed="81"/>
            <rFont val="Tahoma"/>
            <family val="2"/>
          </rPr>
          <t xml:space="preserve">
проверити збир!</t>
        </r>
      </text>
    </comment>
    <comment ref="I13647" authorId="0">
      <text>
        <r>
          <rPr>
            <b/>
            <sz val="9"/>
            <color indexed="81"/>
            <rFont val="Tahoma"/>
            <family val="2"/>
          </rPr>
          <t>LPA:</t>
        </r>
        <r>
          <rPr>
            <sz val="9"/>
            <color indexed="81"/>
            <rFont val="Tahoma"/>
            <family val="2"/>
          </rPr>
          <t xml:space="preserve">
проверити збир!
</t>
        </r>
      </text>
    </comment>
    <comment ref="I13648" authorId="0">
      <text>
        <r>
          <rPr>
            <b/>
            <sz val="9"/>
            <color indexed="81"/>
            <rFont val="Tahoma"/>
            <family val="2"/>
          </rPr>
          <t>LPA:</t>
        </r>
        <r>
          <rPr>
            <sz val="9"/>
            <color indexed="81"/>
            <rFont val="Tahoma"/>
            <family val="2"/>
          </rPr>
          <t xml:space="preserve">
проверити збир!
</t>
        </r>
      </text>
    </comment>
    <comment ref="I13649" authorId="0">
      <text>
        <r>
          <rPr>
            <b/>
            <sz val="9"/>
            <color indexed="81"/>
            <rFont val="Tahoma"/>
            <family val="2"/>
          </rPr>
          <t>LPA:</t>
        </r>
        <r>
          <rPr>
            <sz val="9"/>
            <color indexed="81"/>
            <rFont val="Tahoma"/>
            <family val="2"/>
          </rPr>
          <t xml:space="preserve">
проверити збир!
</t>
        </r>
      </text>
    </comment>
    <comment ref="I13650" authorId="0">
      <text>
        <r>
          <rPr>
            <b/>
            <sz val="9"/>
            <color indexed="81"/>
            <rFont val="Tahoma"/>
            <family val="2"/>
          </rPr>
          <t>LPA:</t>
        </r>
        <r>
          <rPr>
            <sz val="9"/>
            <color indexed="81"/>
            <rFont val="Tahoma"/>
            <family val="2"/>
          </rPr>
          <t xml:space="preserve">
проверити збир!
</t>
        </r>
      </text>
    </comment>
    <comment ref="I13651" authorId="0">
      <text>
        <r>
          <rPr>
            <b/>
            <sz val="9"/>
            <color indexed="81"/>
            <rFont val="Tahoma"/>
            <family val="2"/>
          </rPr>
          <t>LPA:</t>
        </r>
        <r>
          <rPr>
            <sz val="9"/>
            <color indexed="81"/>
            <rFont val="Tahoma"/>
            <family val="2"/>
          </rPr>
          <t xml:space="preserve">
проверити збир!
</t>
        </r>
      </text>
    </comment>
    <comment ref="I13652" authorId="0">
      <text>
        <r>
          <rPr>
            <b/>
            <sz val="9"/>
            <color indexed="81"/>
            <rFont val="Tahoma"/>
            <family val="2"/>
          </rPr>
          <t>LPA:</t>
        </r>
        <r>
          <rPr>
            <sz val="9"/>
            <color indexed="81"/>
            <rFont val="Tahoma"/>
            <family val="2"/>
          </rPr>
          <t xml:space="preserve">
проверити збир!
</t>
        </r>
      </text>
    </comment>
    <comment ref="I13653" authorId="0">
      <text>
        <r>
          <rPr>
            <b/>
            <sz val="9"/>
            <color indexed="81"/>
            <rFont val="Tahoma"/>
            <family val="2"/>
          </rPr>
          <t>LPA:</t>
        </r>
        <r>
          <rPr>
            <sz val="9"/>
            <color indexed="81"/>
            <rFont val="Tahoma"/>
            <family val="2"/>
          </rPr>
          <t xml:space="preserve">
проверити збир!
</t>
        </r>
      </text>
    </comment>
    <comment ref="I13654" authorId="0">
      <text>
        <r>
          <rPr>
            <b/>
            <sz val="9"/>
            <color indexed="81"/>
            <rFont val="Tahoma"/>
            <family val="2"/>
          </rPr>
          <t>LPA:</t>
        </r>
        <r>
          <rPr>
            <sz val="9"/>
            <color indexed="81"/>
            <rFont val="Tahoma"/>
            <family val="2"/>
          </rPr>
          <t xml:space="preserve">
проверити збир!
</t>
        </r>
      </text>
    </comment>
    <comment ref="I13655" authorId="0">
      <text>
        <r>
          <rPr>
            <b/>
            <sz val="9"/>
            <color indexed="81"/>
            <rFont val="Tahoma"/>
            <family val="2"/>
          </rPr>
          <t>LPA:</t>
        </r>
        <r>
          <rPr>
            <sz val="9"/>
            <color indexed="81"/>
            <rFont val="Tahoma"/>
            <family val="2"/>
          </rPr>
          <t xml:space="preserve">
проверити збир!
</t>
        </r>
      </text>
    </comment>
    <comment ref="I13656" authorId="0">
      <text>
        <r>
          <rPr>
            <b/>
            <sz val="9"/>
            <color indexed="81"/>
            <rFont val="Tahoma"/>
            <family val="2"/>
          </rPr>
          <t>LPA:</t>
        </r>
        <r>
          <rPr>
            <sz val="9"/>
            <color indexed="81"/>
            <rFont val="Tahoma"/>
            <family val="2"/>
          </rPr>
          <t xml:space="preserve">
проверити збир!
</t>
        </r>
      </text>
    </comment>
    <comment ref="I13657" authorId="0">
      <text>
        <r>
          <rPr>
            <b/>
            <sz val="9"/>
            <color indexed="81"/>
            <rFont val="Tahoma"/>
            <family val="2"/>
          </rPr>
          <t>LPA:</t>
        </r>
        <r>
          <rPr>
            <sz val="9"/>
            <color indexed="81"/>
            <rFont val="Tahoma"/>
            <family val="2"/>
          </rPr>
          <t xml:space="preserve">
проверити збир!
</t>
        </r>
      </text>
    </comment>
    <comment ref="I13658" authorId="0">
      <text>
        <r>
          <rPr>
            <b/>
            <sz val="9"/>
            <color indexed="81"/>
            <rFont val="Tahoma"/>
            <family val="2"/>
          </rPr>
          <t>LPA:</t>
        </r>
        <r>
          <rPr>
            <sz val="9"/>
            <color indexed="81"/>
            <rFont val="Tahoma"/>
            <family val="2"/>
          </rPr>
          <t xml:space="preserve">
проверити збир!
</t>
        </r>
      </text>
    </comment>
    <comment ref="I13659" authorId="0">
      <text>
        <r>
          <rPr>
            <b/>
            <sz val="9"/>
            <color indexed="81"/>
            <rFont val="Tahoma"/>
            <family val="2"/>
          </rPr>
          <t>LPA:</t>
        </r>
        <r>
          <rPr>
            <sz val="9"/>
            <color indexed="81"/>
            <rFont val="Tahoma"/>
            <family val="2"/>
          </rPr>
          <t xml:space="preserve">
проверити збир!
</t>
        </r>
      </text>
    </comment>
    <comment ref="I13660" authorId="0">
      <text>
        <r>
          <rPr>
            <b/>
            <sz val="9"/>
            <color indexed="81"/>
            <rFont val="Tahoma"/>
            <family val="2"/>
          </rPr>
          <t>LPA:</t>
        </r>
        <r>
          <rPr>
            <sz val="9"/>
            <color indexed="81"/>
            <rFont val="Tahoma"/>
            <family val="2"/>
          </rPr>
          <t xml:space="preserve">
проверити збир!
</t>
        </r>
      </text>
    </comment>
    <comment ref="I13661" authorId="0">
      <text>
        <r>
          <rPr>
            <b/>
            <sz val="9"/>
            <color indexed="81"/>
            <rFont val="Tahoma"/>
            <family val="2"/>
          </rPr>
          <t>LPA:</t>
        </r>
        <r>
          <rPr>
            <sz val="9"/>
            <color indexed="81"/>
            <rFont val="Tahoma"/>
            <family val="2"/>
          </rPr>
          <t xml:space="preserve">
проверити збир!
</t>
        </r>
      </text>
    </comment>
    <comment ref="I13730" authorId="0">
      <text>
        <r>
          <rPr>
            <b/>
            <sz val="9"/>
            <color indexed="81"/>
            <rFont val="Tahoma"/>
            <family val="2"/>
          </rPr>
          <t>LPA:</t>
        </r>
        <r>
          <rPr>
            <sz val="9"/>
            <color indexed="81"/>
            <rFont val="Tahoma"/>
            <family val="2"/>
          </rPr>
          <t xml:space="preserve">
проверити збир!
</t>
        </r>
      </text>
    </comment>
    <comment ref="I13731" authorId="0">
      <text>
        <r>
          <rPr>
            <b/>
            <sz val="9"/>
            <color indexed="81"/>
            <rFont val="Tahoma"/>
            <family val="2"/>
          </rPr>
          <t>LPA:</t>
        </r>
        <r>
          <rPr>
            <sz val="9"/>
            <color indexed="81"/>
            <rFont val="Tahoma"/>
            <family val="2"/>
          </rPr>
          <t xml:space="preserve">
проверити збир!
</t>
        </r>
      </text>
    </comment>
    <comment ref="I13732" authorId="0">
      <text>
        <r>
          <rPr>
            <b/>
            <sz val="9"/>
            <color indexed="81"/>
            <rFont val="Tahoma"/>
            <family val="2"/>
          </rPr>
          <t>LPA:</t>
        </r>
        <r>
          <rPr>
            <sz val="9"/>
            <color indexed="81"/>
            <rFont val="Tahoma"/>
            <family val="2"/>
          </rPr>
          <t xml:space="preserve">
проверити збир!
</t>
        </r>
      </text>
    </comment>
    <comment ref="I13733" authorId="0">
      <text>
        <r>
          <rPr>
            <b/>
            <sz val="9"/>
            <color indexed="81"/>
            <rFont val="Tahoma"/>
            <family val="2"/>
          </rPr>
          <t>LPA:</t>
        </r>
        <r>
          <rPr>
            <sz val="9"/>
            <color indexed="81"/>
            <rFont val="Tahoma"/>
            <family val="2"/>
          </rPr>
          <t xml:space="preserve">
проверити збир!
</t>
        </r>
      </text>
    </comment>
    <comment ref="I13734" authorId="0">
      <text>
        <r>
          <rPr>
            <b/>
            <sz val="9"/>
            <color indexed="81"/>
            <rFont val="Tahoma"/>
            <family val="2"/>
          </rPr>
          <t>LPA:</t>
        </r>
        <r>
          <rPr>
            <sz val="9"/>
            <color indexed="81"/>
            <rFont val="Tahoma"/>
            <family val="2"/>
          </rPr>
          <t xml:space="preserve">
проверити збир!
</t>
        </r>
      </text>
    </comment>
    <comment ref="I13735" authorId="0">
      <text>
        <r>
          <rPr>
            <b/>
            <sz val="9"/>
            <color indexed="81"/>
            <rFont val="Tahoma"/>
            <family val="2"/>
          </rPr>
          <t>LPA:</t>
        </r>
        <r>
          <rPr>
            <sz val="9"/>
            <color indexed="81"/>
            <rFont val="Tahoma"/>
            <family val="2"/>
          </rPr>
          <t xml:space="preserve">
проверити збир!
</t>
        </r>
      </text>
    </comment>
    <comment ref="I13736" authorId="0">
      <text>
        <r>
          <rPr>
            <b/>
            <sz val="9"/>
            <color indexed="81"/>
            <rFont val="Tahoma"/>
            <family val="2"/>
          </rPr>
          <t>LPA:</t>
        </r>
        <r>
          <rPr>
            <sz val="9"/>
            <color indexed="81"/>
            <rFont val="Tahoma"/>
            <family val="2"/>
          </rPr>
          <t xml:space="preserve">
проверити збир!
</t>
        </r>
      </text>
    </comment>
    <comment ref="I13737" authorId="0">
      <text>
        <r>
          <rPr>
            <b/>
            <sz val="9"/>
            <color indexed="81"/>
            <rFont val="Tahoma"/>
            <family val="2"/>
          </rPr>
          <t>LPA:</t>
        </r>
        <r>
          <rPr>
            <sz val="9"/>
            <color indexed="81"/>
            <rFont val="Tahoma"/>
            <family val="2"/>
          </rPr>
          <t xml:space="preserve">
проверити збир!
</t>
        </r>
      </text>
    </comment>
    <comment ref="I13738" authorId="0">
      <text>
        <r>
          <rPr>
            <b/>
            <sz val="9"/>
            <color indexed="81"/>
            <rFont val="Tahoma"/>
            <family val="2"/>
          </rPr>
          <t>LPA:</t>
        </r>
        <r>
          <rPr>
            <sz val="9"/>
            <color indexed="81"/>
            <rFont val="Tahoma"/>
            <family val="2"/>
          </rPr>
          <t xml:space="preserve">
проверити збир!
</t>
        </r>
      </text>
    </comment>
    <comment ref="I13739" authorId="0">
      <text>
        <r>
          <rPr>
            <b/>
            <sz val="9"/>
            <color indexed="81"/>
            <rFont val="Tahoma"/>
            <family val="2"/>
          </rPr>
          <t>LPA:</t>
        </r>
        <r>
          <rPr>
            <sz val="9"/>
            <color indexed="81"/>
            <rFont val="Tahoma"/>
            <family val="2"/>
          </rPr>
          <t xml:space="preserve">
проверити збир!
</t>
        </r>
      </text>
    </comment>
    <comment ref="I13740" authorId="0">
      <text>
        <r>
          <rPr>
            <b/>
            <sz val="9"/>
            <color indexed="81"/>
            <rFont val="Tahoma"/>
            <family val="2"/>
          </rPr>
          <t>LPA:</t>
        </r>
        <r>
          <rPr>
            <sz val="9"/>
            <color indexed="81"/>
            <rFont val="Tahoma"/>
            <family val="2"/>
          </rPr>
          <t xml:space="preserve">
проверити збир!
</t>
        </r>
      </text>
    </comment>
    <comment ref="I13741" authorId="0">
      <text>
        <r>
          <rPr>
            <b/>
            <sz val="9"/>
            <color indexed="81"/>
            <rFont val="Tahoma"/>
            <family val="2"/>
          </rPr>
          <t>LPA:</t>
        </r>
        <r>
          <rPr>
            <sz val="9"/>
            <color indexed="81"/>
            <rFont val="Tahoma"/>
            <family val="2"/>
          </rPr>
          <t xml:space="preserve">
проверити збир!
</t>
        </r>
      </text>
    </comment>
    <comment ref="I13742" authorId="0">
      <text>
        <r>
          <rPr>
            <b/>
            <sz val="9"/>
            <color indexed="81"/>
            <rFont val="Tahoma"/>
            <family val="2"/>
          </rPr>
          <t>LPA:</t>
        </r>
        <r>
          <rPr>
            <sz val="9"/>
            <color indexed="81"/>
            <rFont val="Tahoma"/>
            <family val="2"/>
          </rPr>
          <t xml:space="preserve">
проверити збир!
</t>
        </r>
      </text>
    </comment>
    <comment ref="H13745" authorId="0">
      <text>
        <r>
          <rPr>
            <b/>
            <sz val="9"/>
            <color indexed="81"/>
            <rFont val="Tahoma"/>
            <family val="2"/>
          </rPr>
          <t>LPA:</t>
        </r>
        <r>
          <rPr>
            <sz val="9"/>
            <color indexed="81"/>
            <rFont val="Tahoma"/>
            <family val="2"/>
          </rPr>
          <t xml:space="preserve">
проверити збир!</t>
        </r>
      </text>
    </comment>
    <comment ref="I13745" authorId="0">
      <text>
        <r>
          <rPr>
            <b/>
            <sz val="9"/>
            <color indexed="81"/>
            <rFont val="Tahoma"/>
            <family val="2"/>
          </rPr>
          <t>LPA:</t>
        </r>
        <r>
          <rPr>
            <sz val="9"/>
            <color indexed="81"/>
            <rFont val="Tahoma"/>
            <family val="2"/>
          </rPr>
          <t xml:space="preserve">
проверити збир!</t>
        </r>
      </text>
    </comment>
    <comment ref="I13746" authorId="0">
      <text>
        <r>
          <rPr>
            <b/>
            <sz val="9"/>
            <color indexed="81"/>
            <rFont val="Tahoma"/>
            <family val="2"/>
          </rPr>
          <t>LPA:</t>
        </r>
        <r>
          <rPr>
            <sz val="9"/>
            <color indexed="81"/>
            <rFont val="Tahoma"/>
            <family val="2"/>
          </rPr>
          <t xml:space="preserve">
проверити збир!
</t>
        </r>
      </text>
    </comment>
    <comment ref="I13747" authorId="0">
      <text>
        <r>
          <rPr>
            <b/>
            <sz val="9"/>
            <color indexed="81"/>
            <rFont val="Tahoma"/>
            <family val="2"/>
          </rPr>
          <t>LPA:</t>
        </r>
        <r>
          <rPr>
            <sz val="9"/>
            <color indexed="81"/>
            <rFont val="Tahoma"/>
            <family val="2"/>
          </rPr>
          <t xml:space="preserve">
проверити збир!
</t>
        </r>
      </text>
    </comment>
    <comment ref="I13748" authorId="0">
      <text>
        <r>
          <rPr>
            <b/>
            <sz val="9"/>
            <color indexed="81"/>
            <rFont val="Tahoma"/>
            <family val="2"/>
          </rPr>
          <t>LPA:</t>
        </r>
        <r>
          <rPr>
            <sz val="9"/>
            <color indexed="81"/>
            <rFont val="Tahoma"/>
            <family val="2"/>
          </rPr>
          <t xml:space="preserve">
проверити збир!
</t>
        </r>
      </text>
    </comment>
    <comment ref="I13749" authorId="0">
      <text>
        <r>
          <rPr>
            <b/>
            <sz val="9"/>
            <color indexed="81"/>
            <rFont val="Tahoma"/>
            <family val="2"/>
          </rPr>
          <t>LPA:</t>
        </r>
        <r>
          <rPr>
            <sz val="9"/>
            <color indexed="81"/>
            <rFont val="Tahoma"/>
            <family val="2"/>
          </rPr>
          <t xml:space="preserve">
проверити збир!
</t>
        </r>
      </text>
    </comment>
    <comment ref="I13750" authorId="0">
      <text>
        <r>
          <rPr>
            <b/>
            <sz val="9"/>
            <color indexed="81"/>
            <rFont val="Tahoma"/>
            <family val="2"/>
          </rPr>
          <t>LPA:</t>
        </r>
        <r>
          <rPr>
            <sz val="9"/>
            <color indexed="81"/>
            <rFont val="Tahoma"/>
            <family val="2"/>
          </rPr>
          <t xml:space="preserve">
проверити збир!
</t>
        </r>
      </text>
    </comment>
    <comment ref="I13751" authorId="0">
      <text>
        <r>
          <rPr>
            <b/>
            <sz val="9"/>
            <color indexed="81"/>
            <rFont val="Tahoma"/>
            <family val="2"/>
          </rPr>
          <t>LPA:</t>
        </r>
        <r>
          <rPr>
            <sz val="9"/>
            <color indexed="81"/>
            <rFont val="Tahoma"/>
            <family val="2"/>
          </rPr>
          <t xml:space="preserve">
проверити збир!
</t>
        </r>
      </text>
    </comment>
    <comment ref="I13752" authorId="0">
      <text>
        <r>
          <rPr>
            <b/>
            <sz val="9"/>
            <color indexed="81"/>
            <rFont val="Tahoma"/>
            <family val="2"/>
          </rPr>
          <t>LPA:</t>
        </r>
        <r>
          <rPr>
            <sz val="9"/>
            <color indexed="81"/>
            <rFont val="Tahoma"/>
            <family val="2"/>
          </rPr>
          <t xml:space="preserve">
проверити збир!
</t>
        </r>
      </text>
    </comment>
    <comment ref="I13753" authorId="0">
      <text>
        <r>
          <rPr>
            <b/>
            <sz val="9"/>
            <color indexed="81"/>
            <rFont val="Tahoma"/>
            <family val="2"/>
          </rPr>
          <t>LPA:</t>
        </r>
        <r>
          <rPr>
            <sz val="9"/>
            <color indexed="81"/>
            <rFont val="Tahoma"/>
            <family val="2"/>
          </rPr>
          <t xml:space="preserve">
проверити збир!
</t>
        </r>
      </text>
    </comment>
    <comment ref="I13754" authorId="0">
      <text>
        <r>
          <rPr>
            <b/>
            <sz val="9"/>
            <color indexed="81"/>
            <rFont val="Tahoma"/>
            <family val="2"/>
          </rPr>
          <t>LPA:</t>
        </r>
        <r>
          <rPr>
            <sz val="9"/>
            <color indexed="81"/>
            <rFont val="Tahoma"/>
            <family val="2"/>
          </rPr>
          <t xml:space="preserve">
проверити збир!
</t>
        </r>
      </text>
    </comment>
    <comment ref="I13755" authorId="0">
      <text>
        <r>
          <rPr>
            <b/>
            <sz val="9"/>
            <color indexed="81"/>
            <rFont val="Tahoma"/>
            <family val="2"/>
          </rPr>
          <t>LPA:</t>
        </r>
        <r>
          <rPr>
            <sz val="9"/>
            <color indexed="81"/>
            <rFont val="Tahoma"/>
            <family val="2"/>
          </rPr>
          <t xml:space="preserve">
проверити збир!
</t>
        </r>
      </text>
    </comment>
    <comment ref="I13756" authorId="0">
      <text>
        <r>
          <rPr>
            <b/>
            <sz val="9"/>
            <color indexed="81"/>
            <rFont val="Tahoma"/>
            <family val="2"/>
          </rPr>
          <t>LPA:</t>
        </r>
        <r>
          <rPr>
            <sz val="9"/>
            <color indexed="81"/>
            <rFont val="Tahoma"/>
            <family val="2"/>
          </rPr>
          <t xml:space="preserve">
проверити збир!
</t>
        </r>
      </text>
    </comment>
    <comment ref="I13757" authorId="0">
      <text>
        <r>
          <rPr>
            <b/>
            <sz val="9"/>
            <color indexed="81"/>
            <rFont val="Tahoma"/>
            <family val="2"/>
          </rPr>
          <t>LPA:</t>
        </r>
        <r>
          <rPr>
            <sz val="9"/>
            <color indexed="81"/>
            <rFont val="Tahoma"/>
            <family val="2"/>
          </rPr>
          <t xml:space="preserve">
проверити збир!
</t>
        </r>
      </text>
    </comment>
    <comment ref="I13758" authorId="0">
      <text>
        <r>
          <rPr>
            <b/>
            <sz val="9"/>
            <color indexed="81"/>
            <rFont val="Tahoma"/>
            <family val="2"/>
          </rPr>
          <t>LPA:</t>
        </r>
        <r>
          <rPr>
            <sz val="9"/>
            <color indexed="81"/>
            <rFont val="Tahoma"/>
            <family val="2"/>
          </rPr>
          <t xml:space="preserve">
проверити збир!
</t>
        </r>
      </text>
    </comment>
    <comment ref="I13759" authorId="0">
      <text>
        <r>
          <rPr>
            <b/>
            <sz val="9"/>
            <color indexed="81"/>
            <rFont val="Tahoma"/>
            <family val="2"/>
          </rPr>
          <t>LPA:</t>
        </r>
        <r>
          <rPr>
            <sz val="9"/>
            <color indexed="81"/>
            <rFont val="Tahoma"/>
            <family val="2"/>
          </rPr>
          <t xml:space="preserve">
проверити збир!
</t>
        </r>
      </text>
    </comment>
    <comment ref="I13760" authorId="0">
      <text>
        <r>
          <rPr>
            <b/>
            <sz val="9"/>
            <color indexed="81"/>
            <rFont val="Tahoma"/>
            <family val="2"/>
          </rPr>
          <t>LPA:</t>
        </r>
        <r>
          <rPr>
            <sz val="9"/>
            <color indexed="81"/>
            <rFont val="Tahoma"/>
            <family val="2"/>
          </rPr>
          <t xml:space="preserve">
проверити збир!
</t>
        </r>
      </text>
    </comment>
    <comment ref="H13764" authorId="0">
      <text>
        <r>
          <rPr>
            <b/>
            <sz val="9"/>
            <color indexed="81"/>
            <rFont val="Tahoma"/>
            <family val="2"/>
          </rPr>
          <t>LPA:</t>
        </r>
        <r>
          <rPr>
            <sz val="9"/>
            <color indexed="81"/>
            <rFont val="Tahoma"/>
            <family val="2"/>
          </rPr>
          <t xml:space="preserve">
проверити збир!</t>
        </r>
      </text>
    </comment>
    <comment ref="I13764" authorId="0">
      <text>
        <r>
          <rPr>
            <b/>
            <sz val="9"/>
            <color indexed="81"/>
            <rFont val="Tahoma"/>
            <family val="2"/>
          </rPr>
          <t>LPA:</t>
        </r>
        <r>
          <rPr>
            <sz val="9"/>
            <color indexed="81"/>
            <rFont val="Tahoma"/>
            <family val="2"/>
          </rPr>
          <t xml:space="preserve">
проверити збир!
</t>
        </r>
      </text>
    </comment>
    <comment ref="I13765" authorId="0">
      <text>
        <r>
          <rPr>
            <b/>
            <sz val="9"/>
            <color indexed="81"/>
            <rFont val="Tahoma"/>
            <family val="2"/>
          </rPr>
          <t>LPA:</t>
        </r>
        <r>
          <rPr>
            <sz val="9"/>
            <color indexed="81"/>
            <rFont val="Tahoma"/>
            <family val="2"/>
          </rPr>
          <t xml:space="preserve">
проверити збир!
</t>
        </r>
      </text>
    </comment>
    <comment ref="I13766" authorId="0">
      <text>
        <r>
          <rPr>
            <b/>
            <sz val="9"/>
            <color indexed="81"/>
            <rFont val="Tahoma"/>
            <family val="2"/>
          </rPr>
          <t>LPA:</t>
        </r>
        <r>
          <rPr>
            <sz val="9"/>
            <color indexed="81"/>
            <rFont val="Tahoma"/>
            <family val="2"/>
          </rPr>
          <t xml:space="preserve">
проверити збир!
</t>
        </r>
      </text>
    </comment>
    <comment ref="I13767" authorId="0">
      <text>
        <r>
          <rPr>
            <b/>
            <sz val="9"/>
            <color indexed="81"/>
            <rFont val="Tahoma"/>
            <family val="2"/>
          </rPr>
          <t>LPA:</t>
        </r>
        <r>
          <rPr>
            <sz val="9"/>
            <color indexed="81"/>
            <rFont val="Tahoma"/>
            <family val="2"/>
          </rPr>
          <t xml:space="preserve">
проверити збир!
</t>
        </r>
      </text>
    </comment>
    <comment ref="I13768" authorId="0">
      <text>
        <r>
          <rPr>
            <b/>
            <sz val="9"/>
            <color indexed="81"/>
            <rFont val="Tahoma"/>
            <family val="2"/>
          </rPr>
          <t>LPA:</t>
        </r>
        <r>
          <rPr>
            <sz val="9"/>
            <color indexed="81"/>
            <rFont val="Tahoma"/>
            <family val="2"/>
          </rPr>
          <t xml:space="preserve">
проверити збир!
</t>
        </r>
      </text>
    </comment>
    <comment ref="I13769" authorId="0">
      <text>
        <r>
          <rPr>
            <b/>
            <sz val="9"/>
            <color indexed="81"/>
            <rFont val="Tahoma"/>
            <family val="2"/>
          </rPr>
          <t>LPA:</t>
        </r>
        <r>
          <rPr>
            <sz val="9"/>
            <color indexed="81"/>
            <rFont val="Tahoma"/>
            <family val="2"/>
          </rPr>
          <t xml:space="preserve">
проверити збир!
</t>
        </r>
      </text>
    </comment>
    <comment ref="I13770" authorId="0">
      <text>
        <r>
          <rPr>
            <b/>
            <sz val="9"/>
            <color indexed="81"/>
            <rFont val="Tahoma"/>
            <family val="2"/>
          </rPr>
          <t>LPA:</t>
        </r>
        <r>
          <rPr>
            <sz val="9"/>
            <color indexed="81"/>
            <rFont val="Tahoma"/>
            <family val="2"/>
          </rPr>
          <t xml:space="preserve">
проверити збир!
</t>
        </r>
      </text>
    </comment>
    <comment ref="I13771" authorId="0">
      <text>
        <r>
          <rPr>
            <b/>
            <sz val="9"/>
            <color indexed="81"/>
            <rFont val="Tahoma"/>
            <family val="2"/>
          </rPr>
          <t>LPA:</t>
        </r>
        <r>
          <rPr>
            <sz val="9"/>
            <color indexed="81"/>
            <rFont val="Tahoma"/>
            <family val="2"/>
          </rPr>
          <t xml:space="preserve">
проверити збир!
</t>
        </r>
      </text>
    </comment>
    <comment ref="I13772" authorId="0">
      <text>
        <r>
          <rPr>
            <b/>
            <sz val="9"/>
            <color indexed="81"/>
            <rFont val="Tahoma"/>
            <family val="2"/>
          </rPr>
          <t>LPA:</t>
        </r>
        <r>
          <rPr>
            <sz val="9"/>
            <color indexed="81"/>
            <rFont val="Tahoma"/>
            <family val="2"/>
          </rPr>
          <t xml:space="preserve">
проверити збир!
</t>
        </r>
      </text>
    </comment>
    <comment ref="I13773" authorId="0">
      <text>
        <r>
          <rPr>
            <b/>
            <sz val="9"/>
            <color indexed="81"/>
            <rFont val="Tahoma"/>
            <family val="2"/>
          </rPr>
          <t>LPA:</t>
        </r>
        <r>
          <rPr>
            <sz val="9"/>
            <color indexed="81"/>
            <rFont val="Tahoma"/>
            <family val="2"/>
          </rPr>
          <t xml:space="preserve">
проверити збир!
</t>
        </r>
      </text>
    </comment>
    <comment ref="I13774" authorId="0">
      <text>
        <r>
          <rPr>
            <b/>
            <sz val="9"/>
            <color indexed="81"/>
            <rFont val="Tahoma"/>
            <family val="2"/>
          </rPr>
          <t>LPA:</t>
        </r>
        <r>
          <rPr>
            <sz val="9"/>
            <color indexed="81"/>
            <rFont val="Tahoma"/>
            <family val="2"/>
          </rPr>
          <t xml:space="preserve">
проверити збир!
</t>
        </r>
      </text>
    </comment>
    <comment ref="I13775" authorId="0">
      <text>
        <r>
          <rPr>
            <b/>
            <sz val="9"/>
            <color indexed="81"/>
            <rFont val="Tahoma"/>
            <family val="2"/>
          </rPr>
          <t>LPA:</t>
        </r>
        <r>
          <rPr>
            <sz val="9"/>
            <color indexed="81"/>
            <rFont val="Tahoma"/>
            <family val="2"/>
          </rPr>
          <t xml:space="preserve">
проверити збир!
</t>
        </r>
      </text>
    </comment>
    <comment ref="I13776" authorId="0">
      <text>
        <r>
          <rPr>
            <b/>
            <sz val="9"/>
            <color indexed="81"/>
            <rFont val="Tahoma"/>
            <family val="2"/>
          </rPr>
          <t>LPA:</t>
        </r>
        <r>
          <rPr>
            <sz val="9"/>
            <color indexed="81"/>
            <rFont val="Tahoma"/>
            <family val="2"/>
          </rPr>
          <t xml:space="preserve">
проверити збир!
</t>
        </r>
      </text>
    </comment>
    <comment ref="I13777" authorId="0">
      <text>
        <r>
          <rPr>
            <b/>
            <sz val="9"/>
            <color indexed="81"/>
            <rFont val="Tahoma"/>
            <family val="2"/>
          </rPr>
          <t>LPA:</t>
        </r>
        <r>
          <rPr>
            <sz val="9"/>
            <color indexed="81"/>
            <rFont val="Tahoma"/>
            <family val="2"/>
          </rPr>
          <t xml:space="preserve">
проверити збир!
</t>
        </r>
      </text>
    </comment>
    <comment ref="I13778" authorId="0">
      <text>
        <r>
          <rPr>
            <b/>
            <sz val="9"/>
            <color indexed="81"/>
            <rFont val="Tahoma"/>
            <family val="2"/>
          </rPr>
          <t>LPA:</t>
        </r>
        <r>
          <rPr>
            <sz val="9"/>
            <color indexed="81"/>
            <rFont val="Tahoma"/>
            <family val="2"/>
          </rPr>
          <t xml:space="preserve">
проверити збир!
</t>
        </r>
      </text>
    </comment>
    <comment ref="I13779" authorId="0">
      <text>
        <r>
          <rPr>
            <b/>
            <sz val="9"/>
            <color indexed="81"/>
            <rFont val="Tahoma"/>
            <family val="2"/>
          </rPr>
          <t>LPA:</t>
        </r>
        <r>
          <rPr>
            <sz val="9"/>
            <color indexed="81"/>
            <rFont val="Tahoma"/>
            <family val="2"/>
          </rPr>
          <t xml:space="preserve">
проверити збир!
</t>
        </r>
      </text>
    </comment>
    <comment ref="H13783" authorId="0">
      <text>
        <r>
          <rPr>
            <b/>
            <sz val="9"/>
            <color indexed="81"/>
            <rFont val="Tahoma"/>
            <family val="2"/>
          </rPr>
          <t>LPA:</t>
        </r>
        <r>
          <rPr>
            <sz val="9"/>
            <color indexed="81"/>
            <rFont val="Tahoma"/>
            <family val="2"/>
          </rPr>
          <t xml:space="preserve">
провери збир!</t>
        </r>
      </text>
    </comment>
    <comment ref="I13783" authorId="0">
      <text>
        <r>
          <rPr>
            <b/>
            <sz val="9"/>
            <color indexed="81"/>
            <rFont val="Tahoma"/>
            <family val="2"/>
          </rPr>
          <t>LPA:</t>
        </r>
        <r>
          <rPr>
            <sz val="9"/>
            <color indexed="81"/>
            <rFont val="Tahoma"/>
            <family val="2"/>
          </rPr>
          <t xml:space="preserve">
проверити збир!
</t>
        </r>
      </text>
    </comment>
    <comment ref="I13784" authorId="0">
      <text>
        <r>
          <rPr>
            <b/>
            <sz val="9"/>
            <color indexed="81"/>
            <rFont val="Tahoma"/>
            <family val="2"/>
          </rPr>
          <t>LPA:</t>
        </r>
        <r>
          <rPr>
            <sz val="9"/>
            <color indexed="81"/>
            <rFont val="Tahoma"/>
            <family val="2"/>
          </rPr>
          <t xml:space="preserve">
проверити збир!
</t>
        </r>
      </text>
    </comment>
    <comment ref="I13785" authorId="0">
      <text>
        <r>
          <rPr>
            <b/>
            <sz val="9"/>
            <color indexed="81"/>
            <rFont val="Tahoma"/>
            <family val="2"/>
          </rPr>
          <t>LPA:</t>
        </r>
        <r>
          <rPr>
            <sz val="9"/>
            <color indexed="81"/>
            <rFont val="Tahoma"/>
            <family val="2"/>
          </rPr>
          <t xml:space="preserve">
проверити збир!
</t>
        </r>
      </text>
    </comment>
    <comment ref="I13786" authorId="0">
      <text>
        <r>
          <rPr>
            <b/>
            <sz val="9"/>
            <color indexed="81"/>
            <rFont val="Tahoma"/>
            <family val="2"/>
          </rPr>
          <t>LPA:</t>
        </r>
        <r>
          <rPr>
            <sz val="9"/>
            <color indexed="81"/>
            <rFont val="Tahoma"/>
            <family val="2"/>
          </rPr>
          <t xml:space="preserve">
проверити збир!
</t>
        </r>
      </text>
    </comment>
    <comment ref="I13787" authorId="0">
      <text>
        <r>
          <rPr>
            <b/>
            <sz val="9"/>
            <color indexed="81"/>
            <rFont val="Tahoma"/>
            <family val="2"/>
          </rPr>
          <t>LPA:</t>
        </r>
        <r>
          <rPr>
            <sz val="9"/>
            <color indexed="81"/>
            <rFont val="Tahoma"/>
            <family val="2"/>
          </rPr>
          <t xml:space="preserve">
проверити збир!
</t>
        </r>
      </text>
    </comment>
    <comment ref="I13788" authorId="0">
      <text>
        <r>
          <rPr>
            <b/>
            <sz val="9"/>
            <color indexed="81"/>
            <rFont val="Tahoma"/>
            <family val="2"/>
          </rPr>
          <t>LPA:</t>
        </r>
        <r>
          <rPr>
            <sz val="9"/>
            <color indexed="81"/>
            <rFont val="Tahoma"/>
            <family val="2"/>
          </rPr>
          <t xml:space="preserve">
проверити збир!
</t>
        </r>
      </text>
    </comment>
    <comment ref="I13789" authorId="0">
      <text>
        <r>
          <rPr>
            <b/>
            <sz val="9"/>
            <color indexed="81"/>
            <rFont val="Tahoma"/>
            <family val="2"/>
          </rPr>
          <t>LPA:</t>
        </r>
        <r>
          <rPr>
            <sz val="9"/>
            <color indexed="81"/>
            <rFont val="Tahoma"/>
            <family val="2"/>
          </rPr>
          <t xml:space="preserve">
проверити збир!
</t>
        </r>
      </text>
    </comment>
    <comment ref="I13790" authorId="0">
      <text>
        <r>
          <rPr>
            <b/>
            <sz val="9"/>
            <color indexed="81"/>
            <rFont val="Tahoma"/>
            <family val="2"/>
          </rPr>
          <t>LPA:</t>
        </r>
        <r>
          <rPr>
            <sz val="9"/>
            <color indexed="81"/>
            <rFont val="Tahoma"/>
            <family val="2"/>
          </rPr>
          <t xml:space="preserve">
проверити збир!
</t>
        </r>
      </text>
    </comment>
    <comment ref="I13791" authorId="0">
      <text>
        <r>
          <rPr>
            <b/>
            <sz val="9"/>
            <color indexed="81"/>
            <rFont val="Tahoma"/>
            <family val="2"/>
          </rPr>
          <t>LPA:</t>
        </r>
        <r>
          <rPr>
            <sz val="9"/>
            <color indexed="81"/>
            <rFont val="Tahoma"/>
            <family val="2"/>
          </rPr>
          <t xml:space="preserve">
проверити збир!
</t>
        </r>
      </text>
    </comment>
    <comment ref="I13792" authorId="0">
      <text>
        <r>
          <rPr>
            <b/>
            <sz val="9"/>
            <color indexed="81"/>
            <rFont val="Tahoma"/>
            <family val="2"/>
          </rPr>
          <t>LPA:</t>
        </r>
        <r>
          <rPr>
            <sz val="9"/>
            <color indexed="81"/>
            <rFont val="Tahoma"/>
            <family val="2"/>
          </rPr>
          <t xml:space="preserve">
проверити збир!
</t>
        </r>
      </text>
    </comment>
    <comment ref="I13793" authorId="0">
      <text>
        <r>
          <rPr>
            <b/>
            <sz val="9"/>
            <color indexed="81"/>
            <rFont val="Tahoma"/>
            <family val="2"/>
          </rPr>
          <t>LPA:</t>
        </r>
        <r>
          <rPr>
            <sz val="9"/>
            <color indexed="81"/>
            <rFont val="Tahoma"/>
            <family val="2"/>
          </rPr>
          <t xml:space="preserve">
проверити збир!
</t>
        </r>
      </text>
    </comment>
    <comment ref="I13794" authorId="0">
      <text>
        <r>
          <rPr>
            <b/>
            <sz val="9"/>
            <color indexed="81"/>
            <rFont val="Tahoma"/>
            <family val="2"/>
          </rPr>
          <t>LPA:</t>
        </r>
        <r>
          <rPr>
            <sz val="9"/>
            <color indexed="81"/>
            <rFont val="Tahoma"/>
            <family val="2"/>
          </rPr>
          <t xml:space="preserve">
проверити збир!
</t>
        </r>
      </text>
    </comment>
    <comment ref="I13795" authorId="0">
      <text>
        <r>
          <rPr>
            <b/>
            <sz val="9"/>
            <color indexed="81"/>
            <rFont val="Tahoma"/>
            <family val="2"/>
          </rPr>
          <t>LPA:</t>
        </r>
        <r>
          <rPr>
            <sz val="9"/>
            <color indexed="81"/>
            <rFont val="Tahoma"/>
            <family val="2"/>
          </rPr>
          <t xml:space="preserve">
проверити збир!
</t>
        </r>
      </text>
    </comment>
    <comment ref="I13796" authorId="0">
      <text>
        <r>
          <rPr>
            <b/>
            <sz val="9"/>
            <color indexed="81"/>
            <rFont val="Tahoma"/>
            <family val="2"/>
          </rPr>
          <t>LPA:</t>
        </r>
        <r>
          <rPr>
            <sz val="9"/>
            <color indexed="81"/>
            <rFont val="Tahoma"/>
            <family val="2"/>
          </rPr>
          <t xml:space="preserve">
проверити збир!
</t>
        </r>
      </text>
    </comment>
    <comment ref="I13797" authorId="0">
      <text>
        <r>
          <rPr>
            <b/>
            <sz val="9"/>
            <color indexed="81"/>
            <rFont val="Tahoma"/>
            <family val="2"/>
          </rPr>
          <t>LPA:</t>
        </r>
        <r>
          <rPr>
            <sz val="9"/>
            <color indexed="81"/>
            <rFont val="Tahoma"/>
            <family val="2"/>
          </rPr>
          <t xml:space="preserve">
проверити збир!
</t>
        </r>
      </text>
    </comment>
    <comment ref="I13798" authorId="0">
      <text>
        <r>
          <rPr>
            <b/>
            <sz val="9"/>
            <color indexed="81"/>
            <rFont val="Tahoma"/>
            <family val="2"/>
          </rPr>
          <t>LPA:</t>
        </r>
        <r>
          <rPr>
            <sz val="9"/>
            <color indexed="81"/>
            <rFont val="Tahoma"/>
            <family val="2"/>
          </rPr>
          <t xml:space="preserve">
проверити збир!
</t>
        </r>
      </text>
    </comment>
    <comment ref="H13803" authorId="0">
      <text>
        <r>
          <rPr>
            <b/>
            <sz val="9"/>
            <color indexed="81"/>
            <rFont val="Tahoma"/>
            <family val="2"/>
          </rPr>
          <t>LPA:</t>
        </r>
        <r>
          <rPr>
            <sz val="9"/>
            <color indexed="81"/>
            <rFont val="Tahoma"/>
            <family val="2"/>
          </rPr>
          <t xml:space="preserve">
провери збир!</t>
        </r>
      </text>
    </comment>
    <comment ref="I13803" authorId="0">
      <text>
        <r>
          <rPr>
            <b/>
            <sz val="9"/>
            <color indexed="81"/>
            <rFont val="Tahoma"/>
            <family val="2"/>
          </rPr>
          <t>LPA:</t>
        </r>
        <r>
          <rPr>
            <sz val="9"/>
            <color indexed="81"/>
            <rFont val="Tahoma"/>
            <family val="2"/>
          </rPr>
          <t xml:space="preserve">
проверити збир!
</t>
        </r>
      </text>
    </comment>
    <comment ref="I13804" authorId="0">
      <text>
        <r>
          <rPr>
            <b/>
            <sz val="9"/>
            <color indexed="81"/>
            <rFont val="Tahoma"/>
            <family val="2"/>
          </rPr>
          <t>LPA:</t>
        </r>
        <r>
          <rPr>
            <sz val="9"/>
            <color indexed="81"/>
            <rFont val="Tahoma"/>
            <family val="2"/>
          </rPr>
          <t xml:space="preserve">
проверити збир!
</t>
        </r>
      </text>
    </comment>
    <comment ref="I13805" authorId="0">
      <text>
        <r>
          <rPr>
            <b/>
            <sz val="9"/>
            <color indexed="81"/>
            <rFont val="Tahoma"/>
            <family val="2"/>
          </rPr>
          <t>LPA:</t>
        </r>
        <r>
          <rPr>
            <sz val="9"/>
            <color indexed="81"/>
            <rFont val="Tahoma"/>
            <family val="2"/>
          </rPr>
          <t xml:space="preserve">
проверити збир!
</t>
        </r>
      </text>
    </comment>
    <comment ref="I13806" authorId="0">
      <text>
        <r>
          <rPr>
            <b/>
            <sz val="9"/>
            <color indexed="81"/>
            <rFont val="Tahoma"/>
            <family val="2"/>
          </rPr>
          <t>LPA:</t>
        </r>
        <r>
          <rPr>
            <sz val="9"/>
            <color indexed="81"/>
            <rFont val="Tahoma"/>
            <family val="2"/>
          </rPr>
          <t xml:space="preserve">
проверити збир!
</t>
        </r>
      </text>
    </comment>
    <comment ref="I13807" authorId="0">
      <text>
        <r>
          <rPr>
            <b/>
            <sz val="9"/>
            <color indexed="81"/>
            <rFont val="Tahoma"/>
            <family val="2"/>
          </rPr>
          <t>LPA:</t>
        </r>
        <r>
          <rPr>
            <sz val="9"/>
            <color indexed="81"/>
            <rFont val="Tahoma"/>
            <family val="2"/>
          </rPr>
          <t xml:space="preserve">
проверити збир!
</t>
        </r>
      </text>
    </comment>
    <comment ref="I13808" authorId="0">
      <text>
        <r>
          <rPr>
            <b/>
            <sz val="9"/>
            <color indexed="81"/>
            <rFont val="Tahoma"/>
            <family val="2"/>
          </rPr>
          <t>LPA:</t>
        </r>
        <r>
          <rPr>
            <sz val="9"/>
            <color indexed="81"/>
            <rFont val="Tahoma"/>
            <family val="2"/>
          </rPr>
          <t xml:space="preserve">
проверити збир!
</t>
        </r>
      </text>
    </comment>
    <comment ref="I13809" authorId="0">
      <text>
        <r>
          <rPr>
            <b/>
            <sz val="9"/>
            <color indexed="81"/>
            <rFont val="Tahoma"/>
            <family val="2"/>
          </rPr>
          <t>LPA:</t>
        </r>
        <r>
          <rPr>
            <sz val="9"/>
            <color indexed="81"/>
            <rFont val="Tahoma"/>
            <family val="2"/>
          </rPr>
          <t xml:space="preserve">
проверити збир!
</t>
        </r>
      </text>
    </comment>
    <comment ref="I13810" authorId="0">
      <text>
        <r>
          <rPr>
            <b/>
            <sz val="9"/>
            <color indexed="81"/>
            <rFont val="Tahoma"/>
            <family val="2"/>
          </rPr>
          <t>LPA:</t>
        </r>
        <r>
          <rPr>
            <sz val="9"/>
            <color indexed="81"/>
            <rFont val="Tahoma"/>
            <family val="2"/>
          </rPr>
          <t xml:space="preserve">
проверити збир!
</t>
        </r>
      </text>
    </comment>
    <comment ref="I13811" authorId="0">
      <text>
        <r>
          <rPr>
            <b/>
            <sz val="9"/>
            <color indexed="81"/>
            <rFont val="Tahoma"/>
            <family val="2"/>
          </rPr>
          <t>LPA:</t>
        </r>
        <r>
          <rPr>
            <sz val="9"/>
            <color indexed="81"/>
            <rFont val="Tahoma"/>
            <family val="2"/>
          </rPr>
          <t xml:space="preserve">
проверити збир!
</t>
        </r>
      </text>
    </comment>
    <comment ref="I13812" authorId="0">
      <text>
        <r>
          <rPr>
            <b/>
            <sz val="9"/>
            <color indexed="81"/>
            <rFont val="Tahoma"/>
            <family val="2"/>
          </rPr>
          <t>LPA:</t>
        </r>
        <r>
          <rPr>
            <sz val="9"/>
            <color indexed="81"/>
            <rFont val="Tahoma"/>
            <family val="2"/>
          </rPr>
          <t xml:space="preserve">
проверити збир!
</t>
        </r>
      </text>
    </comment>
    <comment ref="I13813" authorId="0">
      <text>
        <r>
          <rPr>
            <b/>
            <sz val="9"/>
            <color indexed="81"/>
            <rFont val="Tahoma"/>
            <family val="2"/>
          </rPr>
          <t>LPA:</t>
        </r>
        <r>
          <rPr>
            <sz val="9"/>
            <color indexed="81"/>
            <rFont val="Tahoma"/>
            <family val="2"/>
          </rPr>
          <t xml:space="preserve">
проверити збир!
</t>
        </r>
      </text>
    </comment>
    <comment ref="I13814" authorId="0">
      <text>
        <r>
          <rPr>
            <b/>
            <sz val="9"/>
            <color indexed="81"/>
            <rFont val="Tahoma"/>
            <family val="2"/>
          </rPr>
          <t>LPA:</t>
        </r>
        <r>
          <rPr>
            <sz val="9"/>
            <color indexed="81"/>
            <rFont val="Tahoma"/>
            <family val="2"/>
          </rPr>
          <t xml:space="preserve">
проверити збир!
</t>
        </r>
      </text>
    </comment>
    <comment ref="I13815" authorId="0">
      <text>
        <r>
          <rPr>
            <b/>
            <sz val="9"/>
            <color indexed="81"/>
            <rFont val="Tahoma"/>
            <family val="2"/>
          </rPr>
          <t>LPA:</t>
        </r>
        <r>
          <rPr>
            <sz val="9"/>
            <color indexed="81"/>
            <rFont val="Tahoma"/>
            <family val="2"/>
          </rPr>
          <t xml:space="preserve">
проверити збир!
</t>
        </r>
      </text>
    </comment>
    <comment ref="I13816" authorId="0">
      <text>
        <r>
          <rPr>
            <b/>
            <sz val="9"/>
            <color indexed="81"/>
            <rFont val="Tahoma"/>
            <family val="2"/>
          </rPr>
          <t>LPA:</t>
        </r>
        <r>
          <rPr>
            <sz val="9"/>
            <color indexed="81"/>
            <rFont val="Tahoma"/>
            <family val="2"/>
          </rPr>
          <t xml:space="preserve">
проверити збир!
</t>
        </r>
      </text>
    </comment>
    <comment ref="I13817" authorId="0">
      <text>
        <r>
          <rPr>
            <b/>
            <sz val="9"/>
            <color indexed="81"/>
            <rFont val="Tahoma"/>
            <family val="2"/>
          </rPr>
          <t>LPA:</t>
        </r>
        <r>
          <rPr>
            <sz val="9"/>
            <color indexed="81"/>
            <rFont val="Tahoma"/>
            <family val="2"/>
          </rPr>
          <t xml:space="preserve">
проверити збир!
</t>
        </r>
      </text>
    </comment>
    <comment ref="I13818" authorId="0">
      <text>
        <r>
          <rPr>
            <b/>
            <sz val="9"/>
            <color indexed="81"/>
            <rFont val="Tahoma"/>
            <family val="2"/>
          </rPr>
          <t>LPA:</t>
        </r>
        <r>
          <rPr>
            <sz val="9"/>
            <color indexed="81"/>
            <rFont val="Tahoma"/>
            <family val="2"/>
          </rPr>
          <t xml:space="preserve">
проверити збир!
</t>
        </r>
      </text>
    </comment>
    <comment ref="I13889" authorId="0">
      <text>
        <r>
          <rPr>
            <b/>
            <sz val="9"/>
            <color indexed="81"/>
            <rFont val="Tahoma"/>
            <family val="2"/>
          </rPr>
          <t>LPA:</t>
        </r>
        <r>
          <rPr>
            <sz val="9"/>
            <color indexed="81"/>
            <rFont val="Tahoma"/>
            <family val="2"/>
          </rPr>
          <t xml:space="preserve">
проверити збир!
</t>
        </r>
      </text>
    </comment>
    <comment ref="I13890" authorId="0">
      <text>
        <r>
          <rPr>
            <b/>
            <sz val="9"/>
            <color indexed="81"/>
            <rFont val="Tahoma"/>
            <family val="2"/>
          </rPr>
          <t>LPA:</t>
        </r>
        <r>
          <rPr>
            <sz val="9"/>
            <color indexed="81"/>
            <rFont val="Tahoma"/>
            <family val="2"/>
          </rPr>
          <t xml:space="preserve">
проверити збир!
</t>
        </r>
      </text>
    </comment>
    <comment ref="I13891" authorId="0">
      <text>
        <r>
          <rPr>
            <b/>
            <sz val="9"/>
            <color indexed="81"/>
            <rFont val="Tahoma"/>
            <family val="2"/>
          </rPr>
          <t>LPA:</t>
        </r>
        <r>
          <rPr>
            <sz val="9"/>
            <color indexed="81"/>
            <rFont val="Tahoma"/>
            <family val="2"/>
          </rPr>
          <t xml:space="preserve">
проверити збир!
</t>
        </r>
      </text>
    </comment>
    <comment ref="I13892" authorId="0">
      <text>
        <r>
          <rPr>
            <b/>
            <sz val="9"/>
            <color indexed="81"/>
            <rFont val="Tahoma"/>
            <family val="2"/>
          </rPr>
          <t>LPA:</t>
        </r>
        <r>
          <rPr>
            <sz val="9"/>
            <color indexed="81"/>
            <rFont val="Tahoma"/>
            <family val="2"/>
          </rPr>
          <t xml:space="preserve">
проверити збир!
</t>
        </r>
      </text>
    </comment>
    <comment ref="I13893" authorId="0">
      <text>
        <r>
          <rPr>
            <b/>
            <sz val="9"/>
            <color indexed="81"/>
            <rFont val="Tahoma"/>
            <family val="2"/>
          </rPr>
          <t>LPA:</t>
        </r>
        <r>
          <rPr>
            <sz val="9"/>
            <color indexed="81"/>
            <rFont val="Tahoma"/>
            <family val="2"/>
          </rPr>
          <t xml:space="preserve">
проверити збир!
</t>
        </r>
      </text>
    </comment>
    <comment ref="I13894" authorId="0">
      <text>
        <r>
          <rPr>
            <b/>
            <sz val="9"/>
            <color indexed="81"/>
            <rFont val="Tahoma"/>
            <family val="2"/>
          </rPr>
          <t>LPA:</t>
        </r>
        <r>
          <rPr>
            <sz val="9"/>
            <color indexed="81"/>
            <rFont val="Tahoma"/>
            <family val="2"/>
          </rPr>
          <t xml:space="preserve">
проверити збир!
</t>
        </r>
      </text>
    </comment>
    <comment ref="I13895" authorId="0">
      <text>
        <r>
          <rPr>
            <b/>
            <sz val="9"/>
            <color indexed="81"/>
            <rFont val="Tahoma"/>
            <family val="2"/>
          </rPr>
          <t>LPA:</t>
        </r>
        <r>
          <rPr>
            <sz val="9"/>
            <color indexed="81"/>
            <rFont val="Tahoma"/>
            <family val="2"/>
          </rPr>
          <t xml:space="preserve">
проверити збир!
</t>
        </r>
      </text>
    </comment>
    <comment ref="I13896" authorId="0">
      <text>
        <r>
          <rPr>
            <b/>
            <sz val="9"/>
            <color indexed="81"/>
            <rFont val="Tahoma"/>
            <family val="2"/>
          </rPr>
          <t>LPA:</t>
        </r>
        <r>
          <rPr>
            <sz val="9"/>
            <color indexed="81"/>
            <rFont val="Tahoma"/>
            <family val="2"/>
          </rPr>
          <t xml:space="preserve">
проверити збир!
</t>
        </r>
      </text>
    </comment>
    <comment ref="I13897" authorId="0">
      <text>
        <r>
          <rPr>
            <b/>
            <sz val="9"/>
            <color indexed="81"/>
            <rFont val="Tahoma"/>
            <family val="2"/>
          </rPr>
          <t>LPA:</t>
        </r>
        <r>
          <rPr>
            <sz val="9"/>
            <color indexed="81"/>
            <rFont val="Tahoma"/>
            <family val="2"/>
          </rPr>
          <t xml:space="preserve">
проверити збир!
</t>
        </r>
      </text>
    </comment>
    <comment ref="I13898" authorId="0">
      <text>
        <r>
          <rPr>
            <b/>
            <sz val="9"/>
            <color indexed="81"/>
            <rFont val="Tahoma"/>
            <family val="2"/>
          </rPr>
          <t>LPA:</t>
        </r>
        <r>
          <rPr>
            <sz val="9"/>
            <color indexed="81"/>
            <rFont val="Tahoma"/>
            <family val="2"/>
          </rPr>
          <t xml:space="preserve">
проверити збир!
</t>
        </r>
      </text>
    </comment>
    <comment ref="I13899" authorId="0">
      <text>
        <r>
          <rPr>
            <b/>
            <sz val="9"/>
            <color indexed="81"/>
            <rFont val="Tahoma"/>
            <family val="2"/>
          </rPr>
          <t>LPA:</t>
        </r>
        <r>
          <rPr>
            <sz val="9"/>
            <color indexed="81"/>
            <rFont val="Tahoma"/>
            <family val="2"/>
          </rPr>
          <t xml:space="preserve">
проверити збир!
</t>
        </r>
      </text>
    </comment>
    <comment ref="I13900" authorId="0">
      <text>
        <r>
          <rPr>
            <b/>
            <sz val="9"/>
            <color indexed="81"/>
            <rFont val="Tahoma"/>
            <family val="2"/>
          </rPr>
          <t>LPA:</t>
        </r>
        <r>
          <rPr>
            <sz val="9"/>
            <color indexed="81"/>
            <rFont val="Tahoma"/>
            <family val="2"/>
          </rPr>
          <t xml:space="preserve">
проверити збир!
</t>
        </r>
      </text>
    </comment>
    <comment ref="I13901" authorId="0">
      <text>
        <r>
          <rPr>
            <b/>
            <sz val="9"/>
            <color indexed="81"/>
            <rFont val="Tahoma"/>
            <family val="2"/>
          </rPr>
          <t>LPA:</t>
        </r>
        <r>
          <rPr>
            <sz val="9"/>
            <color indexed="81"/>
            <rFont val="Tahoma"/>
            <family val="2"/>
          </rPr>
          <t xml:space="preserve">
проверити збир!
</t>
        </r>
      </text>
    </comment>
    <comment ref="H13904" authorId="0">
      <text>
        <r>
          <rPr>
            <b/>
            <sz val="9"/>
            <color indexed="81"/>
            <rFont val="Tahoma"/>
            <family val="2"/>
          </rPr>
          <t>LPA:</t>
        </r>
        <r>
          <rPr>
            <sz val="9"/>
            <color indexed="81"/>
            <rFont val="Tahoma"/>
            <family val="2"/>
          </rPr>
          <t xml:space="preserve">
проверити збир!</t>
        </r>
      </text>
    </comment>
    <comment ref="I13904" authorId="0">
      <text>
        <r>
          <rPr>
            <b/>
            <sz val="9"/>
            <color indexed="81"/>
            <rFont val="Tahoma"/>
            <family val="2"/>
          </rPr>
          <t>LPA:</t>
        </r>
        <r>
          <rPr>
            <sz val="9"/>
            <color indexed="81"/>
            <rFont val="Tahoma"/>
            <family val="2"/>
          </rPr>
          <t xml:space="preserve">
проверити збир!</t>
        </r>
      </text>
    </comment>
    <comment ref="I13905" authorId="0">
      <text>
        <r>
          <rPr>
            <b/>
            <sz val="9"/>
            <color indexed="81"/>
            <rFont val="Tahoma"/>
            <family val="2"/>
          </rPr>
          <t>LPA:</t>
        </r>
        <r>
          <rPr>
            <sz val="9"/>
            <color indexed="81"/>
            <rFont val="Tahoma"/>
            <family val="2"/>
          </rPr>
          <t xml:space="preserve">
проверити збир!
</t>
        </r>
      </text>
    </comment>
    <comment ref="I13906" authorId="0">
      <text>
        <r>
          <rPr>
            <b/>
            <sz val="9"/>
            <color indexed="81"/>
            <rFont val="Tahoma"/>
            <family val="2"/>
          </rPr>
          <t>LPA:</t>
        </r>
        <r>
          <rPr>
            <sz val="9"/>
            <color indexed="81"/>
            <rFont val="Tahoma"/>
            <family val="2"/>
          </rPr>
          <t xml:space="preserve">
проверити збир!
</t>
        </r>
      </text>
    </comment>
    <comment ref="I13907" authorId="0">
      <text>
        <r>
          <rPr>
            <b/>
            <sz val="9"/>
            <color indexed="81"/>
            <rFont val="Tahoma"/>
            <family val="2"/>
          </rPr>
          <t>LPA:</t>
        </r>
        <r>
          <rPr>
            <sz val="9"/>
            <color indexed="81"/>
            <rFont val="Tahoma"/>
            <family val="2"/>
          </rPr>
          <t xml:space="preserve">
проверити збир!
</t>
        </r>
      </text>
    </comment>
    <comment ref="I13908" authorId="0">
      <text>
        <r>
          <rPr>
            <b/>
            <sz val="9"/>
            <color indexed="81"/>
            <rFont val="Tahoma"/>
            <family val="2"/>
          </rPr>
          <t>LPA:</t>
        </r>
        <r>
          <rPr>
            <sz val="9"/>
            <color indexed="81"/>
            <rFont val="Tahoma"/>
            <family val="2"/>
          </rPr>
          <t xml:space="preserve">
проверити збир!
</t>
        </r>
      </text>
    </comment>
    <comment ref="I13909" authorId="0">
      <text>
        <r>
          <rPr>
            <b/>
            <sz val="9"/>
            <color indexed="81"/>
            <rFont val="Tahoma"/>
            <family val="2"/>
          </rPr>
          <t>LPA:</t>
        </r>
        <r>
          <rPr>
            <sz val="9"/>
            <color indexed="81"/>
            <rFont val="Tahoma"/>
            <family val="2"/>
          </rPr>
          <t xml:space="preserve">
проверити збир!
</t>
        </r>
      </text>
    </comment>
    <comment ref="I13910" authorId="0">
      <text>
        <r>
          <rPr>
            <b/>
            <sz val="9"/>
            <color indexed="81"/>
            <rFont val="Tahoma"/>
            <family val="2"/>
          </rPr>
          <t>LPA:</t>
        </r>
        <r>
          <rPr>
            <sz val="9"/>
            <color indexed="81"/>
            <rFont val="Tahoma"/>
            <family val="2"/>
          </rPr>
          <t xml:space="preserve">
проверити збир!
</t>
        </r>
      </text>
    </comment>
    <comment ref="I13911" authorId="0">
      <text>
        <r>
          <rPr>
            <b/>
            <sz val="9"/>
            <color indexed="81"/>
            <rFont val="Tahoma"/>
            <family val="2"/>
          </rPr>
          <t>LPA:</t>
        </r>
        <r>
          <rPr>
            <sz val="9"/>
            <color indexed="81"/>
            <rFont val="Tahoma"/>
            <family val="2"/>
          </rPr>
          <t xml:space="preserve">
проверити збир!
</t>
        </r>
      </text>
    </comment>
    <comment ref="I13912" authorId="0">
      <text>
        <r>
          <rPr>
            <b/>
            <sz val="9"/>
            <color indexed="81"/>
            <rFont val="Tahoma"/>
            <family val="2"/>
          </rPr>
          <t>LPA:</t>
        </r>
        <r>
          <rPr>
            <sz val="9"/>
            <color indexed="81"/>
            <rFont val="Tahoma"/>
            <family val="2"/>
          </rPr>
          <t xml:space="preserve">
проверити збир!
</t>
        </r>
      </text>
    </comment>
    <comment ref="I13913" authorId="0">
      <text>
        <r>
          <rPr>
            <b/>
            <sz val="9"/>
            <color indexed="81"/>
            <rFont val="Tahoma"/>
            <family val="2"/>
          </rPr>
          <t>LPA:</t>
        </r>
        <r>
          <rPr>
            <sz val="9"/>
            <color indexed="81"/>
            <rFont val="Tahoma"/>
            <family val="2"/>
          </rPr>
          <t xml:space="preserve">
проверити збир!
</t>
        </r>
      </text>
    </comment>
    <comment ref="I13914" authorId="0">
      <text>
        <r>
          <rPr>
            <b/>
            <sz val="9"/>
            <color indexed="81"/>
            <rFont val="Tahoma"/>
            <family val="2"/>
          </rPr>
          <t>LPA:</t>
        </r>
        <r>
          <rPr>
            <sz val="9"/>
            <color indexed="81"/>
            <rFont val="Tahoma"/>
            <family val="2"/>
          </rPr>
          <t xml:space="preserve">
проверити збир!
</t>
        </r>
      </text>
    </comment>
    <comment ref="I13915" authorId="0">
      <text>
        <r>
          <rPr>
            <b/>
            <sz val="9"/>
            <color indexed="81"/>
            <rFont val="Tahoma"/>
            <family val="2"/>
          </rPr>
          <t>LPA:</t>
        </r>
        <r>
          <rPr>
            <sz val="9"/>
            <color indexed="81"/>
            <rFont val="Tahoma"/>
            <family val="2"/>
          </rPr>
          <t xml:space="preserve">
проверити збир!
</t>
        </r>
      </text>
    </comment>
    <comment ref="I13916" authorId="0">
      <text>
        <r>
          <rPr>
            <b/>
            <sz val="9"/>
            <color indexed="81"/>
            <rFont val="Tahoma"/>
            <family val="2"/>
          </rPr>
          <t>LPA:</t>
        </r>
        <r>
          <rPr>
            <sz val="9"/>
            <color indexed="81"/>
            <rFont val="Tahoma"/>
            <family val="2"/>
          </rPr>
          <t xml:space="preserve">
проверити збир!
</t>
        </r>
      </text>
    </comment>
    <comment ref="I13917" authorId="0">
      <text>
        <r>
          <rPr>
            <b/>
            <sz val="9"/>
            <color indexed="81"/>
            <rFont val="Tahoma"/>
            <family val="2"/>
          </rPr>
          <t>LPA:</t>
        </r>
        <r>
          <rPr>
            <sz val="9"/>
            <color indexed="81"/>
            <rFont val="Tahoma"/>
            <family val="2"/>
          </rPr>
          <t xml:space="preserve">
проверити збир!
</t>
        </r>
      </text>
    </comment>
    <comment ref="I13918" authorId="0">
      <text>
        <r>
          <rPr>
            <b/>
            <sz val="9"/>
            <color indexed="81"/>
            <rFont val="Tahoma"/>
            <family val="2"/>
          </rPr>
          <t>LPA:</t>
        </r>
        <r>
          <rPr>
            <sz val="9"/>
            <color indexed="81"/>
            <rFont val="Tahoma"/>
            <family val="2"/>
          </rPr>
          <t xml:space="preserve">
проверити збир!
</t>
        </r>
      </text>
    </comment>
    <comment ref="I13919" authorId="0">
      <text>
        <r>
          <rPr>
            <b/>
            <sz val="9"/>
            <color indexed="81"/>
            <rFont val="Tahoma"/>
            <family val="2"/>
          </rPr>
          <t>LPA:</t>
        </r>
        <r>
          <rPr>
            <sz val="9"/>
            <color indexed="81"/>
            <rFont val="Tahoma"/>
            <family val="2"/>
          </rPr>
          <t xml:space="preserve">
проверити збир!
</t>
        </r>
      </text>
    </comment>
    <comment ref="H13923" authorId="0">
      <text>
        <r>
          <rPr>
            <b/>
            <sz val="9"/>
            <color indexed="81"/>
            <rFont val="Tahoma"/>
            <family val="2"/>
          </rPr>
          <t>LPA:</t>
        </r>
        <r>
          <rPr>
            <sz val="9"/>
            <color indexed="81"/>
            <rFont val="Tahoma"/>
            <family val="2"/>
          </rPr>
          <t xml:space="preserve">
проверити збир!</t>
        </r>
      </text>
    </comment>
    <comment ref="I13923" authorId="0">
      <text>
        <r>
          <rPr>
            <b/>
            <sz val="9"/>
            <color indexed="81"/>
            <rFont val="Tahoma"/>
            <family val="2"/>
          </rPr>
          <t>LPA:</t>
        </r>
        <r>
          <rPr>
            <sz val="9"/>
            <color indexed="81"/>
            <rFont val="Tahoma"/>
            <family val="2"/>
          </rPr>
          <t xml:space="preserve">
проверити збир!
</t>
        </r>
      </text>
    </comment>
    <comment ref="I13924" authorId="0">
      <text>
        <r>
          <rPr>
            <b/>
            <sz val="9"/>
            <color indexed="81"/>
            <rFont val="Tahoma"/>
            <family val="2"/>
          </rPr>
          <t>LPA:</t>
        </r>
        <r>
          <rPr>
            <sz val="9"/>
            <color indexed="81"/>
            <rFont val="Tahoma"/>
            <family val="2"/>
          </rPr>
          <t xml:space="preserve">
проверити збир!
</t>
        </r>
      </text>
    </comment>
    <comment ref="I13925" authorId="0">
      <text>
        <r>
          <rPr>
            <b/>
            <sz val="9"/>
            <color indexed="81"/>
            <rFont val="Tahoma"/>
            <family val="2"/>
          </rPr>
          <t>LPA:</t>
        </r>
        <r>
          <rPr>
            <sz val="9"/>
            <color indexed="81"/>
            <rFont val="Tahoma"/>
            <family val="2"/>
          </rPr>
          <t xml:space="preserve">
проверити збир!
</t>
        </r>
      </text>
    </comment>
    <comment ref="I13926" authorId="0">
      <text>
        <r>
          <rPr>
            <b/>
            <sz val="9"/>
            <color indexed="81"/>
            <rFont val="Tahoma"/>
            <family val="2"/>
          </rPr>
          <t>LPA:</t>
        </r>
        <r>
          <rPr>
            <sz val="9"/>
            <color indexed="81"/>
            <rFont val="Tahoma"/>
            <family val="2"/>
          </rPr>
          <t xml:space="preserve">
проверити збир!
</t>
        </r>
      </text>
    </comment>
    <comment ref="I13927" authorId="0">
      <text>
        <r>
          <rPr>
            <b/>
            <sz val="9"/>
            <color indexed="81"/>
            <rFont val="Tahoma"/>
            <family val="2"/>
          </rPr>
          <t>LPA:</t>
        </r>
        <r>
          <rPr>
            <sz val="9"/>
            <color indexed="81"/>
            <rFont val="Tahoma"/>
            <family val="2"/>
          </rPr>
          <t xml:space="preserve">
проверити збир!
</t>
        </r>
      </text>
    </comment>
    <comment ref="I13928" authorId="0">
      <text>
        <r>
          <rPr>
            <b/>
            <sz val="9"/>
            <color indexed="81"/>
            <rFont val="Tahoma"/>
            <family val="2"/>
          </rPr>
          <t>LPA:</t>
        </r>
        <r>
          <rPr>
            <sz val="9"/>
            <color indexed="81"/>
            <rFont val="Tahoma"/>
            <family val="2"/>
          </rPr>
          <t xml:space="preserve">
проверити збир!
</t>
        </r>
      </text>
    </comment>
    <comment ref="I13929" authorId="0">
      <text>
        <r>
          <rPr>
            <b/>
            <sz val="9"/>
            <color indexed="81"/>
            <rFont val="Tahoma"/>
            <family val="2"/>
          </rPr>
          <t>LPA:</t>
        </r>
        <r>
          <rPr>
            <sz val="9"/>
            <color indexed="81"/>
            <rFont val="Tahoma"/>
            <family val="2"/>
          </rPr>
          <t xml:space="preserve">
проверити збир!
</t>
        </r>
      </text>
    </comment>
    <comment ref="I13930" authorId="0">
      <text>
        <r>
          <rPr>
            <b/>
            <sz val="9"/>
            <color indexed="81"/>
            <rFont val="Tahoma"/>
            <family val="2"/>
          </rPr>
          <t>LPA:</t>
        </r>
        <r>
          <rPr>
            <sz val="9"/>
            <color indexed="81"/>
            <rFont val="Tahoma"/>
            <family val="2"/>
          </rPr>
          <t xml:space="preserve">
проверити збир!
</t>
        </r>
      </text>
    </comment>
    <comment ref="I13931" authorId="0">
      <text>
        <r>
          <rPr>
            <b/>
            <sz val="9"/>
            <color indexed="81"/>
            <rFont val="Tahoma"/>
            <family val="2"/>
          </rPr>
          <t>LPA:</t>
        </r>
        <r>
          <rPr>
            <sz val="9"/>
            <color indexed="81"/>
            <rFont val="Tahoma"/>
            <family val="2"/>
          </rPr>
          <t xml:space="preserve">
проверити збир!
</t>
        </r>
      </text>
    </comment>
    <comment ref="I13932" authorId="0">
      <text>
        <r>
          <rPr>
            <b/>
            <sz val="9"/>
            <color indexed="81"/>
            <rFont val="Tahoma"/>
            <family val="2"/>
          </rPr>
          <t>LPA:</t>
        </r>
        <r>
          <rPr>
            <sz val="9"/>
            <color indexed="81"/>
            <rFont val="Tahoma"/>
            <family val="2"/>
          </rPr>
          <t xml:space="preserve">
проверити збир!
</t>
        </r>
      </text>
    </comment>
    <comment ref="I13933" authorId="0">
      <text>
        <r>
          <rPr>
            <b/>
            <sz val="9"/>
            <color indexed="81"/>
            <rFont val="Tahoma"/>
            <family val="2"/>
          </rPr>
          <t>LPA:</t>
        </r>
        <r>
          <rPr>
            <sz val="9"/>
            <color indexed="81"/>
            <rFont val="Tahoma"/>
            <family val="2"/>
          </rPr>
          <t xml:space="preserve">
проверити збир!
</t>
        </r>
      </text>
    </comment>
    <comment ref="I13934" authorId="0">
      <text>
        <r>
          <rPr>
            <b/>
            <sz val="9"/>
            <color indexed="81"/>
            <rFont val="Tahoma"/>
            <family val="2"/>
          </rPr>
          <t>LPA:</t>
        </r>
        <r>
          <rPr>
            <sz val="9"/>
            <color indexed="81"/>
            <rFont val="Tahoma"/>
            <family val="2"/>
          </rPr>
          <t xml:space="preserve">
проверити збир!
</t>
        </r>
      </text>
    </comment>
    <comment ref="I13935" authorId="0">
      <text>
        <r>
          <rPr>
            <b/>
            <sz val="9"/>
            <color indexed="81"/>
            <rFont val="Tahoma"/>
            <family val="2"/>
          </rPr>
          <t>LPA:</t>
        </r>
        <r>
          <rPr>
            <sz val="9"/>
            <color indexed="81"/>
            <rFont val="Tahoma"/>
            <family val="2"/>
          </rPr>
          <t xml:space="preserve">
проверити збир!
</t>
        </r>
      </text>
    </comment>
    <comment ref="I13936" authorId="0">
      <text>
        <r>
          <rPr>
            <b/>
            <sz val="9"/>
            <color indexed="81"/>
            <rFont val="Tahoma"/>
            <family val="2"/>
          </rPr>
          <t>LPA:</t>
        </r>
        <r>
          <rPr>
            <sz val="9"/>
            <color indexed="81"/>
            <rFont val="Tahoma"/>
            <family val="2"/>
          </rPr>
          <t xml:space="preserve">
проверити збир!
</t>
        </r>
      </text>
    </comment>
    <comment ref="I13937" authorId="0">
      <text>
        <r>
          <rPr>
            <b/>
            <sz val="9"/>
            <color indexed="81"/>
            <rFont val="Tahoma"/>
            <family val="2"/>
          </rPr>
          <t>LPA:</t>
        </r>
        <r>
          <rPr>
            <sz val="9"/>
            <color indexed="81"/>
            <rFont val="Tahoma"/>
            <family val="2"/>
          </rPr>
          <t xml:space="preserve">
проверити збир!
</t>
        </r>
      </text>
    </comment>
    <comment ref="I13938" authorId="0">
      <text>
        <r>
          <rPr>
            <b/>
            <sz val="9"/>
            <color indexed="81"/>
            <rFont val="Tahoma"/>
            <family val="2"/>
          </rPr>
          <t>LPA:</t>
        </r>
        <r>
          <rPr>
            <sz val="9"/>
            <color indexed="81"/>
            <rFont val="Tahoma"/>
            <family val="2"/>
          </rPr>
          <t xml:space="preserve">
проверити збир!
</t>
        </r>
      </text>
    </comment>
    <comment ref="H13942" authorId="0">
      <text>
        <r>
          <rPr>
            <b/>
            <sz val="9"/>
            <color indexed="81"/>
            <rFont val="Tahoma"/>
            <family val="2"/>
          </rPr>
          <t>LPA:</t>
        </r>
        <r>
          <rPr>
            <sz val="9"/>
            <color indexed="81"/>
            <rFont val="Tahoma"/>
            <family val="2"/>
          </rPr>
          <t xml:space="preserve">
провери збир!</t>
        </r>
      </text>
    </comment>
    <comment ref="I13942" authorId="0">
      <text>
        <r>
          <rPr>
            <b/>
            <sz val="9"/>
            <color indexed="81"/>
            <rFont val="Tahoma"/>
            <family val="2"/>
          </rPr>
          <t>LPA:</t>
        </r>
        <r>
          <rPr>
            <sz val="9"/>
            <color indexed="81"/>
            <rFont val="Tahoma"/>
            <family val="2"/>
          </rPr>
          <t xml:space="preserve">
проверити збир!
</t>
        </r>
      </text>
    </comment>
    <comment ref="I13943" authorId="0">
      <text>
        <r>
          <rPr>
            <b/>
            <sz val="9"/>
            <color indexed="81"/>
            <rFont val="Tahoma"/>
            <family val="2"/>
          </rPr>
          <t>LPA:</t>
        </r>
        <r>
          <rPr>
            <sz val="9"/>
            <color indexed="81"/>
            <rFont val="Tahoma"/>
            <family val="2"/>
          </rPr>
          <t xml:space="preserve">
проверити збир!
</t>
        </r>
      </text>
    </comment>
    <comment ref="I13944" authorId="0">
      <text>
        <r>
          <rPr>
            <b/>
            <sz val="9"/>
            <color indexed="81"/>
            <rFont val="Tahoma"/>
            <family val="2"/>
          </rPr>
          <t>LPA:</t>
        </r>
        <r>
          <rPr>
            <sz val="9"/>
            <color indexed="81"/>
            <rFont val="Tahoma"/>
            <family val="2"/>
          </rPr>
          <t xml:space="preserve">
проверити збир!
</t>
        </r>
      </text>
    </comment>
    <comment ref="I13945" authorId="0">
      <text>
        <r>
          <rPr>
            <b/>
            <sz val="9"/>
            <color indexed="81"/>
            <rFont val="Tahoma"/>
            <family val="2"/>
          </rPr>
          <t>LPA:</t>
        </r>
        <r>
          <rPr>
            <sz val="9"/>
            <color indexed="81"/>
            <rFont val="Tahoma"/>
            <family val="2"/>
          </rPr>
          <t xml:space="preserve">
проверити збир!
</t>
        </r>
      </text>
    </comment>
    <comment ref="I13946" authorId="0">
      <text>
        <r>
          <rPr>
            <b/>
            <sz val="9"/>
            <color indexed="81"/>
            <rFont val="Tahoma"/>
            <family val="2"/>
          </rPr>
          <t>LPA:</t>
        </r>
        <r>
          <rPr>
            <sz val="9"/>
            <color indexed="81"/>
            <rFont val="Tahoma"/>
            <family val="2"/>
          </rPr>
          <t xml:space="preserve">
проверити збир!
</t>
        </r>
      </text>
    </comment>
    <comment ref="I13947" authorId="0">
      <text>
        <r>
          <rPr>
            <b/>
            <sz val="9"/>
            <color indexed="81"/>
            <rFont val="Tahoma"/>
            <family val="2"/>
          </rPr>
          <t>LPA:</t>
        </r>
        <r>
          <rPr>
            <sz val="9"/>
            <color indexed="81"/>
            <rFont val="Tahoma"/>
            <family val="2"/>
          </rPr>
          <t xml:space="preserve">
проверити збир!
</t>
        </r>
      </text>
    </comment>
    <comment ref="I13948" authorId="0">
      <text>
        <r>
          <rPr>
            <b/>
            <sz val="9"/>
            <color indexed="81"/>
            <rFont val="Tahoma"/>
            <family val="2"/>
          </rPr>
          <t>LPA:</t>
        </r>
        <r>
          <rPr>
            <sz val="9"/>
            <color indexed="81"/>
            <rFont val="Tahoma"/>
            <family val="2"/>
          </rPr>
          <t xml:space="preserve">
проверити збир!
</t>
        </r>
      </text>
    </comment>
    <comment ref="I13949" authorId="0">
      <text>
        <r>
          <rPr>
            <b/>
            <sz val="9"/>
            <color indexed="81"/>
            <rFont val="Tahoma"/>
            <family val="2"/>
          </rPr>
          <t>LPA:</t>
        </r>
        <r>
          <rPr>
            <sz val="9"/>
            <color indexed="81"/>
            <rFont val="Tahoma"/>
            <family val="2"/>
          </rPr>
          <t xml:space="preserve">
проверити збир!
</t>
        </r>
      </text>
    </comment>
    <comment ref="I13950" authorId="0">
      <text>
        <r>
          <rPr>
            <b/>
            <sz val="9"/>
            <color indexed="81"/>
            <rFont val="Tahoma"/>
            <family val="2"/>
          </rPr>
          <t>LPA:</t>
        </r>
        <r>
          <rPr>
            <sz val="9"/>
            <color indexed="81"/>
            <rFont val="Tahoma"/>
            <family val="2"/>
          </rPr>
          <t xml:space="preserve">
проверити збир!
</t>
        </r>
      </text>
    </comment>
    <comment ref="I13951" authorId="0">
      <text>
        <r>
          <rPr>
            <b/>
            <sz val="9"/>
            <color indexed="81"/>
            <rFont val="Tahoma"/>
            <family val="2"/>
          </rPr>
          <t>LPA:</t>
        </r>
        <r>
          <rPr>
            <sz val="9"/>
            <color indexed="81"/>
            <rFont val="Tahoma"/>
            <family val="2"/>
          </rPr>
          <t xml:space="preserve">
проверити збир!
</t>
        </r>
      </text>
    </comment>
    <comment ref="I13952" authorId="0">
      <text>
        <r>
          <rPr>
            <b/>
            <sz val="9"/>
            <color indexed="81"/>
            <rFont val="Tahoma"/>
            <family val="2"/>
          </rPr>
          <t>LPA:</t>
        </r>
        <r>
          <rPr>
            <sz val="9"/>
            <color indexed="81"/>
            <rFont val="Tahoma"/>
            <family val="2"/>
          </rPr>
          <t xml:space="preserve">
проверити збир!
</t>
        </r>
      </text>
    </comment>
    <comment ref="I13953" authorId="0">
      <text>
        <r>
          <rPr>
            <b/>
            <sz val="9"/>
            <color indexed="81"/>
            <rFont val="Tahoma"/>
            <family val="2"/>
          </rPr>
          <t>LPA:</t>
        </r>
        <r>
          <rPr>
            <sz val="9"/>
            <color indexed="81"/>
            <rFont val="Tahoma"/>
            <family val="2"/>
          </rPr>
          <t xml:space="preserve">
проверити збир!
</t>
        </r>
      </text>
    </comment>
    <comment ref="I13954" authorId="0">
      <text>
        <r>
          <rPr>
            <b/>
            <sz val="9"/>
            <color indexed="81"/>
            <rFont val="Tahoma"/>
            <family val="2"/>
          </rPr>
          <t>LPA:</t>
        </r>
        <r>
          <rPr>
            <sz val="9"/>
            <color indexed="81"/>
            <rFont val="Tahoma"/>
            <family val="2"/>
          </rPr>
          <t xml:space="preserve">
проверити збир!
</t>
        </r>
      </text>
    </comment>
    <comment ref="I13955" authorId="0">
      <text>
        <r>
          <rPr>
            <b/>
            <sz val="9"/>
            <color indexed="81"/>
            <rFont val="Tahoma"/>
            <family val="2"/>
          </rPr>
          <t>LPA:</t>
        </r>
        <r>
          <rPr>
            <sz val="9"/>
            <color indexed="81"/>
            <rFont val="Tahoma"/>
            <family val="2"/>
          </rPr>
          <t xml:space="preserve">
проверити збир!
</t>
        </r>
      </text>
    </comment>
    <comment ref="I13956" authorId="0">
      <text>
        <r>
          <rPr>
            <b/>
            <sz val="9"/>
            <color indexed="81"/>
            <rFont val="Tahoma"/>
            <family val="2"/>
          </rPr>
          <t>LPA:</t>
        </r>
        <r>
          <rPr>
            <sz val="9"/>
            <color indexed="81"/>
            <rFont val="Tahoma"/>
            <family val="2"/>
          </rPr>
          <t xml:space="preserve">
проверити збир!
</t>
        </r>
      </text>
    </comment>
    <comment ref="I13957" authorId="0">
      <text>
        <r>
          <rPr>
            <b/>
            <sz val="9"/>
            <color indexed="81"/>
            <rFont val="Tahoma"/>
            <family val="2"/>
          </rPr>
          <t>LPA:</t>
        </r>
        <r>
          <rPr>
            <sz val="9"/>
            <color indexed="81"/>
            <rFont val="Tahoma"/>
            <family val="2"/>
          </rPr>
          <t xml:space="preserve">
проверити збир!
</t>
        </r>
      </text>
    </comment>
    <comment ref="H13961" authorId="0">
      <text>
        <r>
          <rPr>
            <b/>
            <sz val="9"/>
            <color indexed="81"/>
            <rFont val="Tahoma"/>
            <family val="2"/>
          </rPr>
          <t>LPA:</t>
        </r>
        <r>
          <rPr>
            <sz val="9"/>
            <color indexed="81"/>
            <rFont val="Tahoma"/>
            <family val="2"/>
          </rPr>
          <t xml:space="preserve">
провери збир!</t>
        </r>
      </text>
    </comment>
    <comment ref="I13961" authorId="0">
      <text>
        <r>
          <rPr>
            <b/>
            <sz val="9"/>
            <color indexed="81"/>
            <rFont val="Tahoma"/>
            <family val="2"/>
          </rPr>
          <t>LPA:</t>
        </r>
        <r>
          <rPr>
            <sz val="9"/>
            <color indexed="81"/>
            <rFont val="Tahoma"/>
            <family val="2"/>
          </rPr>
          <t xml:space="preserve">
проверити збир!
</t>
        </r>
      </text>
    </comment>
    <comment ref="I13962" authorId="0">
      <text>
        <r>
          <rPr>
            <b/>
            <sz val="9"/>
            <color indexed="81"/>
            <rFont val="Tahoma"/>
            <family val="2"/>
          </rPr>
          <t>LPA:</t>
        </r>
        <r>
          <rPr>
            <sz val="9"/>
            <color indexed="81"/>
            <rFont val="Tahoma"/>
            <family val="2"/>
          </rPr>
          <t xml:space="preserve">
проверити збир!
</t>
        </r>
      </text>
    </comment>
    <comment ref="I13963" authorId="0">
      <text>
        <r>
          <rPr>
            <b/>
            <sz val="9"/>
            <color indexed="81"/>
            <rFont val="Tahoma"/>
            <family val="2"/>
          </rPr>
          <t>LPA:</t>
        </r>
        <r>
          <rPr>
            <sz val="9"/>
            <color indexed="81"/>
            <rFont val="Tahoma"/>
            <family val="2"/>
          </rPr>
          <t xml:space="preserve">
проверити збир!
</t>
        </r>
      </text>
    </comment>
    <comment ref="I13964" authorId="0">
      <text>
        <r>
          <rPr>
            <b/>
            <sz val="9"/>
            <color indexed="81"/>
            <rFont val="Tahoma"/>
            <family val="2"/>
          </rPr>
          <t>LPA:</t>
        </r>
        <r>
          <rPr>
            <sz val="9"/>
            <color indexed="81"/>
            <rFont val="Tahoma"/>
            <family val="2"/>
          </rPr>
          <t xml:space="preserve">
проверити збир!
</t>
        </r>
      </text>
    </comment>
    <comment ref="I13965" authorId="0">
      <text>
        <r>
          <rPr>
            <b/>
            <sz val="9"/>
            <color indexed="81"/>
            <rFont val="Tahoma"/>
            <family val="2"/>
          </rPr>
          <t>LPA:</t>
        </r>
        <r>
          <rPr>
            <sz val="9"/>
            <color indexed="81"/>
            <rFont val="Tahoma"/>
            <family val="2"/>
          </rPr>
          <t xml:space="preserve">
проверити збир!
</t>
        </r>
      </text>
    </comment>
    <comment ref="I13966" authorId="0">
      <text>
        <r>
          <rPr>
            <b/>
            <sz val="9"/>
            <color indexed="81"/>
            <rFont val="Tahoma"/>
            <family val="2"/>
          </rPr>
          <t>LPA:</t>
        </r>
        <r>
          <rPr>
            <sz val="9"/>
            <color indexed="81"/>
            <rFont val="Tahoma"/>
            <family val="2"/>
          </rPr>
          <t xml:space="preserve">
проверити збир!
</t>
        </r>
      </text>
    </comment>
    <comment ref="I13967" authorId="0">
      <text>
        <r>
          <rPr>
            <b/>
            <sz val="9"/>
            <color indexed="81"/>
            <rFont val="Tahoma"/>
            <family val="2"/>
          </rPr>
          <t>LPA:</t>
        </r>
        <r>
          <rPr>
            <sz val="9"/>
            <color indexed="81"/>
            <rFont val="Tahoma"/>
            <family val="2"/>
          </rPr>
          <t xml:space="preserve">
проверити збир!
</t>
        </r>
      </text>
    </comment>
    <comment ref="I13968" authorId="0">
      <text>
        <r>
          <rPr>
            <b/>
            <sz val="9"/>
            <color indexed="81"/>
            <rFont val="Tahoma"/>
            <family val="2"/>
          </rPr>
          <t>LPA:</t>
        </r>
        <r>
          <rPr>
            <sz val="9"/>
            <color indexed="81"/>
            <rFont val="Tahoma"/>
            <family val="2"/>
          </rPr>
          <t xml:space="preserve">
проверити збир!
</t>
        </r>
      </text>
    </comment>
    <comment ref="I13969" authorId="0">
      <text>
        <r>
          <rPr>
            <b/>
            <sz val="9"/>
            <color indexed="81"/>
            <rFont val="Tahoma"/>
            <family val="2"/>
          </rPr>
          <t>LPA:</t>
        </r>
        <r>
          <rPr>
            <sz val="9"/>
            <color indexed="81"/>
            <rFont val="Tahoma"/>
            <family val="2"/>
          </rPr>
          <t xml:space="preserve">
проверити збир!
</t>
        </r>
      </text>
    </comment>
    <comment ref="I13970" authorId="0">
      <text>
        <r>
          <rPr>
            <b/>
            <sz val="9"/>
            <color indexed="81"/>
            <rFont val="Tahoma"/>
            <family val="2"/>
          </rPr>
          <t>LPA:</t>
        </r>
        <r>
          <rPr>
            <sz val="9"/>
            <color indexed="81"/>
            <rFont val="Tahoma"/>
            <family val="2"/>
          </rPr>
          <t xml:space="preserve">
проверити збир!
</t>
        </r>
      </text>
    </comment>
    <comment ref="I13971" authorId="0">
      <text>
        <r>
          <rPr>
            <b/>
            <sz val="9"/>
            <color indexed="81"/>
            <rFont val="Tahoma"/>
            <family val="2"/>
          </rPr>
          <t>LPA:</t>
        </r>
        <r>
          <rPr>
            <sz val="9"/>
            <color indexed="81"/>
            <rFont val="Tahoma"/>
            <family val="2"/>
          </rPr>
          <t xml:space="preserve">
проверити збир!
</t>
        </r>
      </text>
    </comment>
    <comment ref="I13972" authorId="0">
      <text>
        <r>
          <rPr>
            <b/>
            <sz val="9"/>
            <color indexed="81"/>
            <rFont val="Tahoma"/>
            <family val="2"/>
          </rPr>
          <t>LPA:</t>
        </r>
        <r>
          <rPr>
            <sz val="9"/>
            <color indexed="81"/>
            <rFont val="Tahoma"/>
            <family val="2"/>
          </rPr>
          <t xml:space="preserve">
проверити збир!
</t>
        </r>
      </text>
    </comment>
    <comment ref="I13973" authorId="0">
      <text>
        <r>
          <rPr>
            <b/>
            <sz val="9"/>
            <color indexed="81"/>
            <rFont val="Tahoma"/>
            <family val="2"/>
          </rPr>
          <t>LPA:</t>
        </r>
        <r>
          <rPr>
            <sz val="9"/>
            <color indexed="81"/>
            <rFont val="Tahoma"/>
            <family val="2"/>
          </rPr>
          <t xml:space="preserve">
проверити збир!
</t>
        </r>
      </text>
    </comment>
    <comment ref="I13974" authorId="0">
      <text>
        <r>
          <rPr>
            <b/>
            <sz val="9"/>
            <color indexed="81"/>
            <rFont val="Tahoma"/>
            <family val="2"/>
          </rPr>
          <t>LPA:</t>
        </r>
        <r>
          <rPr>
            <sz val="9"/>
            <color indexed="81"/>
            <rFont val="Tahoma"/>
            <family val="2"/>
          </rPr>
          <t xml:space="preserve">
проверити збир!
</t>
        </r>
      </text>
    </comment>
    <comment ref="I13975" authorId="0">
      <text>
        <r>
          <rPr>
            <b/>
            <sz val="9"/>
            <color indexed="81"/>
            <rFont val="Tahoma"/>
            <family val="2"/>
          </rPr>
          <t>LPA:</t>
        </r>
        <r>
          <rPr>
            <sz val="9"/>
            <color indexed="81"/>
            <rFont val="Tahoma"/>
            <family val="2"/>
          </rPr>
          <t xml:space="preserve">
проверити збир!
</t>
        </r>
      </text>
    </comment>
    <comment ref="I13976" authorId="0">
      <text>
        <r>
          <rPr>
            <b/>
            <sz val="9"/>
            <color indexed="81"/>
            <rFont val="Tahoma"/>
            <family val="2"/>
          </rPr>
          <t>LPA:</t>
        </r>
        <r>
          <rPr>
            <sz val="9"/>
            <color indexed="81"/>
            <rFont val="Tahoma"/>
            <family val="2"/>
          </rPr>
          <t xml:space="preserve">
проверити збир!
</t>
        </r>
      </text>
    </comment>
    <comment ref="H13981" authorId="0">
      <text>
        <r>
          <rPr>
            <b/>
            <sz val="9"/>
            <color indexed="81"/>
            <rFont val="Tahoma"/>
            <family val="2"/>
          </rPr>
          <t>LPA:</t>
        </r>
        <r>
          <rPr>
            <sz val="9"/>
            <color indexed="81"/>
            <rFont val="Tahoma"/>
            <family val="2"/>
          </rPr>
          <t xml:space="preserve">
провери збир!</t>
        </r>
      </text>
    </comment>
    <comment ref="I13981" authorId="0">
      <text>
        <r>
          <rPr>
            <b/>
            <sz val="9"/>
            <color indexed="81"/>
            <rFont val="Tahoma"/>
            <family val="2"/>
          </rPr>
          <t>LPA:</t>
        </r>
        <r>
          <rPr>
            <sz val="9"/>
            <color indexed="81"/>
            <rFont val="Tahoma"/>
            <family val="2"/>
          </rPr>
          <t xml:space="preserve">
проверити збир!
</t>
        </r>
      </text>
    </comment>
    <comment ref="I13982" authorId="0">
      <text>
        <r>
          <rPr>
            <b/>
            <sz val="9"/>
            <color indexed="81"/>
            <rFont val="Tahoma"/>
            <family val="2"/>
          </rPr>
          <t>LPA:</t>
        </r>
        <r>
          <rPr>
            <sz val="9"/>
            <color indexed="81"/>
            <rFont val="Tahoma"/>
            <family val="2"/>
          </rPr>
          <t xml:space="preserve">
проверити збир!
</t>
        </r>
      </text>
    </comment>
    <comment ref="I13983" authorId="0">
      <text>
        <r>
          <rPr>
            <b/>
            <sz val="9"/>
            <color indexed="81"/>
            <rFont val="Tahoma"/>
            <family val="2"/>
          </rPr>
          <t>LPA:</t>
        </r>
        <r>
          <rPr>
            <sz val="9"/>
            <color indexed="81"/>
            <rFont val="Tahoma"/>
            <family val="2"/>
          </rPr>
          <t xml:space="preserve">
проверити збир!
</t>
        </r>
      </text>
    </comment>
    <comment ref="I13984" authorId="0">
      <text>
        <r>
          <rPr>
            <b/>
            <sz val="9"/>
            <color indexed="81"/>
            <rFont val="Tahoma"/>
            <family val="2"/>
          </rPr>
          <t>LPA:</t>
        </r>
        <r>
          <rPr>
            <sz val="9"/>
            <color indexed="81"/>
            <rFont val="Tahoma"/>
            <family val="2"/>
          </rPr>
          <t xml:space="preserve">
проверити збир!
</t>
        </r>
      </text>
    </comment>
    <comment ref="I13985" authorId="0">
      <text>
        <r>
          <rPr>
            <b/>
            <sz val="9"/>
            <color indexed="81"/>
            <rFont val="Tahoma"/>
            <family val="2"/>
          </rPr>
          <t>LPA:</t>
        </r>
        <r>
          <rPr>
            <sz val="9"/>
            <color indexed="81"/>
            <rFont val="Tahoma"/>
            <family val="2"/>
          </rPr>
          <t xml:space="preserve">
проверити збир!
</t>
        </r>
      </text>
    </comment>
    <comment ref="I13986" authorId="0">
      <text>
        <r>
          <rPr>
            <b/>
            <sz val="9"/>
            <color indexed="81"/>
            <rFont val="Tahoma"/>
            <family val="2"/>
          </rPr>
          <t>LPA:</t>
        </r>
        <r>
          <rPr>
            <sz val="9"/>
            <color indexed="81"/>
            <rFont val="Tahoma"/>
            <family val="2"/>
          </rPr>
          <t xml:space="preserve">
проверити збир!
</t>
        </r>
      </text>
    </comment>
    <comment ref="I13987" authorId="0">
      <text>
        <r>
          <rPr>
            <b/>
            <sz val="9"/>
            <color indexed="81"/>
            <rFont val="Tahoma"/>
            <family val="2"/>
          </rPr>
          <t>LPA:</t>
        </r>
        <r>
          <rPr>
            <sz val="9"/>
            <color indexed="81"/>
            <rFont val="Tahoma"/>
            <family val="2"/>
          </rPr>
          <t xml:space="preserve">
проверити збир!
</t>
        </r>
      </text>
    </comment>
    <comment ref="I13988" authorId="0">
      <text>
        <r>
          <rPr>
            <b/>
            <sz val="9"/>
            <color indexed="81"/>
            <rFont val="Tahoma"/>
            <family val="2"/>
          </rPr>
          <t>LPA:</t>
        </r>
        <r>
          <rPr>
            <sz val="9"/>
            <color indexed="81"/>
            <rFont val="Tahoma"/>
            <family val="2"/>
          </rPr>
          <t xml:space="preserve">
проверити збир!
</t>
        </r>
      </text>
    </comment>
    <comment ref="I13989" authorId="0">
      <text>
        <r>
          <rPr>
            <b/>
            <sz val="9"/>
            <color indexed="81"/>
            <rFont val="Tahoma"/>
            <family val="2"/>
          </rPr>
          <t>LPA:</t>
        </r>
        <r>
          <rPr>
            <sz val="9"/>
            <color indexed="81"/>
            <rFont val="Tahoma"/>
            <family val="2"/>
          </rPr>
          <t xml:space="preserve">
проверити збир!
</t>
        </r>
      </text>
    </comment>
    <comment ref="I13990" authorId="0">
      <text>
        <r>
          <rPr>
            <b/>
            <sz val="9"/>
            <color indexed="81"/>
            <rFont val="Tahoma"/>
            <family val="2"/>
          </rPr>
          <t>LPA:</t>
        </r>
        <r>
          <rPr>
            <sz val="9"/>
            <color indexed="81"/>
            <rFont val="Tahoma"/>
            <family val="2"/>
          </rPr>
          <t xml:space="preserve">
проверити збир!
</t>
        </r>
      </text>
    </comment>
    <comment ref="I13991" authorId="0">
      <text>
        <r>
          <rPr>
            <b/>
            <sz val="9"/>
            <color indexed="81"/>
            <rFont val="Tahoma"/>
            <family val="2"/>
          </rPr>
          <t>LPA:</t>
        </r>
        <r>
          <rPr>
            <sz val="9"/>
            <color indexed="81"/>
            <rFont val="Tahoma"/>
            <family val="2"/>
          </rPr>
          <t xml:space="preserve">
проверити збир!
</t>
        </r>
      </text>
    </comment>
    <comment ref="I13992" authorId="0">
      <text>
        <r>
          <rPr>
            <b/>
            <sz val="9"/>
            <color indexed="81"/>
            <rFont val="Tahoma"/>
            <family val="2"/>
          </rPr>
          <t>LPA:</t>
        </r>
        <r>
          <rPr>
            <sz val="9"/>
            <color indexed="81"/>
            <rFont val="Tahoma"/>
            <family val="2"/>
          </rPr>
          <t xml:space="preserve">
проверити збир!
</t>
        </r>
      </text>
    </comment>
    <comment ref="I13993" authorId="0">
      <text>
        <r>
          <rPr>
            <b/>
            <sz val="9"/>
            <color indexed="81"/>
            <rFont val="Tahoma"/>
            <family val="2"/>
          </rPr>
          <t>LPA:</t>
        </r>
        <r>
          <rPr>
            <sz val="9"/>
            <color indexed="81"/>
            <rFont val="Tahoma"/>
            <family val="2"/>
          </rPr>
          <t xml:space="preserve">
проверити збир!
</t>
        </r>
      </text>
    </comment>
    <comment ref="I13994" authorId="0">
      <text>
        <r>
          <rPr>
            <b/>
            <sz val="9"/>
            <color indexed="81"/>
            <rFont val="Tahoma"/>
            <family val="2"/>
          </rPr>
          <t>LPA:</t>
        </r>
        <r>
          <rPr>
            <sz val="9"/>
            <color indexed="81"/>
            <rFont val="Tahoma"/>
            <family val="2"/>
          </rPr>
          <t xml:space="preserve">
проверити збир!
</t>
        </r>
      </text>
    </comment>
    <comment ref="I13995" authorId="0">
      <text>
        <r>
          <rPr>
            <b/>
            <sz val="9"/>
            <color indexed="81"/>
            <rFont val="Tahoma"/>
            <family val="2"/>
          </rPr>
          <t>LPA:</t>
        </r>
        <r>
          <rPr>
            <sz val="9"/>
            <color indexed="81"/>
            <rFont val="Tahoma"/>
            <family val="2"/>
          </rPr>
          <t xml:space="preserve">
проверити збир!
</t>
        </r>
      </text>
    </comment>
    <comment ref="I13996" authorId="0">
      <text>
        <r>
          <rPr>
            <b/>
            <sz val="9"/>
            <color indexed="81"/>
            <rFont val="Tahoma"/>
            <family val="2"/>
          </rPr>
          <t>LPA:</t>
        </r>
        <r>
          <rPr>
            <sz val="9"/>
            <color indexed="81"/>
            <rFont val="Tahoma"/>
            <family val="2"/>
          </rPr>
          <t xml:space="preserve">
проверити збир!
</t>
        </r>
      </text>
    </comment>
  </commentList>
</comments>
</file>

<file path=xl/sharedStrings.xml><?xml version="1.0" encoding="utf-8"?>
<sst xmlns="http://schemas.openxmlformats.org/spreadsheetml/2006/main" count="24641" uniqueCount="5407">
  <si>
    <t>А.</t>
  </si>
  <si>
    <t>РАЧУН ПРИХОДА И ПРИМАЊА</t>
  </si>
  <si>
    <t>Економска класификација</t>
  </si>
  <si>
    <t>Укупни приходи и примања остварени по основу продаје нефинансијске имовине</t>
  </si>
  <si>
    <t>7 + 8</t>
  </si>
  <si>
    <t>Укупни расходи и издаци за набавку нефинансијске имовине</t>
  </si>
  <si>
    <t>4 + 5</t>
  </si>
  <si>
    <t>Буџетски суфицит/дефицит</t>
  </si>
  <si>
    <t>(7+8) - (4+5)</t>
  </si>
  <si>
    <t xml:space="preserve">Укупан фискални суфицит/дефицит </t>
  </si>
  <si>
    <t>Б.</t>
  </si>
  <si>
    <t xml:space="preserve"> РАЧУН ФИНАНСИРАЊА</t>
  </si>
  <si>
    <t>Примања од задуживања</t>
  </si>
  <si>
    <t>Издаци за отплату главнице дуга</t>
  </si>
  <si>
    <t>Нето финансирање</t>
  </si>
  <si>
    <t>1.</t>
  </si>
  <si>
    <t>2.</t>
  </si>
  <si>
    <t>3.</t>
  </si>
  <si>
    <t>4.</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</si>
  <si>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</si>
  <si>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</si>
  <si>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</si>
  <si>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</si>
  <si>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</si>
  <si>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</si>
  <si>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</si>
  <si>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</si>
  <si>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</si>
  <si>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</si>
  <si>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</si>
  <si>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</si>
  <si>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</si>
  <si>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</si>
  <si>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</si>
  <si>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</si>
  <si>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</si>
  <si>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</si>
  <si>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</si>
  <si>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</si>
  <si>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</si>
  <si>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</si>
  <si>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</si>
  <si>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</si>
  <si>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</si>
  <si>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</si>
  <si>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</si>
  <si>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</si>
  <si>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</si>
  <si>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</si>
  <si>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</si>
  <si>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</si>
  <si>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</si>
  <si>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</si>
  <si>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</si>
  <si>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</si>
  <si>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</si>
  <si>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</si>
  <si>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</si>
  <si>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</si>
  <si>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</si>
  <si>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</si>
  <si>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</si>
  <si>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</si>
  <si>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</si>
  <si>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</si>
  <si>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</si>
  <si>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</si>
  <si>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</si>
  <si>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</si>
  <si>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</si>
  <si>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</si>
  <si>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</si>
  <si>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</si>
  <si>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</si>
  <si>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</si>
  <si>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</si>
  <si>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</si>
  <si>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</si>
  <si>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</si>
  <si>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</si>
  <si>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</si>
  <si>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</si>
  <si>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</si>
  <si>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</si>
  <si>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</si>
  <si>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</si>
  <si>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</si>
  <si>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</si>
  <si>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</si>
  <si>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</si>
  <si>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</si>
  <si>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</si>
  <si>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</si>
  <si>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</si>
  <si>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</si>
  <si>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</si>
  <si>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</si>
  <si>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</si>
  <si>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</si>
  <si>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</si>
  <si>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</si>
  <si>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</si>
  <si>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</si>
  <si>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</si>
  <si>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</si>
  <si>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</si>
  <si>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</si>
  <si>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</si>
  <si>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</si>
  <si>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</si>
  <si>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</si>
  <si>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</si>
  <si>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</si>
  <si>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</si>
  <si>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</si>
  <si>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</si>
  <si>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</si>
  <si>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</si>
  <si>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</si>
  <si>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</si>
  <si>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</si>
  <si>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</si>
  <si>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</si>
  <si>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</si>
  <si>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</si>
  <si>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</si>
  <si>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</si>
  <si>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</si>
  <si>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</si>
  <si>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</si>
  <si>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</si>
  <si>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</si>
  <si>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</si>
  <si>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</si>
  <si>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</si>
  <si>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</si>
  <si>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</si>
  <si>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</si>
  <si>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</si>
  <si>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</si>
  <si>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</si>
  <si>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</si>
  <si>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</si>
  <si>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</si>
  <si>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</si>
  <si>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</si>
  <si>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</si>
  <si>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</si>
  <si>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</si>
  <si>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</si>
  <si>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</si>
  <si>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</si>
  <si>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</si>
  <si>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</si>
  <si>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</si>
  <si>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</si>
  <si>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</si>
  <si>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</si>
  <si>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</si>
  <si>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</si>
  <si>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</si>
  <si>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</si>
  <si>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</si>
  <si>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</si>
  <si>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</si>
  <si>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</si>
  <si>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</si>
  <si>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</si>
  <si>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</si>
  <si>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</si>
  <si>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</si>
  <si>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</si>
  <si>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</si>
  <si>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</si>
  <si>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</si>
  <si>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</si>
  <si>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</si>
  <si>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</si>
  <si>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</si>
  <si>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</si>
  <si>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</si>
  <si>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</si>
  <si>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</si>
  <si>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</si>
  <si>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</si>
  <si>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</si>
  <si>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</si>
  <si>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</si>
  <si>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</si>
  <si>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</si>
  <si>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</si>
  <si>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</si>
  <si>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</si>
  <si>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</si>
  <si>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</si>
  <si>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</si>
  <si>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</si>
  <si>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</si>
  <si>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</si>
  <si>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</si>
  <si>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</si>
  <si>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</si>
  <si>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</si>
  <si>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</si>
  <si>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</si>
  <si>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</si>
  <si>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</si>
  <si>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</si>
  <si>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</si>
  <si>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</si>
  <si>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</si>
  <si>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</si>
  <si>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</si>
  <si>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</si>
  <si>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</si>
  <si>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</si>
  <si>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</si>
  <si>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</si>
  <si>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</si>
  <si>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</si>
  <si>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</si>
  <si>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</si>
  <si>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</si>
  <si>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</si>
  <si>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</si>
  <si>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</si>
  <si>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</si>
  <si>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</si>
  <si>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</si>
  <si>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</si>
  <si>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</si>
  <si>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</si>
  <si>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</si>
  <si>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</si>
  <si>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</si>
  <si>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</si>
  <si>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</si>
  <si>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</si>
  <si>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</si>
  <si>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</si>
  <si>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</si>
  <si>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</si>
  <si>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</si>
  <si>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</si>
  <si>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</si>
  <si>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</si>
  <si>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</si>
  <si>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</si>
  <si>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</si>
  <si>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</si>
  <si>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</si>
  <si>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</si>
  <si>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</si>
  <si>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</si>
  <si>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</si>
  <si>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</si>
  <si>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</si>
  <si>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</si>
  <si>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</si>
  <si>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</si>
  <si>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</si>
  <si>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</si>
  <si>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</si>
  <si>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</si>
  <si>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</si>
  <si>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</si>
  <si>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</si>
  <si>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</si>
  <si>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</si>
  <si>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</si>
  <si>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</si>
  <si>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</si>
  <si>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</si>
  <si>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</si>
  <si>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</si>
  <si>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</si>
  <si>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</si>
  <si>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</si>
  <si>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</si>
  <si>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</si>
  <si>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</si>
  <si>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</si>
  <si>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</si>
  <si>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</si>
  <si>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</si>
  <si>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</si>
  <si>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</si>
  <si>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</si>
  <si>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</si>
  <si>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</si>
  <si>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</si>
  <si>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</si>
  <si>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</si>
  <si>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</si>
  <si>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</si>
  <si>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</si>
  <si>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</si>
  <si>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</si>
  <si>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</si>
  <si>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</si>
  <si>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</si>
  <si>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</si>
  <si>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</si>
  <si>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</si>
  <si>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</si>
  <si>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</si>
  <si>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</si>
  <si>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</si>
  <si>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</si>
  <si>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</si>
  <si>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</si>
  <si>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</si>
  <si>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</si>
  <si>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</si>
  <si>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</si>
  <si>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</si>
  <si>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</si>
  <si>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</si>
  <si>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</si>
  <si>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</si>
  <si>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</si>
  <si>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</si>
  <si>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</si>
  <si>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</si>
  <si>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</si>
  <si>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</si>
  <si>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</si>
  <si>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</si>
  <si>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</si>
  <si>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</si>
  <si>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</si>
  <si>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</si>
  <si>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</si>
  <si>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</si>
  <si>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</si>
  <si>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</si>
  <si>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</si>
  <si>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</si>
  <si>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</si>
  <si>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</si>
  <si>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</si>
  <si>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</si>
  <si>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</si>
  <si>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</si>
  <si>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</si>
  <si>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</si>
  <si>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</si>
  <si>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</si>
  <si>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</si>
  <si>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</si>
  <si>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</si>
  <si>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</si>
  <si>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</si>
  <si>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</si>
  <si>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</si>
  <si>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</si>
  <si>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</si>
  <si>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</si>
  <si>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</si>
  <si>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</si>
  <si>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</si>
  <si>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</si>
  <si>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</si>
  <si>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</si>
  <si>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</si>
  <si>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</si>
  <si>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</si>
  <si>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</si>
  <si>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</si>
  <si>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</si>
  <si>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</si>
  <si>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</si>
  <si>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</si>
  <si>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</si>
  <si>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</si>
  <si>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</si>
  <si>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</si>
  <si>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</si>
  <si>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</si>
  <si>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</si>
  <si>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</si>
  <si>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</si>
  <si>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</si>
  <si>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</si>
  <si>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</si>
  <si>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</si>
  <si>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</si>
  <si>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</si>
  <si>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</si>
  <si>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</si>
  <si>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</si>
  <si>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</si>
  <si>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</si>
  <si>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</si>
  <si>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</si>
  <si>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</si>
  <si>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</si>
  <si>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</si>
  <si>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</si>
  <si>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</si>
  <si>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</si>
  <si>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</si>
  <si>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</si>
  <si>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</si>
  <si>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</si>
  <si>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</si>
  <si>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</si>
  <si>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</si>
  <si>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</si>
  <si>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</si>
  <si>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</si>
  <si>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</si>
  <si>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</si>
  <si>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</si>
  <si>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</si>
  <si>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</si>
  <si>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</si>
  <si>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</si>
  <si>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</si>
  <si>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</si>
  <si>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</si>
  <si>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</si>
  <si>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</si>
  <si>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</si>
  <si>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</si>
  <si>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</si>
  <si>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</si>
  <si>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</si>
  <si>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</si>
  <si>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</si>
  <si>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</si>
  <si>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</si>
  <si>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</si>
  <si>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</si>
  <si>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</si>
  <si>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</si>
  <si>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</si>
  <si>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</si>
  <si>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</si>
  <si>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</si>
  <si>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</si>
  <si>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</si>
  <si>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</si>
  <si>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</si>
  <si>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</si>
  <si>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</si>
  <si>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</si>
  <si>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</si>
  <si>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</si>
  <si>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</si>
  <si>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</si>
  <si>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</si>
  <si>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</si>
  <si>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</si>
  <si>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</si>
  <si>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</si>
  <si>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</si>
  <si>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</si>
  <si>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</si>
  <si>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</si>
  <si>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</si>
  <si>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</si>
  <si>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</si>
  <si>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</si>
  <si>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</si>
  <si>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</si>
  <si>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</si>
  <si>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</si>
  <si>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</si>
  <si>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</si>
  <si>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</si>
  <si>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</si>
  <si>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</si>
  <si>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</si>
  <si>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</si>
  <si>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</si>
  <si>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</si>
  <si>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</si>
  <si>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</si>
  <si>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</si>
  <si>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</si>
  <si>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</si>
  <si>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</si>
  <si>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</si>
  <si>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</si>
  <si>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</si>
  <si>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</si>
  <si>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</si>
  <si>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</si>
  <si>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</si>
  <si>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</si>
  <si>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</si>
  <si>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</si>
  <si>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</si>
  <si>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</si>
  <si>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</si>
  <si>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</si>
  <si>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</si>
  <si>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</si>
  <si>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</si>
  <si>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</si>
  <si>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</si>
  <si>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</si>
  <si>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</si>
  <si>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</si>
  <si>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</si>
  <si>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</si>
  <si>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</si>
  <si>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</si>
  <si>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</si>
  <si>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</si>
  <si>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</si>
  <si>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</si>
  <si>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</si>
  <si>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</si>
  <si>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</si>
  <si>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</si>
  <si>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</si>
  <si>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</si>
  <si>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</si>
  <si>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</si>
  <si>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</si>
  <si>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</si>
  <si>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</si>
  <si>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</si>
  <si>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</si>
  <si>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</si>
  <si>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</si>
  <si>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</si>
  <si>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</si>
  <si>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</si>
  <si>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</si>
  <si>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</si>
  <si>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</si>
  <si>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</si>
  <si>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</si>
  <si>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</si>
  <si>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</si>
  <si>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</si>
  <si>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</si>
  <si>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</si>
  <si>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</si>
  <si>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</si>
  <si>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</si>
  <si>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</si>
  <si>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</si>
  <si>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</si>
  <si>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</si>
  <si>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</si>
  <si>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</si>
  <si>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</si>
  <si>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</si>
  <si>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</si>
  <si>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</si>
  <si>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</si>
  <si>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</si>
  <si>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</si>
  <si>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</si>
  <si>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</si>
  <si>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</si>
  <si>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</si>
  <si>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</si>
  <si>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</si>
  <si>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</si>
  <si>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</si>
  <si>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</si>
  <si>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</si>
  <si>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</si>
  <si>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</si>
  <si>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</si>
  <si>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</si>
  <si>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</si>
  <si>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</si>
  <si>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</si>
  <si>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</si>
  <si>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</si>
  <si>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</si>
  <si>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</si>
  <si>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</si>
  <si>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</si>
  <si>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</si>
  <si>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</si>
  <si>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</si>
  <si>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</si>
  <si>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</si>
  <si>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</si>
  <si>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</si>
  <si>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</si>
  <si>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</si>
  <si>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</si>
  <si>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</si>
  <si>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</si>
  <si>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</si>
  <si>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</si>
  <si>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</si>
  <si>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</si>
  <si>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</si>
  <si>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</si>
  <si>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</si>
  <si>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</si>
  <si>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</si>
  <si>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</si>
  <si>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</si>
  <si>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</si>
  <si>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</si>
  <si>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</si>
  <si>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</si>
  <si>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</si>
  <si>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</si>
  <si>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</si>
  <si>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</si>
  <si>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</si>
  <si>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</si>
  <si>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</si>
  <si>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</si>
  <si>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</si>
  <si>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</si>
  <si>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</si>
  <si>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</si>
  <si>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</si>
  <si>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</si>
  <si>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</si>
  <si>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</si>
  <si>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</si>
  <si>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</si>
  <si>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</si>
  <si>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</si>
  <si>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</si>
  <si>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</si>
  <si>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</si>
  <si>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</si>
  <si>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</si>
  <si>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</si>
  <si>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</si>
  <si>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</si>
  <si>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</si>
  <si>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</si>
  <si>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</si>
  <si>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</si>
  <si>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</si>
  <si>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</si>
  <si>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</si>
  <si>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</si>
  <si>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</si>
  <si>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</si>
  <si>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</si>
  <si>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</si>
  <si>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</si>
  <si>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</si>
  <si>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</si>
  <si>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</si>
  <si>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</si>
  <si>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</si>
  <si>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</si>
  <si>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</si>
  <si>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</si>
  <si>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</si>
  <si>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</si>
  <si>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</si>
  <si>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</si>
  <si>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</si>
  <si>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</si>
  <si>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</si>
  <si>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</si>
  <si>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</si>
  <si>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</si>
  <si>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</si>
  <si>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</si>
  <si>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</si>
  <si>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</si>
  <si>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</si>
  <si>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</si>
  <si>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</si>
  <si>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</si>
  <si>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</si>
  <si>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</si>
  <si>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</si>
  <si>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</si>
  <si>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</si>
  <si>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</si>
  <si>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</si>
  <si>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</si>
  <si>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</si>
  <si>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</si>
  <si>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</si>
  <si>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</si>
  <si>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</si>
  <si>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</si>
  <si>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</si>
  <si>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</si>
  <si>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</si>
  <si>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</si>
  <si>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</si>
  <si>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</si>
  <si>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</si>
  <si>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</si>
  <si>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</si>
  <si>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</si>
  <si>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</si>
  <si>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</si>
  <si>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</si>
  <si>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</si>
  <si>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</si>
  <si>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</si>
  <si>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</si>
  <si>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</si>
  <si>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</si>
  <si>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</si>
  <si>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</si>
  <si>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</si>
  <si>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</si>
  <si>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</si>
  <si>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</si>
  <si>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</si>
  <si>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</si>
  <si>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</si>
  <si>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</si>
  <si>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</si>
  <si>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</si>
  <si>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</si>
  <si>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</si>
  <si>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</si>
  <si>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</si>
  <si>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</si>
  <si>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</si>
  <si>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</si>
  <si>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</si>
  <si>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</si>
  <si>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</si>
  <si>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</si>
  <si>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</si>
  <si>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</si>
  <si>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</si>
  <si>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</si>
  <si>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</si>
  <si>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</si>
  <si>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</si>
  <si>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</si>
  <si>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</si>
  <si>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</si>
  <si>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</si>
  <si>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</si>
  <si>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</si>
  <si>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</si>
  <si>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</si>
  <si>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</si>
  <si>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</si>
  <si>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</si>
  <si>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</si>
  <si>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</si>
  <si>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</si>
  <si>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</si>
  <si>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</si>
  <si>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</si>
  <si>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</si>
  <si>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</si>
  <si>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</si>
  <si>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</si>
  <si>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</si>
  <si>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</si>
  <si>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</si>
  <si>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</si>
  <si>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</si>
  <si>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</si>
  <si>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</si>
  <si>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</si>
  <si>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</si>
  <si>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</si>
  <si>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</si>
  <si>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</si>
  <si>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</si>
  <si>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</si>
  <si>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</si>
  <si>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</si>
  <si>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</si>
  <si>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</si>
  <si>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</si>
  <si>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</si>
  <si>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</si>
  <si>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</si>
  <si>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</si>
  <si>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</si>
  <si>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</si>
  <si>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</si>
  <si>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</si>
  <si>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</si>
  <si>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</si>
  <si>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</si>
  <si>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</si>
  <si>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</si>
  <si>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</si>
  <si>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</si>
  <si>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</si>
  <si>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</si>
  <si>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</si>
  <si>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</si>
  <si>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</si>
  <si>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</si>
  <si>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</si>
  <si>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</si>
  <si>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</si>
  <si>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</si>
  <si>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</si>
  <si>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</si>
  <si>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</si>
  <si>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</si>
  <si>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</si>
  <si>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</si>
  <si>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</si>
  <si>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</si>
  <si>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</si>
  <si>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</si>
  <si>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</si>
  <si>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</si>
  <si>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</si>
  <si>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</si>
  <si>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</si>
  <si>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</si>
  <si>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</si>
  <si>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</si>
  <si>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</si>
  <si>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</si>
  <si>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</si>
  <si>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</si>
  <si>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</si>
  <si>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</si>
  <si>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</si>
  <si>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</si>
  <si>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</si>
  <si>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</si>
  <si>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</si>
  <si>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</si>
  <si>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</si>
  <si>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</si>
  <si>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</si>
  <si>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</si>
  <si>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</si>
  <si>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</si>
  <si>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</si>
  <si>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</si>
  <si>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</si>
  <si>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</si>
  <si>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</si>
  <si>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</si>
  <si>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</si>
  <si>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</si>
  <si>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</si>
  <si>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</si>
  <si>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</si>
  <si>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</si>
  <si>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</si>
  <si>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</si>
  <si>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</si>
  <si>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</si>
  <si>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</si>
  <si>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</si>
  <si>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</si>
  <si>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</si>
  <si>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</si>
  <si>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</si>
  <si>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</si>
  <si>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</si>
  <si>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</si>
  <si>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</si>
  <si>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</si>
  <si>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</si>
  <si>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</si>
  <si>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</si>
  <si>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</si>
  <si>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</si>
  <si>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</si>
  <si>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</si>
  <si>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</si>
  <si>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</si>
  <si>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</si>
  <si>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</si>
  <si>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</si>
  <si>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</si>
  <si>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</si>
  <si>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</si>
  <si>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</si>
  <si>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</si>
  <si>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</si>
  <si>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</si>
  <si>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</si>
  <si>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</si>
  <si>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</si>
  <si>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</si>
  <si>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</si>
  <si>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</si>
  <si>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</si>
  <si>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</si>
  <si>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</si>
  <si>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</si>
  <si>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</si>
  <si>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</si>
  <si>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</si>
  <si>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</si>
  <si>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</si>
  <si>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</si>
  <si>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</si>
  <si>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</si>
  <si>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</si>
  <si>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</si>
  <si>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</si>
  <si>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</si>
  <si>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</si>
  <si>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</si>
  <si>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</si>
  <si>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</si>
  <si>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</si>
  <si>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</si>
  <si>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</si>
  <si>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</si>
  <si>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</si>
  <si>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</si>
  <si>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</si>
  <si>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</si>
  <si>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</si>
  <si>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</si>
  <si>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</si>
  <si>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</si>
  <si>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</si>
  <si>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</si>
  <si>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</si>
  <si>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</si>
  <si>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</si>
  <si>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</si>
  <si>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</si>
  <si>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</si>
  <si>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</si>
  <si>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</si>
  <si>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</si>
  <si>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</si>
  <si>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</si>
  <si>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</si>
  <si>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</si>
  <si>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</si>
  <si>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</si>
  <si>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</si>
  <si>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</si>
  <si>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</si>
  <si>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</si>
  <si>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</si>
  <si>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</si>
  <si>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</si>
  <si>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</si>
  <si>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</si>
  <si>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</si>
  <si>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</si>
  <si>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</si>
  <si>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</si>
  <si>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</si>
  <si>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</si>
  <si>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</si>
  <si>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</si>
  <si>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</si>
  <si>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</si>
  <si>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</si>
  <si>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</si>
  <si>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</si>
  <si>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</si>
  <si>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</si>
  <si>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</si>
  <si>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</si>
  <si>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</si>
  <si>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</si>
  <si>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</si>
  <si>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</si>
  <si>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</si>
  <si>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</si>
  <si>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</si>
  <si>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</si>
  <si>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</si>
  <si>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</si>
  <si>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</si>
  <si>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</si>
  <si>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</si>
  <si>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</si>
  <si>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</si>
  <si>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</si>
  <si>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</si>
  <si>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</si>
  <si>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</si>
  <si>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</si>
  <si>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</si>
  <si>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</si>
  <si>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</si>
  <si>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</si>
  <si>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</si>
  <si>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</si>
  <si>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</si>
  <si>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</si>
  <si>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</si>
  <si>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</si>
  <si>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</si>
  <si>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</si>
  <si>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</si>
  <si>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</si>
  <si>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</si>
  <si>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</si>
  <si>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</si>
  <si>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</si>
  <si>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</si>
  <si>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</si>
  <si>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</si>
  <si>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</si>
  <si>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</si>
  <si>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</si>
  <si>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</si>
  <si>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</si>
  <si>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</si>
  <si>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</si>
  <si>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</si>
  <si>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</si>
  <si>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</si>
  <si>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</si>
  <si>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</si>
  <si>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</si>
  <si>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</si>
  <si>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</si>
  <si>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</si>
  <si>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</si>
  <si>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</si>
  <si>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</si>
  <si>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</si>
  <si>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</si>
  <si>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</si>
  <si>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</si>
  <si>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</si>
  <si>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</si>
  <si>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</si>
  <si>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</si>
  <si>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</si>
  <si>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</si>
  <si>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</si>
  <si>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</si>
  <si>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</si>
  <si>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</si>
  <si>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</si>
  <si>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</si>
  <si>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</si>
  <si>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</si>
  <si>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</si>
  <si>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</si>
  <si>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</si>
  <si>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</si>
  <si>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</si>
  <si>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</si>
  <si>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</si>
  <si>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</si>
  <si>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</si>
  <si>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</si>
  <si>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</si>
  <si>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</si>
  <si>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</si>
  <si>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</si>
  <si>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</si>
  <si>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</si>
  <si>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</si>
  <si>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</si>
  <si>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</si>
  <si>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</si>
  <si>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</si>
  <si>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</si>
  <si>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</si>
  <si>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</si>
  <si>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</si>
  <si>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</si>
  <si>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</si>
  <si>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</si>
  <si>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</si>
  <si>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</si>
  <si>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</si>
  <si>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</si>
  <si>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</si>
  <si>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</si>
  <si>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</si>
  <si>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</si>
  <si>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</si>
  <si>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</si>
  <si>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</si>
  <si>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</si>
  <si>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</si>
  <si>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</si>
  <si>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</si>
  <si>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</si>
  <si>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</si>
  <si>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</si>
  <si>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</si>
  <si>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</si>
  <si>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</si>
  <si>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</si>
  <si>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</si>
  <si>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</si>
  <si>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</si>
  <si>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</si>
  <si>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</si>
  <si>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</si>
  <si>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</si>
  <si>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</si>
  <si>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</si>
  <si>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</si>
  <si>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</si>
  <si>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</si>
  <si>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</si>
  <si>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</si>
  <si>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</si>
  <si>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</si>
  <si>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</si>
  <si>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</si>
  <si>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</si>
  <si>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</si>
  <si>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</si>
  <si>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</si>
  <si>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</si>
  <si>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</si>
  <si>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</si>
  <si>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</si>
  <si>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</si>
  <si>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</si>
  <si>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</si>
  <si>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</si>
  <si>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</si>
  <si>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</si>
  <si>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</si>
  <si>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</si>
  <si>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</si>
  <si>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</si>
  <si>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</si>
  <si>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</si>
  <si>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</si>
  <si>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</si>
  <si>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</si>
  <si>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</si>
  <si>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</si>
  <si>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</si>
  <si>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</si>
  <si>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</si>
  <si>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</si>
  <si>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</si>
  <si>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</si>
  <si>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</si>
  <si>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</si>
  <si>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</si>
  <si>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</si>
  <si>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</si>
  <si>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</si>
  <si>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</si>
  <si>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</si>
  <si>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</si>
  <si>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</si>
  <si>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</si>
  <si>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</si>
  <si>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</si>
  <si>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</si>
  <si>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</si>
  <si>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</si>
  <si>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</si>
  <si>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</si>
  <si>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</si>
  <si>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</si>
  <si>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</si>
  <si>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</si>
  <si>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</si>
  <si>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</si>
  <si>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</si>
  <si>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</si>
  <si>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</si>
  <si>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</si>
  <si>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</si>
  <si>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</si>
  <si>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</si>
  <si>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</si>
  <si>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</si>
  <si>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</si>
  <si>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</si>
  <si>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</si>
  <si>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</si>
  <si>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</si>
  <si>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</si>
  <si>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</si>
  <si>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</si>
  <si>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</si>
  <si>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</si>
  <si>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</si>
  <si>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</si>
  <si>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</si>
  <si>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</si>
  <si>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</si>
  <si>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</si>
  <si>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</si>
  <si>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</si>
  <si>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</si>
  <si>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</si>
  <si>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</si>
  <si>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</si>
  <si>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</si>
  <si>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</si>
  <si>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</si>
  <si>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</si>
  <si>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</si>
  <si>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</si>
  <si>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</si>
  <si>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</si>
  <si>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</si>
  <si>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</si>
  <si>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</si>
  <si>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</si>
  <si>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</si>
  <si>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</si>
  <si>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</si>
  <si>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</si>
  <si>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</si>
  <si>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</si>
  <si>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</si>
  <si>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</si>
  <si>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</si>
  <si>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</si>
  <si>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</si>
  <si>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</si>
  <si>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</si>
  <si>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</si>
  <si>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</si>
  <si>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</si>
  <si>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</si>
  <si>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</si>
  <si>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</si>
  <si>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</si>
  <si>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</si>
  <si>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</si>
  <si>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</si>
  <si>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</si>
  <si>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</si>
  <si>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</si>
  <si>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</si>
  <si>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</si>
  <si>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</si>
  <si>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</si>
  <si>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</si>
  <si>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</si>
  <si>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</si>
  <si>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</si>
  <si>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</si>
  <si>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</si>
  <si>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</si>
  <si>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</si>
  <si>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</si>
  <si>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</si>
  <si>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</si>
  <si>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</si>
  <si>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</si>
  <si>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</si>
  <si>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</si>
  <si>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</si>
  <si>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</si>
  <si>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</si>
  <si>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</si>
  <si>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</si>
  <si>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</si>
  <si>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</si>
  <si>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</si>
  <si>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</si>
  <si>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</si>
  <si>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</si>
  <si>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</si>
  <si>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</si>
  <si>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</si>
  <si>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</si>
  <si>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</si>
  <si>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</si>
  <si>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</si>
  <si>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</si>
  <si>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</si>
  <si>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</si>
  <si>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</si>
  <si>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</si>
  <si>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</si>
  <si>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</si>
  <si>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</si>
  <si>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</si>
  <si>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</si>
  <si>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</si>
  <si>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</si>
  <si>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</si>
  <si>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</si>
  <si>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</si>
  <si>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</si>
  <si>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</si>
  <si>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</si>
  <si>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</si>
  <si>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</si>
  <si>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</si>
  <si>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</si>
  <si>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</si>
  <si>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</si>
  <si>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</si>
  <si>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</si>
  <si>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</si>
  <si>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</si>
  <si>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</si>
  <si>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</si>
  <si>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</si>
  <si>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</si>
  <si>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</si>
  <si>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</si>
  <si>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</si>
  <si>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</si>
  <si>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</si>
  <si>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</si>
  <si>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</si>
  <si>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</si>
  <si>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</si>
  <si>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</si>
  <si>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</si>
  <si>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</si>
  <si>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</si>
  <si>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</si>
  <si>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</si>
  <si>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</si>
  <si>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</si>
  <si>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</si>
  <si>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</si>
  <si>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</si>
  <si>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</si>
  <si>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</si>
  <si>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</si>
  <si>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</si>
  <si>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</si>
  <si>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</si>
  <si>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</si>
  <si>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</si>
  <si>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</si>
  <si>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</si>
  <si>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</si>
  <si>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</si>
  <si>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</si>
  <si>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</si>
  <si>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</si>
  <si>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</si>
  <si>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</si>
  <si>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</si>
  <si>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</si>
  <si>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</si>
  <si>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</si>
  <si>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</si>
  <si>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</si>
  <si>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</si>
  <si>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</si>
  <si>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</si>
  <si>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</si>
  <si>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</si>
  <si>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</si>
  <si>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</si>
  <si>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</si>
  <si>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</si>
  <si>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</si>
  <si>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</si>
  <si>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</si>
  <si>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</si>
  <si>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</si>
  <si>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</si>
  <si>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</si>
  <si>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</si>
  <si>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</si>
  <si>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</si>
  <si>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</si>
  <si>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</si>
  <si>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</si>
  <si>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</si>
  <si>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</si>
  <si>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</si>
  <si>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</si>
  <si>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</si>
  <si>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</si>
  <si>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</si>
  <si>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</si>
  <si>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</si>
  <si>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</si>
  <si>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</si>
  <si>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</si>
  <si>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</si>
  <si>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</si>
  <si>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</si>
  <si>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</si>
  <si>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</si>
  <si>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</si>
  <si>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</si>
  <si>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</si>
  <si>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</si>
  <si>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</si>
  <si>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</si>
  <si>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</si>
  <si>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</si>
  <si>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</si>
  <si>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</si>
  <si>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</si>
  <si>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</si>
  <si>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</si>
  <si>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</si>
  <si>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</si>
  <si>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</si>
  <si>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</si>
  <si>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</si>
  <si>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</si>
  <si>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</si>
  <si>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</si>
  <si>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</si>
  <si>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</si>
  <si>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</si>
  <si>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</si>
  <si>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</si>
  <si>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</si>
  <si>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</si>
  <si>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</si>
  <si>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</si>
  <si>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</si>
  <si>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</si>
  <si>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</si>
  <si>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</si>
  <si>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</si>
  <si>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</si>
  <si>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</si>
  <si>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</si>
  <si>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</si>
  <si>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</si>
  <si>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</si>
  <si>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</si>
  <si>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</si>
  <si>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</si>
  <si>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</si>
  <si>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</si>
  <si>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</si>
  <si>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</si>
  <si>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</si>
  <si>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</si>
  <si>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</si>
  <si>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</si>
  <si>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</si>
  <si>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</si>
  <si>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</si>
  <si>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</si>
  <si>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</si>
  <si>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</si>
  <si>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</si>
  <si>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</si>
  <si>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</si>
  <si>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</si>
  <si>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</si>
  <si>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</si>
  <si>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</si>
  <si>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</si>
  <si>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</si>
  <si>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</si>
  <si>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</si>
  <si>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</si>
  <si>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</si>
  <si>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</si>
  <si>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</si>
  <si>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</si>
  <si>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</si>
  <si>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</si>
  <si>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</si>
  <si>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</si>
  <si>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</si>
  <si>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</si>
  <si>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</si>
  <si>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</si>
  <si>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</si>
  <si>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</si>
  <si>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</si>
  <si>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</si>
  <si>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</si>
  <si>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</si>
  <si>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</si>
  <si>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</si>
  <si>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</si>
  <si>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</si>
  <si>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</si>
  <si>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</si>
  <si>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</si>
  <si>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</si>
  <si>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</si>
  <si>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</si>
  <si>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</si>
  <si>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</si>
  <si>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</si>
  <si>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</si>
  <si>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</si>
  <si>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</si>
  <si>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</si>
  <si>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</si>
  <si>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</si>
  <si>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</si>
  <si>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</si>
  <si>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</si>
  <si>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</si>
  <si>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</si>
  <si>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</si>
  <si>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</si>
  <si>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</si>
  <si>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</si>
  <si>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</si>
  <si>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</si>
  <si>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</si>
  <si>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</si>
  <si>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</si>
  <si>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</si>
  <si>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</si>
  <si>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</si>
  <si>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</si>
  <si>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</si>
  <si>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</si>
  <si>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</si>
  <si>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</si>
  <si>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</si>
  <si>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</si>
  <si>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</si>
  <si>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</si>
  <si>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</si>
  <si>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</si>
  <si>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</si>
  <si>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</si>
  <si>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</si>
  <si>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</si>
  <si>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</si>
  <si>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</si>
  <si>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</si>
  <si>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</si>
  <si>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</si>
  <si>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</si>
  <si>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</si>
  <si>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</si>
  <si>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</si>
  <si>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</si>
  <si>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</si>
  <si>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</si>
  <si>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</si>
  <si>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</si>
  <si>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</si>
  <si>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</si>
  <si>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</si>
  <si>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</si>
  <si>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</si>
  <si>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</si>
  <si>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</si>
  <si>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</si>
  <si>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</si>
  <si>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</si>
  <si>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</si>
  <si>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</si>
  <si>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</si>
  <si>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</si>
  <si>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</si>
  <si>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</si>
  <si>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</si>
  <si>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</si>
  <si>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</si>
  <si>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</si>
  <si>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</si>
  <si>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</si>
  <si>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</si>
  <si>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</si>
  <si>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</si>
  <si>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</si>
  <si>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</si>
  <si>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</si>
  <si>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</si>
  <si>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</si>
  <si>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</si>
  <si>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</si>
  <si>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</si>
  <si>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</si>
  <si>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</si>
  <si>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</si>
  <si>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</si>
  <si>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</si>
  <si>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</si>
  <si>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</si>
  <si>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</si>
  <si>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</si>
  <si>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</si>
  <si>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</si>
  <si>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</si>
  <si>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</si>
  <si>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</si>
  <si>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</si>
  <si>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</si>
  <si>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</si>
  <si>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</si>
  <si>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</si>
  <si>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</si>
  <si>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</si>
  <si>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</si>
  <si>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</si>
  <si>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</si>
  <si>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</si>
  <si>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</si>
  <si>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</si>
  <si>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</si>
  <si>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</si>
  <si>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</si>
  <si>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</si>
  <si>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</si>
  <si>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</si>
  <si>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</si>
  <si>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</si>
  <si>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</si>
  <si>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</si>
  <si>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</si>
  <si>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</si>
  <si>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</si>
  <si>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</si>
  <si>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</si>
  <si>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</si>
  <si>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</si>
  <si>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</si>
  <si>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</si>
  <si>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</si>
  <si>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</si>
  <si>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</si>
  <si>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</si>
  <si>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</si>
  <si>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</si>
  <si>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</si>
  <si>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</si>
  <si>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</si>
  <si>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</si>
  <si>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</si>
  <si>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</si>
  <si>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</si>
  <si>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</si>
  <si>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</si>
  <si>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</si>
  <si>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</si>
  <si>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</si>
  <si>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</si>
  <si>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</si>
  <si>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</si>
  <si>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</si>
  <si>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</si>
  <si>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</si>
  <si>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</si>
  <si>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</si>
  <si>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</si>
  <si>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</si>
  <si>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</si>
  <si>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</si>
  <si>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</si>
  <si>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</si>
  <si>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</si>
  <si>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</si>
  <si>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</si>
  <si>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</si>
  <si>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</si>
  <si>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</si>
  <si>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</si>
  <si>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</si>
  <si>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</si>
  <si>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</si>
  <si>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</si>
  <si>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</si>
  <si>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</si>
  <si>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</si>
  <si>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</si>
  <si>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</si>
  <si>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</si>
  <si>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</si>
  <si>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</si>
  <si>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</si>
  <si>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</si>
  <si>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</si>
  <si>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</si>
  <si>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</si>
  <si>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</si>
  <si>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</si>
  <si>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</si>
  <si>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</si>
  <si>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</si>
  <si>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</si>
  <si>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</si>
  <si>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</si>
  <si>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</si>
  <si>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</si>
  <si>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</si>
  <si>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</si>
  <si>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</si>
  <si>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</si>
  <si>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</si>
  <si>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</si>
  <si>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</si>
  <si>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</si>
  <si>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</si>
  <si>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</si>
  <si>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</si>
  <si>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</si>
  <si>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</si>
  <si>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</si>
  <si>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</si>
  <si>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</si>
  <si>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</si>
  <si>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</si>
  <si>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</si>
  <si>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</si>
  <si>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</si>
  <si>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</si>
  <si>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</si>
  <si>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</si>
  <si>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</si>
  <si>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</si>
  <si>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</si>
  <si>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</si>
  <si>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</si>
  <si>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</si>
  <si>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</si>
  <si>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</si>
  <si>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</si>
  <si>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</si>
  <si>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</si>
  <si>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</si>
  <si>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</si>
  <si>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</si>
  <si>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</si>
  <si>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</si>
  <si>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</si>
  <si>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</si>
  <si>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</si>
  <si>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</si>
  <si>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</si>
  <si>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</si>
  <si>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</si>
  <si>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</si>
  <si>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</si>
  <si>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</si>
  <si>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</si>
  <si>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</si>
  <si>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</si>
  <si>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</si>
  <si>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</si>
  <si>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</si>
  <si>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</si>
  <si>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</si>
  <si>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</si>
  <si>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</si>
  <si>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</si>
  <si>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</si>
  <si>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</si>
  <si>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</si>
  <si>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</si>
  <si>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</si>
  <si>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</si>
  <si>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</si>
  <si>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</si>
  <si>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</si>
  <si>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</si>
  <si>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</si>
  <si>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</si>
  <si>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</si>
  <si>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</si>
  <si>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</si>
  <si>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</si>
  <si>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</si>
  <si>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</si>
  <si>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</si>
  <si>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</si>
  <si>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</si>
  <si>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</si>
  <si>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</si>
  <si>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</si>
  <si>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</si>
  <si>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</si>
  <si>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</si>
  <si>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</si>
  <si>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</si>
  <si>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</si>
  <si>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</si>
  <si>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</si>
  <si>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</si>
  <si>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</si>
  <si>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</si>
  <si>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</si>
  <si>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</si>
  <si>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</si>
  <si>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</si>
  <si>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</si>
  <si>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</si>
  <si>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</si>
  <si>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</si>
  <si>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</si>
  <si>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</si>
  <si>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</si>
  <si>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</si>
  <si>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</si>
  <si>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</si>
  <si>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</si>
  <si>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</si>
  <si>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</si>
  <si>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</si>
  <si>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</si>
  <si>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</si>
  <si>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</si>
  <si>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</si>
  <si>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</si>
  <si>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</si>
  <si>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</si>
  <si>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</si>
  <si>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</si>
  <si>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</si>
  <si>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</si>
  <si>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</si>
  <si>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</si>
  <si>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</si>
  <si>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</si>
  <si>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</si>
  <si>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</si>
  <si>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</si>
  <si>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</si>
  <si>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</si>
  <si>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</si>
  <si>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</si>
  <si>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</si>
  <si>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</si>
  <si>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</si>
  <si>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</si>
  <si>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</si>
  <si>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</si>
  <si>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</si>
  <si>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</si>
  <si>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</si>
  <si>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</si>
  <si>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</si>
  <si>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</si>
  <si>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</si>
  <si>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</si>
  <si>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</si>
  <si>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</si>
  <si>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</si>
  <si>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</si>
  <si>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</si>
  <si>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</si>
  <si>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</si>
  <si>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</si>
  <si>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</si>
  <si>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</si>
  <si>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</si>
  <si>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</si>
  <si>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</si>
  <si>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</si>
  <si>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</si>
  <si>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</si>
  <si>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</si>
  <si>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</si>
  <si>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</si>
  <si>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</si>
  <si>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</si>
  <si>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</si>
  <si>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</si>
  <si>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</si>
  <si>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</si>
  <si>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</si>
  <si>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</si>
  <si>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</si>
  <si>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</si>
  <si>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</si>
  <si>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</si>
  <si>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</si>
  <si>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</si>
  <si>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</si>
  <si>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</si>
  <si>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</si>
  <si>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</si>
  <si>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</si>
  <si>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</si>
  <si>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</si>
  <si>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</si>
  <si>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</si>
  <si>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</si>
  <si>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</si>
  <si>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</si>
  <si>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</si>
  <si>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</si>
  <si>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</si>
  <si>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</si>
  <si>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</si>
  <si>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</si>
  <si>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</si>
  <si>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</si>
  <si>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</si>
  <si>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</si>
  <si>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</si>
  <si>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</si>
  <si>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</si>
  <si>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</si>
  <si>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</si>
  <si>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</si>
  <si>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</si>
  <si>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</si>
  <si>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</si>
  <si>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</si>
  <si>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</si>
  <si>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</si>
  <si>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</si>
  <si>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</si>
  <si>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</si>
  <si>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</si>
  <si>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</si>
  <si>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</si>
  <si>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</si>
  <si>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</si>
  <si>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</si>
  <si>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</si>
  <si>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</si>
  <si>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</si>
  <si>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</si>
  <si>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</si>
  <si>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</si>
  <si>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</si>
  <si>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</si>
  <si>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</si>
  <si>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</si>
  <si>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</si>
  <si>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</si>
  <si>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</si>
  <si>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</si>
  <si>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</si>
  <si>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</si>
  <si>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</si>
  <si>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</si>
  <si>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</si>
  <si>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</si>
  <si>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</si>
  <si>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</si>
  <si>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</si>
  <si>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</si>
  <si>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</si>
  <si>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</si>
  <si>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</si>
  <si>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</si>
  <si>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</si>
  <si>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</si>
  <si>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</si>
  <si>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</si>
  <si>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</si>
  <si>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</si>
  <si>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</si>
  <si>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</si>
  <si>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</si>
  <si>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</si>
  <si>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</si>
  <si>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</si>
  <si>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</si>
  <si>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</si>
  <si>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</si>
  <si>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</si>
  <si>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</si>
  <si>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</si>
  <si>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</si>
  <si>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</si>
  <si>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</si>
  <si>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</si>
  <si>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</si>
  <si>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</si>
  <si>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</si>
  <si>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</si>
  <si>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</si>
  <si>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</si>
  <si>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</si>
  <si>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</si>
  <si>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</si>
  <si>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</si>
  <si>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</si>
  <si>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</si>
  <si>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</si>
  <si>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</si>
  <si>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</si>
  <si>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</si>
  <si>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</si>
  <si>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</si>
  <si>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</si>
  <si>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</si>
  <si>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</si>
  <si>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</si>
  <si>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</si>
  <si>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</si>
  <si>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</si>
  <si>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</si>
  <si>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</si>
  <si>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</si>
  <si>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</si>
  <si>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</si>
  <si>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</si>
  <si>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</si>
  <si>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</si>
  <si>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</si>
  <si>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</si>
  <si>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</si>
  <si>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</si>
  <si>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</si>
  <si>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</si>
  <si>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</si>
  <si>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</si>
  <si>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</si>
  <si>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</si>
  <si>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</si>
  <si>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</si>
  <si>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</si>
  <si>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</si>
  <si>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</si>
  <si>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</si>
  <si>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</si>
  <si>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</si>
  <si>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</si>
  <si>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</si>
  <si>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</si>
  <si>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</si>
  <si>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</si>
  <si>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</si>
  <si>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</si>
  <si>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</si>
  <si>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</si>
  <si>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</si>
  <si>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</si>
  <si>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</si>
  <si>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</si>
  <si>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</si>
  <si>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</si>
  <si>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</si>
  <si>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</si>
  <si>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</si>
  <si>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</si>
  <si>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</si>
  <si>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</si>
  <si>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</si>
  <si>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</si>
  <si>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</si>
  <si>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</si>
  <si>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</si>
  <si>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</si>
  <si>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</si>
  <si>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</si>
  <si>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</si>
  <si>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</si>
  <si>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</si>
  <si>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</si>
  <si>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</si>
  <si>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</si>
  <si>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</si>
  <si>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</si>
  <si>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</si>
  <si>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</si>
  <si>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</si>
  <si>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</si>
  <si>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</si>
  <si>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</si>
  <si>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</si>
  <si>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</si>
  <si>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</si>
  <si>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</si>
  <si>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</si>
  <si>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</si>
  <si>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</si>
  <si>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</si>
  <si>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</si>
  <si>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</si>
  <si>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</si>
  <si>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</si>
  <si>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</si>
  <si>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</si>
  <si>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</si>
  <si>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</si>
  <si>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</si>
  <si>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</si>
  <si>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</si>
  <si>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</si>
  <si>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</si>
  <si>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</si>
  <si>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</si>
  <si>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</si>
  <si>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</si>
  <si>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</si>
  <si>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</si>
  <si>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</si>
  <si>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</si>
  <si>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</si>
  <si>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</si>
  <si>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</si>
  <si>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</si>
  <si>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</si>
  <si>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</si>
  <si>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</si>
  <si>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</si>
  <si>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</si>
  <si>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</si>
  <si>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</si>
  <si>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</si>
  <si>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</si>
  <si>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</si>
  <si>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</si>
  <si>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</si>
  <si>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</si>
  <si>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</si>
  <si>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</si>
  <si>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</si>
  <si>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</si>
  <si>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</si>
  <si>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</si>
  <si>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</si>
  <si>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</si>
  <si>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</si>
  <si>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</si>
  <si>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</si>
  <si>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</si>
  <si>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</si>
  <si>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</si>
  <si>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</si>
  <si>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</si>
  <si>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</si>
  <si>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</si>
  <si>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</si>
  <si>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</si>
  <si>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</si>
  <si>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</si>
  <si>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</si>
  <si>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</si>
  <si>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</si>
  <si>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</si>
  <si>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</si>
  <si>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</si>
  <si>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</si>
  <si>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</si>
  <si>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</si>
  <si>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</si>
  <si>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</si>
  <si>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</si>
  <si>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</si>
  <si>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</si>
  <si>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</si>
  <si>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</si>
  <si>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</si>
  <si>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</si>
  <si>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</si>
  <si>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</si>
  <si>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</si>
  <si>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</si>
  <si>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</si>
  <si>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</si>
  <si>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</si>
  <si>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</si>
  <si>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</si>
  <si>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</si>
  <si>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</si>
  <si>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</si>
  <si>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</si>
  <si>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</si>
  <si>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</si>
  <si>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</si>
  <si>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</si>
  <si>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</si>
  <si>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</si>
  <si>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</si>
  <si>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</si>
  <si>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</si>
  <si>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</si>
  <si>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</si>
  <si>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</si>
  <si>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</si>
  <si>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</si>
  <si>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</si>
  <si>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</si>
  <si>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</si>
  <si>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</si>
  <si>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</si>
  <si>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</si>
  <si>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</si>
  <si>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</si>
  <si>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</si>
  <si>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</si>
  <si>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</si>
  <si>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</si>
  <si>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</si>
  <si>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</si>
  <si>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</si>
  <si>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</si>
  <si>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</si>
  <si>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</si>
  <si>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</si>
  <si>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</si>
  <si>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</si>
  <si>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</si>
  <si>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</si>
  <si>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</si>
  <si>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</si>
  <si>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</si>
  <si>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</si>
  <si>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</si>
  <si>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</si>
  <si>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</si>
  <si>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</si>
  <si>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</si>
  <si>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</si>
  <si>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</si>
  <si>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</si>
  <si>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</si>
  <si>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</si>
  <si>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</si>
  <si>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</si>
  <si>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</si>
  <si>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</si>
  <si>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</si>
  <si>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</si>
  <si>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</si>
  <si>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</si>
  <si>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</si>
  <si>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</si>
  <si>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</si>
  <si>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</si>
  <si>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</si>
  <si>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</si>
  <si>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</si>
  <si>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</si>
  <si>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</si>
  <si>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</si>
  <si>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</si>
  <si>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</si>
  <si>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</si>
  <si>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</si>
  <si>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</si>
  <si>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</si>
  <si>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</si>
  <si>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</si>
  <si>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</si>
  <si>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</si>
  <si>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</si>
  <si>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</si>
  <si>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</si>
  <si>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</si>
  <si>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</si>
  <si>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</si>
  <si>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</si>
  <si>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</si>
  <si>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</si>
  <si>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</si>
  <si>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</si>
  <si>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</si>
  <si>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</si>
  <si>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</si>
  <si>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</si>
  <si>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</si>
  <si>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</si>
  <si>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</si>
  <si>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</si>
  <si>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</si>
  <si>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</si>
  <si>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</si>
  <si>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</si>
  <si>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</si>
  <si>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</si>
  <si>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</si>
  <si>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</si>
  <si>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</si>
  <si>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</si>
  <si>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</si>
  <si>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</si>
  <si>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</si>
  <si>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</si>
  <si>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</si>
  <si>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</si>
  <si>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</si>
  <si>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</si>
  <si>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</si>
  <si>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</si>
  <si>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</si>
  <si>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</si>
  <si>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</si>
  <si>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</si>
  <si>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</si>
  <si>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</si>
  <si>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</si>
  <si>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</si>
  <si>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</si>
  <si>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</si>
  <si>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</si>
  <si>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</si>
  <si>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</si>
  <si>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</si>
  <si>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</si>
  <si>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</si>
  <si>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</si>
  <si>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</si>
  <si>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</si>
  <si>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</si>
  <si>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</si>
  <si>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</si>
  <si>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</si>
  <si>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</si>
  <si>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</si>
  <si>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</si>
  <si>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</si>
  <si>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</si>
  <si>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</si>
  <si>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</si>
  <si>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</si>
  <si>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</si>
  <si>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</si>
  <si>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</si>
  <si>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</si>
  <si>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</si>
  <si>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</si>
  <si>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</si>
  <si>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</si>
  <si>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</si>
  <si>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</si>
  <si>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</si>
  <si>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</si>
  <si>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</si>
  <si>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</si>
  <si>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</si>
  <si>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</si>
  <si>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</si>
  <si>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</si>
  <si>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</si>
  <si>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</si>
  <si>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</si>
  <si>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</si>
  <si>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</si>
  <si>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</si>
  <si>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</si>
  <si>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</si>
  <si>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</si>
  <si>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</si>
  <si>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</si>
  <si>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</si>
  <si>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</si>
  <si>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</si>
  <si>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</si>
  <si>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</si>
  <si>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</si>
  <si>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</si>
  <si>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</si>
  <si>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</si>
  <si>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</si>
  <si>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</si>
  <si>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</si>
  <si>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</si>
  <si>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</si>
  <si>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</si>
  <si>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</si>
  <si>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</si>
  <si>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</si>
  <si>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</si>
  <si>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</si>
  <si>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</si>
  <si>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</si>
  <si>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</si>
  <si>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</si>
  <si>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</si>
  <si>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</si>
  <si>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</si>
  <si>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</si>
  <si>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</si>
  <si>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</si>
  <si>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</si>
  <si>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</si>
  <si>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</si>
  <si>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</si>
  <si>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</si>
  <si>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</si>
  <si>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</si>
  <si>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</si>
  <si>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</si>
  <si>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</si>
  <si>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</si>
  <si>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</si>
  <si>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</si>
  <si>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</si>
  <si>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</si>
  <si>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</si>
  <si>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</si>
  <si>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</si>
  <si>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</si>
  <si>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</si>
  <si>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</si>
  <si>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</si>
  <si>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</si>
  <si>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</si>
  <si>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</si>
  <si>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</si>
  <si>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</si>
  <si>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</si>
  <si>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</si>
  <si>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</si>
  <si>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</si>
  <si>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</si>
  <si>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</si>
  <si>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</si>
  <si>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</si>
  <si>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</si>
  <si>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</si>
  <si>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</si>
  <si>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</si>
  <si>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</si>
  <si>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</si>
  <si>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</si>
  <si>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</si>
  <si>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</si>
  <si>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</si>
  <si>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</si>
  <si>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</si>
  <si>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</si>
  <si>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</si>
  <si>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</si>
  <si>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</si>
  <si>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</si>
  <si>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</si>
  <si>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</si>
  <si>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</si>
  <si>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</si>
  <si>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</si>
  <si>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</si>
  <si>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</si>
  <si>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</si>
  <si>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</si>
  <si>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</si>
  <si>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</si>
  <si>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</si>
  <si>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</si>
  <si>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</si>
  <si>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</si>
  <si>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</si>
  <si>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</si>
  <si>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</si>
  <si>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</si>
  <si>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</si>
  <si>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</si>
  <si>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</si>
  <si>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</si>
  <si>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</si>
  <si>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</si>
  <si>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</si>
  <si>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</si>
  <si>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</si>
  <si>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</si>
  <si>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</si>
  <si>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</si>
  <si>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</si>
  <si>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</si>
  <si>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</si>
  <si>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</si>
  <si>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</si>
  <si>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</si>
  <si>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</si>
  <si>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</si>
  <si>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</si>
  <si>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</si>
  <si>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</si>
  <si>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</si>
  <si>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</si>
  <si>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</si>
  <si>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</si>
  <si>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</si>
  <si>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</si>
  <si>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</si>
  <si>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</si>
  <si>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</si>
  <si>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</si>
  <si>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</si>
  <si>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</si>
  <si>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</si>
  <si>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</si>
  <si>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</si>
  <si>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</si>
  <si>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</si>
  <si>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</si>
  <si>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</si>
  <si>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</si>
  <si>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</si>
  <si>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</si>
  <si>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</si>
  <si>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</si>
  <si>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</si>
  <si>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</si>
  <si>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</si>
  <si>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</si>
  <si>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</si>
  <si>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</si>
  <si>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</si>
  <si>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</si>
  <si>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</si>
  <si>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</si>
  <si>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</si>
  <si>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</si>
  <si>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</si>
  <si>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</si>
  <si>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</si>
  <si>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</si>
  <si>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</si>
  <si>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</si>
  <si>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</si>
  <si>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</si>
  <si>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</si>
  <si>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</si>
  <si>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</si>
  <si>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</si>
  <si>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</si>
  <si>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</si>
  <si>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</si>
  <si>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</si>
  <si>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</si>
  <si>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</si>
  <si>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</si>
  <si>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</si>
  <si>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</si>
  <si>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</si>
  <si>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</si>
  <si>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</si>
  <si>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</si>
  <si>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</si>
  <si>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</si>
  <si>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</si>
  <si>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</si>
  <si>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</si>
  <si>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</si>
  <si>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</si>
  <si>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</si>
  <si>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</si>
  <si>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</si>
  <si>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</si>
  <si>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</si>
  <si>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</si>
  <si>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</si>
  <si>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</si>
  <si>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</si>
  <si>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</si>
  <si>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</si>
  <si>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</si>
  <si>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</si>
  <si>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</si>
  <si>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</si>
  <si>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</si>
  <si>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</si>
  <si>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</si>
  <si>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</si>
  <si>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</si>
  <si>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</si>
  <si>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</si>
  <si>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</si>
  <si>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</si>
  <si>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</si>
  <si>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</si>
  <si>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</si>
  <si>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</si>
  <si>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</si>
  <si>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</si>
  <si>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</si>
  <si>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</si>
  <si>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</si>
  <si>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</si>
  <si>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</si>
  <si>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</si>
  <si>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</si>
  <si>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</si>
  <si>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</si>
  <si>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</si>
  <si>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</si>
  <si>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</si>
  <si>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</si>
  <si>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</si>
  <si>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</si>
  <si>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</si>
  <si>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</si>
  <si>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</si>
  <si>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</si>
  <si>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</si>
  <si>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</si>
  <si>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</si>
  <si>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</si>
  <si>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</si>
  <si>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</si>
  <si>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</si>
  <si>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</si>
  <si>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</si>
  <si>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</si>
  <si>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</si>
  <si>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</si>
  <si>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</si>
  <si>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</si>
  <si>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</si>
  <si>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</si>
  <si>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</si>
  <si>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</si>
  <si>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</si>
  <si>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</si>
  <si>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</si>
  <si>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</si>
  <si>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</si>
  <si>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</si>
  <si>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</si>
  <si>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</si>
  <si>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</si>
  <si>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</si>
  <si>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</si>
  <si>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</si>
  <si>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</si>
  <si>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</si>
  <si>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</si>
  <si>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</si>
  <si>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</si>
  <si>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</si>
  <si>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</si>
  <si>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</si>
  <si>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</si>
  <si>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</si>
  <si>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</si>
  <si>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</si>
  <si>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</si>
  <si>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</si>
  <si>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</si>
  <si>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</si>
  <si>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</si>
  <si>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</si>
  <si>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</si>
  <si>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</si>
  <si>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</si>
  <si>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</si>
  <si>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</si>
  <si>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</si>
  <si>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</si>
  <si>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</si>
  <si>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732140</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</si>
  <si>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</si>
  <si>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</si>
  <si>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</si>
  <si>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</si>
  <si>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</si>
  <si>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</si>
  <si>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</si>
  <si>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</si>
  <si>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</si>
  <si>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</si>
  <si>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</si>
  <si>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</si>
  <si>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</si>
  <si>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</si>
  <si>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</si>
  <si>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</si>
  <si>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</si>
  <si>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</si>
  <si>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</si>
  <si>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</si>
  <si>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</si>
  <si>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</si>
  <si>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</si>
  <si>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</si>
  <si>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</si>
  <si>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</si>
  <si>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</si>
  <si>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</si>
  <si>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</si>
  <si>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</si>
  <si>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</si>
  <si>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</si>
  <si>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</si>
  <si>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</si>
  <si>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</si>
  <si>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</si>
  <si>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</si>
  <si>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</si>
  <si>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</si>
  <si>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</si>
  <si>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</si>
  <si>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</si>
  <si>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</si>
  <si>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</si>
  <si>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</si>
  <si>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</si>
  <si>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</si>
  <si>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</si>
  <si>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</si>
  <si>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</si>
  <si>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</si>
  <si>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</si>
  <si>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</si>
  <si>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</si>
  <si>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</si>
  <si>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</si>
  <si>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</si>
  <si>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</si>
  <si>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</si>
  <si>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</si>
  <si>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</si>
  <si>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</si>
  <si>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</si>
  <si>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</si>
  <si>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</si>
  <si>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</si>
  <si>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</si>
  <si>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</si>
  <si>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</si>
  <si>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</si>
  <si>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</si>
  <si>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</si>
  <si>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</si>
  <si>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</si>
  <si>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</si>
  <si>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</si>
  <si>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</si>
  <si>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</si>
  <si>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</si>
  <si>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</si>
  <si>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</si>
  <si>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</si>
  <si>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</si>
  <si>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</si>
  <si>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</si>
  <si>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</si>
  <si>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</si>
  <si>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</si>
  <si>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</si>
  <si>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</si>
  <si>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</si>
  <si>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</si>
  <si>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</si>
  <si>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</si>
  <si>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</si>
  <si>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</si>
  <si>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</si>
  <si>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</si>
  <si>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</si>
  <si>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</si>
  <si>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</si>
  <si>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</si>
  <si>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</si>
  <si>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</si>
  <si>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</si>
  <si>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</si>
  <si>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</si>
  <si>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</si>
  <si>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</si>
  <si>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</si>
  <si>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</si>
  <si>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</si>
  <si>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</si>
  <si>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</si>
  <si>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</si>
  <si>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</si>
  <si>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</si>
  <si>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</si>
  <si>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</si>
  <si>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</si>
  <si>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</si>
  <si>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741510</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</si>
  <si>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</si>
  <si>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</si>
  <si>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</si>
  <si>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</si>
  <si>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</si>
  <si>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</si>
  <si>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</si>
  <si>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</si>
  <si>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741520</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</si>
  <si>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</si>
  <si>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</si>
  <si>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</si>
  <si>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</si>
  <si>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</si>
  <si>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</si>
  <si>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</si>
  <si>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</si>
  <si>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</si>
  <si>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</si>
  <si>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</si>
  <si>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</si>
  <si>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</si>
  <si>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</si>
  <si>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</si>
  <si>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</si>
  <si>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</si>
  <si>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</si>
  <si>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</si>
  <si>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</si>
  <si>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</si>
  <si>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</si>
  <si>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</si>
  <si>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</si>
  <si>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</si>
  <si>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</si>
  <si>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</si>
  <si>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</si>
  <si>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</si>
  <si>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741560</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</si>
  <si>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</si>
  <si>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</si>
  <si>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</si>
  <si>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</si>
  <si>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</si>
  <si>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</si>
  <si>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</si>
  <si>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</si>
  <si>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</si>
  <si>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</si>
  <si>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</si>
  <si>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</si>
  <si>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</si>
  <si>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</si>
  <si>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</si>
  <si>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</si>
  <si>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</si>
  <si>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</si>
  <si>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</si>
  <si>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</si>
  <si>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</si>
  <si>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</si>
  <si>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</si>
  <si>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</si>
  <si>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</si>
  <si>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</si>
  <si>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</si>
  <si>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</si>
  <si>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</si>
  <si>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</si>
  <si>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</si>
  <si>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</si>
  <si>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</si>
  <si>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</si>
  <si>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</si>
  <si>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</si>
  <si>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</si>
  <si>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</si>
  <si>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</si>
  <si>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</si>
  <si>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</si>
  <si>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</si>
  <si>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</si>
  <si>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</si>
  <si>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</si>
  <si>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</si>
  <si>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</si>
  <si>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</si>
  <si>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</si>
  <si>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</si>
  <si>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</si>
  <si>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</si>
  <si>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</si>
  <si>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</si>
  <si>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</si>
  <si>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</si>
  <si>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</si>
  <si>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</si>
  <si>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</si>
  <si>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</si>
  <si>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</si>
  <si>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</si>
  <si>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</si>
  <si>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</si>
  <si>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</si>
  <si>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</si>
  <si>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</si>
  <si>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</si>
  <si>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</si>
  <si>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</si>
  <si>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</si>
  <si>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</si>
  <si>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</si>
  <si>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</si>
  <si>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</si>
  <si>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</si>
  <si>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</si>
  <si>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</si>
  <si>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</si>
  <si>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</si>
  <si>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</si>
  <si>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</si>
  <si>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</si>
  <si>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</si>
  <si>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</si>
  <si>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</si>
  <si>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</si>
  <si>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</si>
  <si>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</si>
  <si>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</si>
  <si>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</si>
  <si>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</si>
  <si>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</si>
  <si>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</si>
  <si>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</si>
  <si>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</si>
  <si>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</si>
  <si>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</si>
  <si>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</si>
  <si>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</si>
  <si>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</si>
  <si>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</si>
  <si>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</si>
  <si>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</si>
  <si>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</si>
  <si>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</si>
  <si>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</si>
  <si>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</si>
  <si>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</si>
  <si>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</si>
  <si>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</si>
  <si>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</si>
  <si>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</si>
  <si>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</si>
  <si>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</si>
  <si>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</si>
  <si>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</si>
  <si>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</si>
  <si>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</si>
  <si>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</si>
  <si>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</si>
  <si>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</si>
  <si>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</si>
  <si>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</si>
  <si>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</si>
  <si>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</si>
  <si>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</si>
  <si>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</si>
  <si>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</si>
  <si>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</si>
  <si>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</si>
  <si>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</si>
  <si>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</si>
  <si>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</si>
  <si>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</si>
  <si>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</si>
  <si>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</si>
  <si>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</si>
  <si>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</si>
  <si>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</si>
  <si>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</si>
  <si>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</si>
  <si>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</si>
  <si>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</si>
  <si>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</si>
  <si>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</si>
  <si>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</si>
  <si>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</si>
  <si>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</si>
  <si>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</si>
  <si>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</si>
  <si>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</si>
  <si>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</si>
  <si>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</si>
  <si>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</si>
  <si>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</si>
  <si>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</si>
  <si>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</si>
  <si>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</si>
  <si>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</si>
  <si>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743340</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</si>
  <si>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</si>
  <si>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</si>
  <si>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</si>
  <si>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</si>
  <si>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</si>
  <si>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</si>
  <si>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</si>
  <si>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</si>
  <si>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</si>
  <si>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</si>
  <si>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</si>
  <si>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</si>
  <si>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</si>
  <si>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</si>
  <si>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</si>
  <si>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</si>
  <si>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</si>
  <si>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</si>
  <si>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</si>
  <si>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</si>
  <si>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</si>
  <si>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</si>
  <si>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</si>
  <si>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</si>
  <si>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</si>
  <si>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</si>
  <si>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</si>
  <si>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</si>
  <si>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</si>
  <si>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</si>
  <si>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</si>
  <si>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</si>
  <si>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</si>
  <si>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</si>
  <si>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</si>
  <si>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</si>
  <si>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</si>
  <si>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</si>
  <si>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</si>
  <si>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</si>
  <si>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</si>
  <si>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</si>
  <si>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</si>
  <si>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</si>
  <si>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</si>
  <si>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</si>
  <si>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</si>
  <si>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</si>
  <si>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</si>
  <si>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</si>
  <si>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</si>
  <si>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</si>
  <si>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</si>
  <si>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</si>
  <si>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</si>
  <si>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</si>
  <si>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</si>
  <si>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</si>
  <si>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</si>
  <si>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</si>
  <si>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</si>
  <si>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744241</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</si>
  <si>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</si>
  <si>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</si>
  <si>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</si>
  <si>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</si>
  <si>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</si>
  <si>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</si>
  <si>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</si>
  <si>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</si>
  <si>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</si>
  <si>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</si>
  <si>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</si>
  <si>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</si>
  <si>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</si>
  <si>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</si>
  <si>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</si>
  <si>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</si>
  <si>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</si>
  <si>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</si>
  <si>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</si>
  <si>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</si>
  <si>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</si>
  <si>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</si>
  <si>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</si>
  <si>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</si>
  <si>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</si>
  <si>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</si>
  <si>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</si>
  <si>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 xml:space="preserve">Остали приходи у корист нивоа градова                                                                 </t>
  </si>
  <si>
    <t xml:space="preserve">Закупнина за стан у државној својини у корист нивоа градова                                                             </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</si>
  <si>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</si>
  <si>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</si>
  <si>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</si>
  <si>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</si>
  <si>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</si>
  <si>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</si>
  <si>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</si>
  <si>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</si>
  <si>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</si>
  <si>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</si>
  <si>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</si>
  <si>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</si>
  <si>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</si>
  <si>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</si>
  <si>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</si>
  <si>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771111</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</si>
  <si>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</si>
  <si>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</si>
  <si>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</si>
  <si>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</si>
  <si>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</si>
  <si>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</si>
  <si>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</si>
  <si>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</si>
  <si>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</si>
  <si>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</si>
  <si>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</si>
  <si>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</si>
  <si>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</si>
  <si>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</si>
  <si>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</si>
  <si>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</si>
  <si>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</si>
  <si>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</si>
  <si>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</si>
  <si>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</si>
  <si>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</si>
  <si>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</si>
  <si>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</si>
  <si>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</si>
  <si>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</si>
  <si>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</si>
  <si>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</si>
  <si>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</si>
  <si>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</si>
  <si>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790000</t>
  </si>
  <si>
    <t xml:space="preserve">Приходи из буџета                                                                    </t>
  </si>
  <si>
    <t>791110</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</si>
  <si>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</si>
  <si>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</si>
  <si>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</si>
  <si>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</si>
  <si>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</si>
  <si>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</si>
  <si>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</si>
  <si>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</si>
  <si>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</si>
  <si>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</si>
  <si>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</si>
  <si>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</si>
  <si>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</si>
  <si>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</si>
  <si>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</si>
  <si>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</si>
  <si>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</si>
  <si>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</si>
  <si>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</si>
  <si>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</si>
  <si>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</si>
  <si>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</si>
  <si>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</si>
  <si>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</si>
  <si>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</si>
  <si>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</si>
  <si>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</si>
  <si>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</si>
  <si>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</si>
  <si>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</si>
  <si>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</si>
  <si>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</si>
  <si>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</si>
  <si>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</si>
  <si>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</si>
  <si>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</si>
  <si>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</si>
  <si>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</si>
  <si>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</si>
  <si>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</si>
  <si>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</si>
  <si>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</si>
  <si>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</si>
  <si>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</si>
  <si>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</si>
  <si>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</si>
  <si>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</si>
  <si>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</si>
  <si>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</si>
  <si>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</si>
  <si>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</si>
  <si>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</si>
  <si>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</si>
  <si>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</si>
  <si>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</si>
  <si>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</si>
  <si>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</si>
  <si>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</si>
  <si>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</si>
  <si>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</si>
  <si>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</si>
  <si>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</si>
  <si>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</si>
  <si>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</si>
  <si>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</si>
  <si>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</si>
  <si>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</si>
  <si>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</si>
  <si>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</si>
  <si>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</si>
  <si>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</si>
  <si>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</si>
  <si>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</si>
  <si>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</si>
  <si>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</si>
  <si>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</si>
  <si>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</si>
  <si>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</si>
  <si>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</si>
  <si>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</si>
  <si>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</si>
  <si>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</si>
  <si>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</si>
  <si>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</si>
  <si>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</si>
  <si>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</si>
  <si>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</si>
  <si>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</si>
  <si>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</si>
  <si>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</si>
  <si>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</si>
  <si>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</si>
  <si>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</si>
  <si>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</si>
  <si>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</si>
  <si>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</si>
  <si>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</si>
  <si>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</si>
  <si>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</si>
  <si>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</si>
  <si>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</si>
  <si>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</si>
  <si>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</si>
  <si>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</si>
  <si>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</si>
  <si>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</si>
  <si>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</si>
  <si>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</si>
  <si>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</si>
  <si>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</si>
  <si>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</si>
  <si>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</si>
  <si>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</si>
  <si>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</si>
  <si>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</si>
  <si>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</si>
  <si>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</si>
  <si>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</si>
  <si>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</si>
  <si>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</si>
  <si>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</si>
  <si>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</si>
  <si>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</si>
  <si>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</si>
  <si>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</si>
  <si>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</si>
  <si>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</si>
  <si>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</si>
  <si>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</si>
  <si>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</si>
  <si>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</si>
  <si>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</si>
  <si>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</si>
  <si>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</si>
  <si>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</si>
  <si>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</si>
  <si>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</si>
  <si>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</si>
  <si>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</si>
  <si>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</si>
  <si>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</si>
  <si>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</si>
  <si>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</si>
  <si>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</si>
  <si>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</si>
  <si>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</si>
  <si>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</si>
  <si>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</si>
  <si>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</si>
  <si>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</si>
  <si>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</si>
  <si>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</si>
  <si>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</si>
  <si>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</si>
  <si>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</si>
  <si>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</si>
  <si>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</si>
  <si>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</si>
  <si>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</si>
  <si>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</si>
  <si>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</si>
  <si>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</si>
  <si>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</si>
  <si>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</si>
  <si>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</si>
  <si>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</si>
  <si>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</si>
  <si>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</si>
  <si>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</si>
  <si>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</si>
  <si>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</si>
  <si>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</si>
  <si>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</si>
  <si>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</si>
  <si>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</si>
  <si>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</si>
  <si>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</si>
  <si>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</si>
  <si>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</si>
  <si>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</si>
  <si>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</si>
  <si>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</si>
  <si>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</si>
  <si>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</si>
  <si>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</si>
  <si>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</si>
  <si>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</si>
  <si>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</si>
  <si>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</si>
  <si>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</si>
  <si>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</si>
  <si>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</si>
  <si>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</si>
  <si>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</si>
  <si>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</si>
  <si>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</si>
  <si>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</si>
  <si>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</si>
  <si>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</si>
  <si>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</si>
  <si>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</si>
  <si>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</si>
  <si>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</si>
  <si>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</si>
  <si>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</si>
  <si>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</si>
  <si>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</si>
  <si>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</si>
  <si>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</si>
  <si>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</si>
  <si>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</si>
  <si>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</si>
  <si>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</si>
  <si>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</si>
  <si>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</si>
  <si>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</si>
  <si>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</si>
  <si>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</si>
  <si>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</si>
  <si>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</si>
  <si>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</si>
  <si>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</si>
  <si>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</si>
  <si>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</si>
  <si>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</si>
  <si>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</si>
  <si>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</si>
  <si>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</si>
  <si>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</si>
  <si>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</si>
  <si>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</si>
  <si>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</si>
  <si>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</si>
  <si>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</si>
  <si>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</si>
  <si>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</si>
  <si>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</si>
  <si>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</si>
  <si>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</si>
  <si>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</si>
  <si>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</si>
  <si>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</si>
  <si>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</si>
  <si>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</si>
  <si>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</si>
  <si>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</si>
  <si>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</si>
  <si>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</si>
  <si>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</si>
  <si>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</si>
  <si>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</si>
  <si>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</si>
  <si>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</si>
  <si>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</si>
  <si>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</si>
  <si>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</si>
  <si>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</si>
  <si>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</si>
  <si>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</si>
  <si>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</si>
  <si>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</si>
  <si>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</si>
  <si>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</si>
  <si>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</si>
  <si>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</si>
  <si>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</si>
  <si>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</si>
  <si>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</si>
  <si>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</si>
  <si>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</si>
  <si>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</si>
  <si>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</si>
  <si>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</si>
  <si>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</si>
  <si>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</si>
  <si>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</si>
  <si>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</si>
  <si>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</si>
  <si>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</si>
  <si>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</si>
  <si>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</si>
  <si>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</si>
  <si>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</si>
  <si>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</si>
  <si>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</si>
  <si>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</si>
  <si>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</si>
  <si>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</si>
  <si>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</si>
  <si>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</si>
  <si>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</si>
  <si>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</si>
  <si>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</si>
  <si>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</si>
  <si>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</si>
  <si>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</si>
  <si>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</si>
  <si>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</si>
  <si>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</si>
  <si>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</si>
  <si>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</si>
  <si>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</si>
  <si>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</si>
  <si>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</si>
  <si>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</si>
  <si>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</si>
  <si>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</si>
  <si>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</si>
  <si>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</si>
  <si>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</si>
  <si>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</si>
  <si>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</si>
  <si>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</si>
  <si>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</si>
  <si>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</si>
  <si>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</si>
  <si>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</si>
  <si>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</si>
  <si>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</si>
  <si>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</si>
  <si>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</si>
  <si>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</si>
  <si>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</si>
  <si>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</si>
  <si>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</si>
  <si>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</si>
  <si>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</si>
  <si>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</si>
  <si>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</si>
  <si>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</si>
  <si>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</si>
  <si>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</si>
  <si>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</si>
  <si>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</si>
  <si>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</si>
  <si>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</si>
  <si>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</si>
  <si>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</si>
  <si>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</si>
  <si>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</si>
  <si>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</si>
  <si>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</si>
  <si>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</si>
  <si>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</si>
  <si>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</si>
  <si>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</si>
  <si>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</si>
  <si>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</si>
  <si>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</si>
  <si>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</si>
  <si>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</si>
  <si>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</si>
  <si>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</si>
  <si>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</si>
  <si>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</si>
  <si>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</si>
  <si>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</si>
  <si>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</si>
  <si>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</si>
  <si>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</si>
  <si>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</si>
  <si>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</si>
  <si>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</si>
  <si>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</si>
  <si>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</si>
  <si>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</si>
  <si>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</si>
  <si>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</si>
  <si>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</si>
  <si>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</si>
  <si>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</si>
  <si>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</si>
  <si>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</si>
  <si>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</si>
  <si>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</si>
  <si>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</si>
  <si>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</si>
  <si>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</si>
  <si>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</si>
  <si>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</si>
  <si>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</si>
  <si>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</si>
  <si>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</si>
  <si>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</si>
  <si>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</si>
  <si>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</si>
  <si>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</si>
  <si>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</si>
  <si>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</si>
  <si>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</si>
  <si>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</si>
  <si>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</si>
  <si>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</si>
  <si>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</si>
  <si>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</si>
  <si>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</si>
  <si>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</si>
  <si>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</si>
  <si>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</si>
  <si>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</si>
  <si>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</si>
  <si>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</si>
  <si>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</si>
  <si>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</si>
  <si>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</si>
  <si>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</si>
  <si>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</si>
  <si>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</si>
  <si>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</si>
  <si>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</si>
  <si>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</si>
  <si>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</si>
  <si>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</si>
  <si>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</si>
  <si>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</si>
  <si>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</si>
  <si>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</si>
  <si>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</si>
  <si>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</si>
  <si>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</si>
  <si>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</si>
  <si>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</si>
  <si>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</si>
  <si>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</si>
  <si>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</si>
  <si>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</si>
  <si>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</si>
  <si>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</si>
  <si>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</si>
  <si>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</si>
  <si>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</si>
  <si>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</si>
  <si>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</si>
  <si>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</si>
  <si>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</si>
  <si>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</si>
  <si>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</si>
  <si>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</si>
  <si>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</si>
  <si>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</si>
  <si>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</si>
  <si>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</si>
  <si>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</si>
  <si>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</si>
  <si>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</si>
  <si>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</si>
  <si>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</si>
  <si>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</si>
  <si>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</si>
  <si>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</si>
  <si>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</si>
  <si>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</si>
  <si>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</si>
  <si>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</si>
  <si>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</si>
  <si>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</si>
  <si>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</si>
  <si>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</si>
  <si>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</si>
  <si>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</si>
  <si>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</si>
  <si>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</si>
  <si>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</si>
  <si>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</si>
  <si>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</si>
  <si>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</si>
  <si>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</si>
  <si>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</si>
  <si>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</si>
  <si>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</si>
  <si>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</si>
  <si>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</si>
  <si>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</si>
  <si>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</si>
  <si>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</si>
  <si>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</si>
  <si>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</si>
  <si>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</si>
  <si>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</si>
  <si>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</si>
  <si>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</si>
  <si>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</si>
  <si>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</si>
  <si>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</si>
  <si>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</si>
  <si>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</si>
  <si>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</si>
  <si>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</si>
  <si>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</si>
  <si>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</si>
  <si>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</si>
  <si>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</si>
  <si>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</si>
  <si>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</si>
  <si>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</si>
  <si>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</si>
  <si>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</si>
  <si>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</si>
  <si>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</si>
  <si>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</si>
  <si>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</si>
  <si>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</si>
  <si>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</si>
  <si>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</si>
  <si>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</si>
  <si>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</si>
  <si>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</si>
  <si>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</si>
  <si>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</si>
  <si>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</si>
  <si>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</si>
  <si>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</si>
  <si>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</si>
  <si>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</si>
  <si>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</si>
  <si>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</si>
  <si>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</si>
  <si>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</si>
  <si>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</si>
  <si>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</si>
  <si>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</si>
  <si>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</si>
  <si>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</si>
  <si>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</si>
  <si>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</si>
  <si>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</si>
  <si>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</si>
  <si>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</si>
  <si>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</si>
  <si>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</si>
  <si>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</si>
  <si>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</si>
  <si>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</si>
  <si>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</si>
  <si>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</si>
  <si>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</si>
  <si>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</si>
  <si>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</si>
  <si>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</si>
  <si>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</si>
  <si>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</si>
  <si>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</si>
  <si>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</si>
  <si>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</si>
  <si>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</si>
  <si>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</si>
  <si>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</si>
  <si>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</si>
  <si>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</si>
  <si>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</si>
  <si>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</si>
  <si>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</si>
  <si>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</si>
  <si>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</si>
  <si>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</si>
  <si>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</si>
  <si>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</si>
  <si>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</si>
  <si>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</si>
  <si>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</si>
  <si>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</si>
  <si>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</si>
  <si>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</si>
  <si>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</si>
  <si>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</si>
  <si>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</si>
  <si>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</si>
  <si>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</si>
  <si>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</si>
  <si>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</si>
  <si>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</si>
  <si>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ЗАШТИТНИК ГРАЂАНА</t>
  </si>
  <si>
    <t>Месне заједнице</t>
  </si>
  <si>
    <t>Канцеларија за младе</t>
  </si>
  <si>
    <t>Заштитник грађана</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</si>
  <si>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</si>
  <si>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</si>
  <si>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</si>
  <si>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</si>
  <si>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</si>
  <si>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</si>
  <si>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</si>
  <si>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</si>
  <si>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</si>
  <si>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</si>
  <si>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</si>
  <si>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</si>
  <si>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</si>
  <si>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</si>
  <si>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</si>
  <si>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</si>
  <si>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</si>
  <si>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</si>
  <si>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Структ-ура %</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</si>
  <si>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</si>
  <si>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</si>
  <si>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</si>
  <si>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</si>
  <si>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</si>
  <si>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</si>
  <si>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</si>
  <si>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</si>
  <si>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</si>
  <si>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</si>
  <si>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</si>
  <si>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</si>
  <si>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Самодоприноси</t>
  </si>
  <si>
    <t>Порез на друге приходе</t>
  </si>
  <si>
    <t>ПОРЕЗ НА ИМОВИНУ</t>
  </si>
  <si>
    <t>Порез на имовину (осим на земљиште, акције и уделе) од физичких лица</t>
  </si>
  <si>
    <t>Порез на имовину (осим на земљиште, акције и уделе) од правних лица</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</si>
  <si>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</si>
  <si>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</si>
  <si>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</si>
  <si>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</si>
  <si>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</si>
  <si>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</si>
  <si>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 xml:space="preserve">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самоуправе(коловози, тротоари, зелене површине, бандере и сл.)  </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</si>
  <si>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</si>
  <si>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</si>
  <si>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</si>
  <si>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</si>
  <si>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</si>
  <si>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</si>
  <si>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</si>
  <si>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</si>
  <si>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</si>
  <si>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</si>
  <si>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Текуће донације од међународних организација у корист нивоа градова</t>
  </si>
  <si>
    <t>ТРАНСФЕРИ ОД ДРУГИХ НИВОА ВЛАСТИ</t>
  </si>
  <si>
    <t>ДРУГИ ПРИХОДИ</t>
  </si>
  <si>
    <t>ПРИХОДИ ОД ИМОВИНЕ</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</si>
  <si>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</si>
  <si>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</si>
  <si>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</si>
  <si>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</si>
  <si>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Накнада за воде</t>
  </si>
  <si>
    <t>ПРИХОДИ ОД ПРОДАЈЕ ДОБАРА И УСЛУГА</t>
  </si>
  <si>
    <t>Приходи од закупнине за грађевинско земљиште у корист нивоа градова</t>
  </si>
  <si>
    <t>Трошкови пореског и прекршајног поступка изворних јавних прихода општина и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</si>
  <si>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</si>
  <si>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</si>
  <si>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Приходи од новчаних казни за прекршаје у корист нивоа градова</t>
  </si>
  <si>
    <t>ДОБРОВОЉНИ ТРАНСФЕРИ ОД ФИЗИЧКИХ И ПРАВНИХ ЛИЦА</t>
  </si>
  <si>
    <t>Текући добровољни трансфери од физичких и правних лица у корист нивоа градова</t>
  </si>
  <si>
    <t>Капитални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</si>
  <si>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</si>
  <si>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</si>
  <si>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</si>
  <si>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</si>
  <si>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</si>
  <si>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</si>
  <si>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покретне имовине</t>
  </si>
  <si>
    <t>ПРИМАЊА ОД ПРОДАЈЕ ПРИРОДНЕ ИМОВИНЕ</t>
  </si>
  <si>
    <t>Примања од продаје земљишта</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</si>
  <si>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</si>
  <si>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</si>
  <si>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</si>
  <si>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</si>
  <si>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</si>
  <si>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</si>
  <si>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</si>
  <si>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</si>
  <si>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</si>
  <si>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</si>
  <si>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</si>
  <si>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</si>
  <si>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</si>
  <si>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</si>
  <si>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</si>
  <si>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Средства из осталих извора</t>
  </si>
  <si>
    <t>Екон. клас.</t>
  </si>
  <si>
    <t>ВРСТЕ РАСХОДА И ИЗДАТАКА</t>
  </si>
  <si>
    <t>Структура         %</t>
  </si>
  <si>
    <t>Сопствени и други приходи</t>
  </si>
  <si>
    <t>Укупна средства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</si>
  <si>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</si>
  <si>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</si>
  <si>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</si>
  <si>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</si>
  <si>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</si>
  <si>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</si>
  <si>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</si>
  <si>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</si>
  <si>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</si>
  <si>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</si>
  <si>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</si>
  <si>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</si>
  <si>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</si>
  <si>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</si>
  <si>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</si>
  <si>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</si>
  <si>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</si>
  <si>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</si>
  <si>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</si>
  <si>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</si>
  <si>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</si>
  <si>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</si>
  <si>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</si>
  <si>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</si>
  <si>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</si>
  <si>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</si>
  <si>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</si>
  <si>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</si>
  <si>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</si>
  <si>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</si>
  <si>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</si>
  <si>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</si>
  <si>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</si>
  <si>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</si>
  <si>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</si>
  <si>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</si>
  <si>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</si>
  <si>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</si>
  <si>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</si>
  <si>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</si>
  <si>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</si>
  <si>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</si>
  <si>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</si>
  <si>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</si>
  <si>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</si>
  <si>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</si>
  <si>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</si>
  <si>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</si>
  <si>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</si>
  <si>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</si>
  <si>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</si>
  <si>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</si>
  <si>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</si>
  <si>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</si>
  <si>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</si>
  <si>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</si>
  <si>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</si>
  <si>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</si>
  <si>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</si>
  <si>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</si>
  <si>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</si>
  <si>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</si>
  <si>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</si>
  <si>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</si>
  <si>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</si>
  <si>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</si>
  <si>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</si>
  <si>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</si>
  <si>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</si>
  <si>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</si>
  <si>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</si>
  <si>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</si>
  <si>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</si>
  <si>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</si>
  <si>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</si>
  <si>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</si>
  <si>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</si>
  <si>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</si>
  <si>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</si>
  <si>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</si>
  <si>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</si>
  <si>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</si>
  <si>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</si>
  <si>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</si>
  <si>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</si>
  <si>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</si>
  <si>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</si>
  <si>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</si>
  <si>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</si>
  <si>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</si>
  <si>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</si>
  <si>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</si>
  <si>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</si>
  <si>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 xml:space="preserve">УКУПНИ ЈАВНИ РАСХОДИ </t>
  </si>
  <si>
    <t>4511</t>
  </si>
  <si>
    <t>4512</t>
  </si>
  <si>
    <t>452</t>
  </si>
  <si>
    <t>Екон.</t>
  </si>
  <si>
    <t>Редни број</t>
  </si>
  <si>
    <t>Износ у динарима</t>
  </si>
  <si>
    <t>Клас.</t>
  </si>
  <si>
    <t>КАПИТАЛНИ ПРОЈЕКТИ</t>
  </si>
  <si>
    <t>Извори финансирања:</t>
  </si>
  <si>
    <t>- из текућих прихода</t>
  </si>
  <si>
    <t>- из кредита</t>
  </si>
  <si>
    <t>- из буџета Републике Србије</t>
  </si>
  <si>
    <t>- из донација</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</si>
  <si>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</si>
  <si>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</si>
  <si>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</si>
  <si>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</si>
  <si>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</si>
  <si>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</si>
  <si>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</si>
  <si>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</si>
  <si>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</si>
  <si>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</si>
  <si>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</si>
  <si>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</si>
  <si>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</si>
  <si>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</si>
  <si>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</si>
  <si>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</si>
  <si>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</si>
  <si>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</si>
  <si>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</si>
  <si>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</si>
  <si>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</si>
  <si>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</si>
  <si>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Извршни и законодавни органи, финансијски и фискални послови и спољни послови;</t>
  </si>
  <si>
    <t>111</t>
  </si>
  <si>
    <t>112</t>
  </si>
  <si>
    <t>113</t>
  </si>
  <si>
    <t>120</t>
  </si>
  <si>
    <t>Економска помоћ иностранству;</t>
  </si>
  <si>
    <t>121</t>
  </si>
  <si>
    <t>122</t>
  </si>
  <si>
    <t>130</t>
  </si>
  <si>
    <t>Опште услуге;</t>
  </si>
  <si>
    <t>131</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</si>
  <si>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</si>
  <si>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</si>
  <si>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</si>
  <si>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</si>
  <si>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</si>
  <si>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</si>
  <si>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</si>
  <si>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</si>
  <si>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</si>
  <si>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</si>
  <si>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</si>
  <si>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</si>
  <si>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</si>
  <si>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</si>
  <si>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</si>
  <si>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</si>
  <si>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330</t>
  </si>
  <si>
    <t>Судови;</t>
  </si>
  <si>
    <t>340</t>
  </si>
  <si>
    <t>Затвори;</t>
  </si>
  <si>
    <t>350</t>
  </si>
  <si>
    <t>Јавни ред и безбедност - истраживање и развој;</t>
  </si>
  <si>
    <t>360</t>
  </si>
  <si>
    <t>Јавни ред и безбедност некласификован на другом месту</t>
  </si>
  <si>
    <t>400</t>
  </si>
  <si>
    <t>Општи економски и комерцијални послови и послови по питању рада;</t>
  </si>
  <si>
    <t>411</t>
  </si>
  <si>
    <t>412</t>
  </si>
  <si>
    <t>Пољопривреда, шумарство, лов и риболов;</t>
  </si>
  <si>
    <t>422</t>
  </si>
  <si>
    <t>423</t>
  </si>
  <si>
    <t>Гориво и енергија;</t>
  </si>
  <si>
    <t>431</t>
  </si>
  <si>
    <t>432</t>
  </si>
  <si>
    <t>433</t>
  </si>
  <si>
    <t>434</t>
  </si>
  <si>
    <t>435</t>
  </si>
  <si>
    <t>436</t>
  </si>
  <si>
    <t>Рударство, производња и изградња;</t>
  </si>
  <si>
    <t>441</t>
  </si>
  <si>
    <t>442</t>
  </si>
  <si>
    <t>443</t>
  </si>
  <si>
    <t>Саобраћај;</t>
  </si>
  <si>
    <t>451</t>
  </si>
  <si>
    <t>453</t>
  </si>
  <si>
    <t>454</t>
  </si>
  <si>
    <t>455</t>
  </si>
  <si>
    <t>Комуникације;</t>
  </si>
  <si>
    <t>Остале делатности;</t>
  </si>
  <si>
    <t>471</t>
  </si>
  <si>
    <t>472</t>
  </si>
  <si>
    <t>473</t>
  </si>
  <si>
    <t>474</t>
  </si>
  <si>
    <t>Економски послови - истраживање и развој;</t>
  </si>
  <si>
    <t>481</t>
  </si>
  <si>
    <t>482</t>
  </si>
  <si>
    <t>483</t>
  </si>
  <si>
    <t>484</t>
  </si>
  <si>
    <t>485</t>
  </si>
  <si>
    <t>486</t>
  </si>
  <si>
    <t>487</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</si>
  <si>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</si>
  <si>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</si>
  <si>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</si>
  <si>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</si>
  <si>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</si>
  <si>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</si>
  <si>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</si>
  <si>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</si>
  <si>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</si>
  <si>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</si>
  <si>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</si>
  <si>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</si>
  <si>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</si>
  <si>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</si>
  <si>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</si>
  <si>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</si>
  <si>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</si>
  <si>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</si>
  <si>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</si>
  <si>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</si>
  <si>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</si>
  <si>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710</t>
  </si>
  <si>
    <t>Медицински производи, помагала и опрема;</t>
  </si>
  <si>
    <t>711</t>
  </si>
  <si>
    <t>712</t>
  </si>
  <si>
    <t>713</t>
  </si>
  <si>
    <t>720</t>
  </si>
  <si>
    <t>Ванболничке услуге;</t>
  </si>
  <si>
    <t>721</t>
  </si>
  <si>
    <t>722</t>
  </si>
  <si>
    <t>723</t>
  </si>
  <si>
    <t>724</t>
  </si>
  <si>
    <t>730</t>
  </si>
  <si>
    <t>Болничке услуге;</t>
  </si>
  <si>
    <t>731</t>
  </si>
  <si>
    <t>732</t>
  </si>
  <si>
    <t>733</t>
  </si>
  <si>
    <t>734</t>
  </si>
  <si>
    <t>Услуге домова за негу и опоравак</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</si>
  <si>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</si>
  <si>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</si>
  <si>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</si>
  <si>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</si>
  <si>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</si>
  <si>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</si>
  <si>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</si>
  <si>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</si>
  <si>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</si>
  <si>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</si>
  <si>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</si>
  <si>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</si>
  <si>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</si>
  <si>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</si>
  <si>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</si>
  <si>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850</t>
  </si>
  <si>
    <t>Рекреација, спорт, култура и вере - истраживање и развој;</t>
  </si>
  <si>
    <t>860</t>
  </si>
  <si>
    <t>900</t>
  </si>
  <si>
    <t>910</t>
  </si>
  <si>
    <t>Предшколско и основно образовање;</t>
  </si>
  <si>
    <t>911</t>
  </si>
  <si>
    <t>913</t>
  </si>
  <si>
    <t>914</t>
  </si>
  <si>
    <t>915</t>
  </si>
  <si>
    <t>916</t>
  </si>
  <si>
    <t>920</t>
  </si>
  <si>
    <t>Средње образовање;</t>
  </si>
  <si>
    <t>921</t>
  </si>
  <si>
    <t>922</t>
  </si>
  <si>
    <t>923</t>
  </si>
  <si>
    <t>930</t>
  </si>
  <si>
    <t>Више образовање;</t>
  </si>
  <si>
    <t>931</t>
  </si>
  <si>
    <t>932</t>
  </si>
  <si>
    <t>940</t>
  </si>
  <si>
    <t>Високо образовање;</t>
  </si>
  <si>
    <t>941</t>
  </si>
  <si>
    <t>942</t>
  </si>
  <si>
    <t>Високо образовање - други степен</t>
  </si>
  <si>
    <t>950</t>
  </si>
  <si>
    <t>Образовање које није дефинисано нивоом;</t>
  </si>
  <si>
    <t>960</t>
  </si>
  <si>
    <t>Помоћне услуге образовању;</t>
  </si>
  <si>
    <t>970</t>
  </si>
  <si>
    <t>Образовање - истраживање и развој;</t>
  </si>
  <si>
    <t>980</t>
  </si>
  <si>
    <t>УКУПНО</t>
  </si>
  <si>
    <t>Програм</t>
  </si>
  <si>
    <t>2</t>
  </si>
  <si>
    <t xml:space="preserve">1101-0001  </t>
  </si>
  <si>
    <t>Уређивање грађевинског земљишта</t>
  </si>
  <si>
    <t>Стратешко, просторно и урбанистичко планирање</t>
  </si>
  <si>
    <t>0601-0001</t>
  </si>
  <si>
    <t>0601-0002</t>
  </si>
  <si>
    <t>Управљање отпадним водама  </t>
  </si>
  <si>
    <t>0601-0003</t>
  </si>
  <si>
    <t>Одржавање депонија</t>
  </si>
  <si>
    <t>0601-0004</t>
  </si>
  <si>
    <t>Даљинско грејање</t>
  </si>
  <si>
    <t>0601-0005</t>
  </si>
  <si>
    <t>Јавни превоз</t>
  </si>
  <si>
    <t>0601-0006</t>
  </si>
  <si>
    <t>Паркинг сервис</t>
  </si>
  <si>
    <t>0601-0007</t>
  </si>
  <si>
    <t>0601-0008</t>
  </si>
  <si>
    <t>Јавна хигијена</t>
  </si>
  <si>
    <t>0601-0009</t>
  </si>
  <si>
    <t>Уређење и одржавање зеленила</t>
  </si>
  <si>
    <t>0601-0010</t>
  </si>
  <si>
    <t>Јавна расвета</t>
  </si>
  <si>
    <t>0601-0011</t>
  </si>
  <si>
    <t>Одржавање гробаља и погребне услуге</t>
  </si>
  <si>
    <t>0601-0012</t>
  </si>
  <si>
    <t>Одржавање стамбених зграда</t>
  </si>
  <si>
    <t>0601-0013</t>
  </si>
  <si>
    <t>Ауто-такси превоз путника</t>
  </si>
  <si>
    <t>0601-0014</t>
  </si>
  <si>
    <t>Остале комуналне услуге</t>
  </si>
  <si>
    <t>1501-0001</t>
  </si>
  <si>
    <t>Подршка постојећој привреди</t>
  </si>
  <si>
    <t>1501-0002</t>
  </si>
  <si>
    <t>Унапређење привредног амбијента</t>
  </si>
  <si>
    <t>1501-0003</t>
  </si>
  <si>
    <t>Подстицаји за развој предузетништва</t>
  </si>
  <si>
    <t>1501-0004</t>
  </si>
  <si>
    <t>Одржавање економске инфраструктуре</t>
  </si>
  <si>
    <t>1501-0005</t>
  </si>
  <si>
    <t>Финансијска подршка локалном економском развоју</t>
  </si>
  <si>
    <t>Управљање развојем туризма</t>
  </si>
  <si>
    <t>Туристичка промоција</t>
  </si>
  <si>
    <t>Унапређење  услова за пољопривредну делатност</t>
  </si>
  <si>
    <t>Подстицаји пољопривредној производњи</t>
  </si>
  <si>
    <t>0401-0001</t>
  </si>
  <si>
    <t>Управљање заштитом животне средине и природних вредности</t>
  </si>
  <si>
    <t>0401-0002</t>
  </si>
  <si>
    <t>Управљање комуналним отпадом</t>
  </si>
  <si>
    <t>0401-0003</t>
  </si>
  <si>
    <t>Праћење квалитета елемената животне средине</t>
  </si>
  <si>
    <t>0401-0004</t>
  </si>
  <si>
    <t>Заштита природних вредности и унапређење подручја са природним својствима</t>
  </si>
  <si>
    <t>Управљање саобраћајном инфраструктуром</t>
  </si>
  <si>
    <t>Одржавање путева</t>
  </si>
  <si>
    <t xml:space="preserve">Функционисање предшколских установа </t>
  </si>
  <si>
    <t>Функционисање основних школа</t>
  </si>
  <si>
    <t>Функционисање средњих школа</t>
  </si>
  <si>
    <t>0101-0002</t>
  </si>
  <si>
    <t>1502-0001</t>
  </si>
  <si>
    <t>0101-0001</t>
  </si>
  <si>
    <t>2002-0001</t>
  </si>
  <si>
    <t>0901-0001</t>
  </si>
  <si>
    <t>Социјалне помоћи</t>
  </si>
  <si>
    <t>0901-0002</t>
  </si>
  <si>
    <t>Прихватилишта, прихватне станице и друге врсте смештаја</t>
  </si>
  <si>
    <t>0901-0003</t>
  </si>
  <si>
    <t>Подршка социо-хуманитарним организацијама</t>
  </si>
  <si>
    <t>0901-0004</t>
  </si>
  <si>
    <t>Саветодавно-терапијске и социјално-едукативне услуге</t>
  </si>
  <si>
    <t>0901-0005</t>
  </si>
  <si>
    <t>Активности Црвеног крста</t>
  </si>
  <si>
    <t>Функционисање установа примарне здравствене заштите</t>
  </si>
  <si>
    <t xml:space="preserve">Функционисање локалних установа културе </t>
  </si>
  <si>
    <t>Подстицаји културном и уметничком стваралаштву</t>
  </si>
  <si>
    <t>1201-0001</t>
  </si>
  <si>
    <t>1201-0002</t>
  </si>
  <si>
    <t>1801-0001</t>
  </si>
  <si>
    <t>1301-0001</t>
  </si>
  <si>
    <t>Подршка локалним спортским организацијама, удружењима и савезима</t>
  </si>
  <si>
    <t>1301-0002</t>
  </si>
  <si>
    <t>Подршка предшколском, школском и рекреативном спорту и масовној физичкој култури</t>
  </si>
  <si>
    <t>1301-0003</t>
  </si>
  <si>
    <t>Одржавање спортске инфраструктуре</t>
  </si>
  <si>
    <t>0602-0001</t>
  </si>
  <si>
    <t>Функционисање локалне самоуправе и градских општина</t>
  </si>
  <si>
    <t>0602-0002</t>
  </si>
  <si>
    <t>0602-0003</t>
  </si>
  <si>
    <t>Управљање јавним дугом</t>
  </si>
  <si>
    <t>0602-0004</t>
  </si>
  <si>
    <t>Општинско јавно правобранилаштво</t>
  </si>
  <si>
    <t>0602-0005</t>
  </si>
  <si>
    <t>0602-0006</t>
  </si>
  <si>
    <t>Информисање</t>
  </si>
  <si>
    <t>0602-0007</t>
  </si>
  <si>
    <t>0602-0008</t>
  </si>
  <si>
    <t>Програми националних мањина</t>
  </si>
  <si>
    <t>0602-0009</t>
  </si>
  <si>
    <t>Правна помоћ</t>
  </si>
  <si>
    <t>0602-0010</t>
  </si>
  <si>
    <t>Резерве</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</si>
  <si>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</si>
  <si>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</si>
  <si>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</si>
  <si>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</si>
  <si>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</si>
  <si>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</si>
  <si>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</si>
  <si>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</si>
  <si>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Укупна јавна средства</t>
  </si>
  <si>
    <t>Програм-ска Класиф.</t>
  </si>
  <si>
    <t>Економ. Класиф.</t>
  </si>
  <si>
    <t>Укупно</t>
  </si>
  <si>
    <t>УКУПНО ПРЕНЕТА СРЕДСТВА, ТЕКУЋИ ПРИХОДИ И ПРИМАЊА</t>
  </si>
  <si>
    <t>Средства из осталих извора финан. буџ. корисника</t>
  </si>
  <si>
    <t>УКУПНА ЈАВНА СРЕДСТВА</t>
  </si>
  <si>
    <t>3</t>
  </si>
  <si>
    <t>Надлежан орган/особа</t>
  </si>
  <si>
    <t>ПРОГРАМ 15 - ЛОКАЛНА САМОУПРАВА</t>
  </si>
  <si>
    <t>Плате, додаци и накнаде запослених (зараде)</t>
  </si>
  <si>
    <t>Накнаде у натури</t>
  </si>
  <si>
    <t>Донације страним владама</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</si>
  <si>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</si>
  <si>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</si>
  <si>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</si>
  <si>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</si>
  <si>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</si>
  <si>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</si>
  <si>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</si>
  <si>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</si>
  <si>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Награде запосленима и остали посебни расходи</t>
  </si>
  <si>
    <t>Посланички додатак</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</si>
  <si>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</si>
  <si>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</si>
  <si>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</si>
  <si>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</si>
  <si>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</si>
  <si>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</si>
  <si>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</si>
  <si>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</si>
  <si>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</si>
  <si>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</si>
  <si>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</si>
  <si>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</si>
  <si>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</si>
  <si>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</si>
  <si>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</si>
  <si>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</si>
  <si>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</si>
  <si>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</si>
  <si>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</si>
  <si>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</si>
  <si>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</si>
  <si>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</si>
  <si>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ПРОГРАМ 15: ЛОКАЛНА САМОУПРАВА</t>
  </si>
  <si>
    <t>Извори финансирања за Програм 15:</t>
  </si>
  <si>
    <t>Свега за Програм 15:</t>
  </si>
  <si>
    <t>Извори финансирања за Раздео 1:</t>
  </si>
  <si>
    <t>Извори финансирања за Главу 1:</t>
  </si>
  <si>
    <t>Свега за Главу 1:</t>
  </si>
  <si>
    <t>Свега за Програмску активност 0602-0001:</t>
  </si>
  <si>
    <t>Извори финансирања за Програмску активност 0602-0001:</t>
  </si>
  <si>
    <t>Свега за Раздео 1:</t>
  </si>
  <si>
    <t>Извори финансирања за Раздео 2:</t>
  </si>
  <si>
    <t>Свега за Раздео 2:</t>
  </si>
  <si>
    <t>Извори финансирања за Раздео 3:</t>
  </si>
  <si>
    <t>Уређивање, одржавање и коришћење пијацa</t>
  </si>
  <si>
    <t>Програмска активност: Програми националних мањина</t>
  </si>
  <si>
    <t>Свега за Програмску активност 0602-0003:</t>
  </si>
  <si>
    <t>Свега за Програмску активност 0602-0006:</t>
  </si>
  <si>
    <t>Функција: Социјална заштита некласификована на другом месту</t>
  </si>
  <si>
    <t>Свега за Програмску активност 0602-0008:</t>
  </si>
  <si>
    <t>Извори финансирања за Програмску активност 0602-0008:</t>
  </si>
  <si>
    <t>Програмска активност: Правна помоћ</t>
  </si>
  <si>
    <t>Свега за Програмску активност 0602-0009:</t>
  </si>
  <si>
    <t>Програмска активност: Резерве</t>
  </si>
  <si>
    <t>Извори финансирања за Програмску активност 0602-0010:</t>
  </si>
  <si>
    <t>Извори финансирања за Програмску активност 0602-0009:</t>
  </si>
  <si>
    <t>ПРОГРАМ 1: ЛОКАЛНИ РАЗВОЈ И ПРОСТОРНО ПЛАНИРАЊЕ</t>
  </si>
  <si>
    <t>Извори финансирања за Програм 1:</t>
  </si>
  <si>
    <t>Свега за Програм 1:</t>
  </si>
  <si>
    <t>ПРОГРАМ 5: РАЗВОЈ ПОЉОПРИВРЕДЕ</t>
  </si>
  <si>
    <t>Извори финансирања за Програмску активност 0101-0001:</t>
  </si>
  <si>
    <t>Свега за Програмску активност 0101-0001:</t>
  </si>
  <si>
    <t>Извори финансирања за Програмску активност 0101-0002:</t>
  </si>
  <si>
    <t>Свега за Програмску активност 0101-0002:</t>
  </si>
  <si>
    <t xml:space="preserve">Пројекат: </t>
  </si>
  <si>
    <t>Извори финансирања за Програм 5:</t>
  </si>
  <si>
    <t>Свега за Програм 5:</t>
  </si>
  <si>
    <t>ПРОГРАМ 6: ЗАШТИТА ЖИВОТНЕ СРЕДИНЕ</t>
  </si>
  <si>
    <t>Свега за Програмску активност 0401-0001:</t>
  </si>
  <si>
    <t>Извори финансирања за Програмску активност 0401-0001:</t>
  </si>
  <si>
    <t>Извори финансирања за Програмску активност 0401-0002:</t>
  </si>
  <si>
    <t>Свега за Програмску активност 0401-0002:</t>
  </si>
  <si>
    <t>Свега за Програмску активност 0401-0004:</t>
  </si>
  <si>
    <t>Извори финансирања за Програмску активност 0401-0004:</t>
  </si>
  <si>
    <t>Извори финансирања за Програм 6:</t>
  </si>
  <si>
    <t>Свега за Програм 6:</t>
  </si>
  <si>
    <t>ПРОГРАМ 7: ПУТНА ИНФРАСТРУКТУРА</t>
  </si>
  <si>
    <t>Извори финансирања за Програмску активност 0701-0001:</t>
  </si>
  <si>
    <t>Свега за Програмску активност 0701-0001:</t>
  </si>
  <si>
    <t>Извори финансирања за Програм 7:</t>
  </si>
  <si>
    <t>Свега за Програм 7:</t>
  </si>
  <si>
    <t>ПРОГРАМ 11: СОЦИЈАЛНА И ДЕЧЈА ЗАШТИТА</t>
  </si>
  <si>
    <t>Извори финансирања за Програм 11:</t>
  </si>
  <si>
    <t>Свега за Програм 11:</t>
  </si>
  <si>
    <t>Извори финансирања за Програмску активност 0901-0001:</t>
  </si>
  <si>
    <t>Извори финансирања за Програмску активност 0901-0003:</t>
  </si>
  <si>
    <t>Свега за Програмску активност 0901-0003:</t>
  </si>
  <si>
    <t>Извори финансирања за Програмску активност 0901-0005:</t>
  </si>
  <si>
    <t>Свега за Програмску активност 0901-0005:</t>
  </si>
  <si>
    <t>ПРОГРАМ 12: ПРИМАРНА ЗДРАВСТВЕНА ЗАШТИТА</t>
  </si>
  <si>
    <t>Извори финансирања за Програмску активност 1801-0001:</t>
  </si>
  <si>
    <t>Свега за Програмску активност 1801-0001:</t>
  </si>
  <si>
    <t>Свега за Програмску активност 1501-0003:</t>
  </si>
  <si>
    <t>Извори финансирања за Програмску активност 1501-0004:</t>
  </si>
  <si>
    <t>Свега за Програмску активност 1501-0004:</t>
  </si>
  <si>
    <t>Извори финансирања за Програм 12:</t>
  </si>
  <si>
    <t>Свега за Програм 12:</t>
  </si>
  <si>
    <t>ГРАДСКА ОПШТИНА ВРАЊСКА БАЊА</t>
  </si>
  <si>
    <t>Извори финансирања за Програмску активност 0602-0006:</t>
  </si>
  <si>
    <t>Свега за Програмску активност 0602-0010:</t>
  </si>
  <si>
    <t>Извори финансирања за Главу 2:</t>
  </si>
  <si>
    <t xml:space="preserve">КАНЦЕЛАРИЈА ЗА МЛАДЕ </t>
  </si>
  <si>
    <t>Свега за Главу 2:</t>
  </si>
  <si>
    <t>Извори финансирања за Програмску активност 0602-0007:</t>
  </si>
  <si>
    <t>Свега за Програмску активност 0602-0007:</t>
  </si>
  <si>
    <t>Извори финансирања за Програмску активност 0602-0002:</t>
  </si>
  <si>
    <t>Извори финансирања за Главу 4:</t>
  </si>
  <si>
    <t>Свега за Главу 4:</t>
  </si>
  <si>
    <t>ПРОГРАМ 4 - РАЗВОЈ ТУРИЗМА</t>
  </si>
  <si>
    <t>Извори финансирања за Програмску активност 1502-0001:</t>
  </si>
  <si>
    <t>Функција 110:</t>
  </si>
  <si>
    <t>Свега за програмску активност 0602-0001:</t>
  </si>
  <si>
    <t>Извори финансирања за програмску активност 0602-0001:</t>
  </si>
  <si>
    <t>Извори финансирања за функцију 111:</t>
  </si>
  <si>
    <t>Функција 330:</t>
  </si>
  <si>
    <t>Извори финансирања за програмску активност 0602-0004:</t>
  </si>
  <si>
    <t>Свега за програмску активност 0602-0004:</t>
  </si>
  <si>
    <t>Функција 111:</t>
  </si>
  <si>
    <t>Заштита животне средине: исттаживање и развој</t>
  </si>
  <si>
    <t>Социјална помоћ некласификована на другом месту</t>
  </si>
  <si>
    <t>Функција 130:</t>
  </si>
  <si>
    <t>Опште јавне услуге - истраживање и развој</t>
  </si>
  <si>
    <t>Управљањем развојем туризма</t>
  </si>
  <si>
    <t>ЈП СКИЈАЛИШТА БЕСНА КОБИЛА</t>
  </si>
  <si>
    <t>1502-0002</t>
  </si>
  <si>
    <t>Извори финансирања за Програмску активност 1502-0002:</t>
  </si>
  <si>
    <t>Извори финансирања за Програм 4:</t>
  </si>
  <si>
    <t>Свега за Програм 4:</t>
  </si>
  <si>
    <t>Извори финансирања за Главу 5:</t>
  </si>
  <si>
    <t>Свега за Главу 5:</t>
  </si>
  <si>
    <t>ДИРЕКЦИЈА ЗА РАЗВОЈ И ИЗГРАДЊУ ГРАДА ВРАЊА</t>
  </si>
  <si>
    <t>Опште јавне услуге</t>
  </si>
  <si>
    <t xml:space="preserve">1101-0002  </t>
  </si>
  <si>
    <t>ПРОГРАМ 2 - КОМУНАЛНА ДЕЛАТНОСТ</t>
  </si>
  <si>
    <t>Уређeње, одржавање и коришћење пијаца</t>
  </si>
  <si>
    <t>Одржавање гробаља, и погребне услуге</t>
  </si>
  <si>
    <t>ПРОГРАМ 7 - ПУТНА ИНФРАСТРУКТУРА</t>
  </si>
  <si>
    <t>Извори финансирања за Програм 2:</t>
  </si>
  <si>
    <t>Свега за Програм 2:</t>
  </si>
  <si>
    <t>Извори финансирања за Главу 6:</t>
  </si>
  <si>
    <t>ПРОГРАМ 14 - РАЗВОЈ СПОРТА И ОМЛАДИНЕ</t>
  </si>
  <si>
    <t>Функција 810:</t>
  </si>
  <si>
    <t>Извори финансирања за Програм 14:</t>
  </si>
  <si>
    <t>Свега за Програм 14:</t>
  </si>
  <si>
    <t>УСТАНОВЕ У КУЛТУРИ</t>
  </si>
  <si>
    <t>ПРОГРАМ 13 - РАЗВОЈ КУЛТУРЕ</t>
  </si>
  <si>
    <t>Функционисање локалних установа културе</t>
  </si>
  <si>
    <t>ПОЗОРИШТЕ "БОРА СТАНКОВИЋ"</t>
  </si>
  <si>
    <t>НАРОДНИ МУЗЕЈ</t>
  </si>
  <si>
    <t>ИСТОРИЈСКИ АРХИВ</t>
  </si>
  <si>
    <t>НАРОДНИ УНИВЕРЗИТЕТ</t>
  </si>
  <si>
    <t>ОМЛАДИНСКИ САВЕЗ</t>
  </si>
  <si>
    <t>ШКОЛА АНИМИРАНОГ ФИЛМА</t>
  </si>
  <si>
    <t>Извори финансирања за Програм 13:</t>
  </si>
  <si>
    <t>Свега за Програм 13:</t>
  </si>
  <si>
    <t>ЦЕНТАР ЗА СОЦИЈАЛНИ РАД</t>
  </si>
  <si>
    <t>ЦЕНТАР ЗА РАЗВОЈ ЛОКАЛНИХ УСЛУГА СОЦИЈАЛНЕ ЗАШТИТЕ</t>
  </si>
  <si>
    <t>Извори финансирања за Програмску активност 0901-0002:</t>
  </si>
  <si>
    <t>Свега за Програмску активност 0701-0002:</t>
  </si>
  <si>
    <t>Извори финансирања за Раздео 5 :</t>
  </si>
  <si>
    <t>ПРОГРАМ 8 - ПРЕДШКОЛСКО ОБРАЗОВАЊЕ</t>
  </si>
  <si>
    <t>2001-0001</t>
  </si>
  <si>
    <t>Функционисање предшколских установа</t>
  </si>
  <si>
    <t>Предшколско васпитање</t>
  </si>
  <si>
    <t>ПРОГРАМ 10 - СРЕДЊЕ ОБРАЗОВАЊЕ</t>
  </si>
  <si>
    <t>2003-0001</t>
  </si>
  <si>
    <t>8.2</t>
  </si>
  <si>
    <t>8.3</t>
  </si>
  <si>
    <t>8.4</t>
  </si>
  <si>
    <t>8.5</t>
  </si>
  <si>
    <t>8.6</t>
  </si>
  <si>
    <t>8.7</t>
  </si>
  <si>
    <t>Извори финансирања за функцију 110:</t>
  </si>
  <si>
    <t>Извори финансирања за функцију 330:</t>
  </si>
  <si>
    <t>Извори финансирања за функцију 620:</t>
  </si>
  <si>
    <t>Функција 620:</t>
  </si>
  <si>
    <t>Извори финансирања за програмску активност 1101-0001:</t>
  </si>
  <si>
    <t>Свега за програмску активност 1101-0001:</t>
  </si>
  <si>
    <t>Извори финансирања за функцију 411:</t>
  </si>
  <si>
    <t>Функција 411:</t>
  </si>
  <si>
    <t>Извори финансирања за програмску активност 1501-0002:</t>
  </si>
  <si>
    <t>Свега за програмску активност 1501-0002:</t>
  </si>
  <si>
    <t>Извори финансирања за програмску активност 1501-0003:</t>
  </si>
  <si>
    <t>Извори финансирања за програмску активност 1501-0004:</t>
  </si>
  <si>
    <t>Извори финансирања за функцију 421:</t>
  </si>
  <si>
    <t>Функција 421:</t>
  </si>
  <si>
    <t>Извори финансирања за функцију 540:</t>
  </si>
  <si>
    <t>Функција 540:</t>
  </si>
  <si>
    <t>Извори финансирања за функцију 560:</t>
  </si>
  <si>
    <t>Функција 560:</t>
  </si>
  <si>
    <t>Функција 451:</t>
  </si>
  <si>
    <t>Извори финансирања за функцију 451:</t>
  </si>
  <si>
    <t>Извори финансирања за функцију 070:</t>
  </si>
  <si>
    <t>Функција 070:</t>
  </si>
  <si>
    <t>Извори финансирања за функцију 090:</t>
  </si>
  <si>
    <t>Функција 090:</t>
  </si>
  <si>
    <t>Извори финансирања за функцију 740:</t>
  </si>
  <si>
    <t>Функција 740:</t>
  </si>
  <si>
    <t>Функција 733:</t>
  </si>
  <si>
    <t>Извори финансирања за функцију 810:</t>
  </si>
  <si>
    <t>Извори финансирања за Програмску активност 1301-0001:</t>
  </si>
  <si>
    <t>Свега за Програмску активност 1301-0001:</t>
  </si>
  <si>
    <t>Извори финансирања за Програмску активност 1301-0002:</t>
  </si>
  <si>
    <t>Свега за Програмску активност 1301-0002:</t>
  </si>
  <si>
    <t>Извори финансирања за Програмску активност 1301-0003:</t>
  </si>
  <si>
    <t>Свега за Програмску активност 1301-0003:</t>
  </si>
  <si>
    <t>Извори финансирања за функцију 130:</t>
  </si>
  <si>
    <t>Извори финансирања за функцију 170:</t>
  </si>
  <si>
    <t>Функција 170:</t>
  </si>
  <si>
    <t>Извори финансирања за Програмску активност 0602-0003:</t>
  </si>
  <si>
    <t>Услуге емитовања и издаваштва</t>
  </si>
  <si>
    <t>Извори финансирања за функцију 830:</t>
  </si>
  <si>
    <t>Функција 830:</t>
  </si>
  <si>
    <t>Извори финансирања за функцију 112:</t>
  </si>
  <si>
    <t>Функција 112:</t>
  </si>
  <si>
    <t>Извори финансирања за функцију 160:</t>
  </si>
  <si>
    <t>Функција 160:</t>
  </si>
  <si>
    <t>Свега за Програмску активност 0602-0002:</t>
  </si>
  <si>
    <t>Извори финансирања за функцију 150:</t>
  </si>
  <si>
    <t>Функција 150:</t>
  </si>
  <si>
    <t>Извори финансирања за функцију 473:</t>
  </si>
  <si>
    <t>Функција 473:</t>
  </si>
  <si>
    <t>Свега за Програмску активност 1502-0002:</t>
  </si>
  <si>
    <t>Свега за Програмску активност 1502-0001:</t>
  </si>
  <si>
    <t>Извори финансирања за програмску активност 1101-0002:</t>
  </si>
  <si>
    <t>Свега за програмску активност 1101-0002:</t>
  </si>
  <si>
    <t>Извори финансирања за функцију 630:</t>
  </si>
  <si>
    <t>Функција 630:</t>
  </si>
  <si>
    <t>Извори финансирања за функцију 510:</t>
  </si>
  <si>
    <t>Функција 510:</t>
  </si>
  <si>
    <t>Извори финансирања за функцију 660:</t>
  </si>
  <si>
    <t>Функција 660:</t>
  </si>
  <si>
    <t>Извори финансирања за функцију 640:</t>
  </si>
  <si>
    <t>Функција 640:</t>
  </si>
  <si>
    <t xml:space="preserve">0601-0002  </t>
  </si>
  <si>
    <t xml:space="preserve">0601-0001  </t>
  </si>
  <si>
    <t>Извори финансирања за програмску активност 0601-0001:</t>
  </si>
  <si>
    <t>Свега за програмску активност 0601-0001:</t>
  </si>
  <si>
    <t>Извори финансирања за програмску активност 0601-0002:</t>
  </si>
  <si>
    <t>Свега за програмску активност 0601-0002:</t>
  </si>
  <si>
    <t xml:space="preserve">0601-0006  </t>
  </si>
  <si>
    <t>Извори финансирања за програмску активност 0601-0006:</t>
  </si>
  <si>
    <t>Свега за програмску активност 0601-0006:</t>
  </si>
  <si>
    <t xml:space="preserve">0601-0008 </t>
  </si>
  <si>
    <t xml:space="preserve">0601-0009  </t>
  </si>
  <si>
    <t xml:space="preserve">0601-0010  </t>
  </si>
  <si>
    <t xml:space="preserve">0601-0014  </t>
  </si>
  <si>
    <t>Извори финансирања за програмску активност 0601-0008:</t>
  </si>
  <si>
    <t>Свега за програмску активност 0601-0008:</t>
  </si>
  <si>
    <t>Извори финансирања за програмску активност 0601-0009:</t>
  </si>
  <si>
    <t>Свега за програмску активност 0601-0009:</t>
  </si>
  <si>
    <t>Извори финансирања за програмску активност 0601-0010:</t>
  </si>
  <si>
    <t>Свега за програмску активност 0601-0010:</t>
  </si>
  <si>
    <t>Извори финансирања за програмску активност 0601-0011:</t>
  </si>
  <si>
    <t>Свега за програмску активност 0601-0011:</t>
  </si>
  <si>
    <t>Извори финансирања за програмску активност 0601-0014:</t>
  </si>
  <si>
    <t>Свега за програмску активност 0601-0014:</t>
  </si>
  <si>
    <t xml:space="preserve">0701-0001  </t>
  </si>
  <si>
    <t>Извори финансирања за програмску активност 0701-0001:</t>
  </si>
  <si>
    <t>Свега за програмску активност 0701-0001:</t>
  </si>
  <si>
    <t>Извори финансирања за Главу 7:</t>
  </si>
  <si>
    <t>Свега за Главу 7:</t>
  </si>
  <si>
    <t>Свега за Главу 6:</t>
  </si>
  <si>
    <t>Извори финансирања за функцију 820:</t>
  </si>
  <si>
    <t>Функција 820:</t>
  </si>
  <si>
    <t>Извори финансирања за програмску активност 1201-0001:</t>
  </si>
  <si>
    <t>Свега за програмску активност 1201-0001:</t>
  </si>
  <si>
    <t>1201-0003</t>
  </si>
  <si>
    <t>1201-0004</t>
  </si>
  <si>
    <t>Извори финансирања за пројекат 1201-0002:</t>
  </si>
  <si>
    <t>Извори финансирања за пројекат 1201-0003:</t>
  </si>
  <si>
    <t>Извори финансирања за пројекат 1201-0004:</t>
  </si>
  <si>
    <t>Извори финансирања за функцију 911:</t>
  </si>
  <si>
    <t>Функција 911:</t>
  </si>
  <si>
    <t>Извори финансирања за функцију 912:</t>
  </si>
  <si>
    <t>Функција 912:</t>
  </si>
  <si>
    <t>Извори финансирања за Програм 9:</t>
  </si>
  <si>
    <t>Свега за Програм 9:</t>
  </si>
  <si>
    <t>Извори финансирања за Главу 10:</t>
  </si>
  <si>
    <t>Свега за Главу 10:</t>
  </si>
  <si>
    <t>Извори финансирања за функцију 920:</t>
  </si>
  <si>
    <t>Функција 920:</t>
  </si>
  <si>
    <t>Извори финансирања за Главу 12:</t>
  </si>
  <si>
    <t>Свега за Главу 12:</t>
  </si>
  <si>
    <t>Извори финансирања за Главу 13:</t>
  </si>
  <si>
    <t>Свега за Главу 13:</t>
  </si>
  <si>
    <t>Извори финансирања за раздео 4:</t>
  </si>
  <si>
    <t>Свега за раздео 4:</t>
  </si>
  <si>
    <t>Извори финансирања за програмску активност 0602-0005:</t>
  </si>
  <si>
    <t>Свега за програмску активност 0602-0005:</t>
  </si>
  <si>
    <t>Извори финансирања за Програмску активност 0901-0004:</t>
  </si>
  <si>
    <t>Свега за Програмску активност 0901-0004:</t>
  </si>
  <si>
    <t>Извори финансирања за програмску активност 2003-0001:</t>
  </si>
  <si>
    <t>Свега за програмску активност 2003-0001:</t>
  </si>
  <si>
    <t>Извори финансирања за програмску активност 2002-0001:</t>
  </si>
  <si>
    <t>Свега за програмску активност 2002-0001:</t>
  </si>
  <si>
    <t>Извори финансирања за програмску активност 2001-0001:</t>
  </si>
  <si>
    <t>Свега за програмску активност 2001-0001:</t>
  </si>
  <si>
    <t>Извори финансирања за функцију 550:</t>
  </si>
  <si>
    <t>Функција 550:</t>
  </si>
  <si>
    <t>Извори финансирања за функцију 733:</t>
  </si>
  <si>
    <t>Извори финансирања за Програм 10:</t>
  </si>
  <si>
    <t>Свега за Програм 10:</t>
  </si>
  <si>
    <t>Свега за Раздео 5:</t>
  </si>
  <si>
    <t>ТЕКУЋИ РАСХОДИ</t>
  </si>
  <si>
    <t>КАПИТАЛНИ ИЗДАЦИ</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</si>
  <si>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</si>
  <si>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</si>
  <si>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</si>
  <si>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</si>
  <si>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</si>
  <si>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</si>
  <si>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</si>
  <si>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</si>
  <si>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</si>
  <si>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</si>
  <si>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</si>
  <si>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</si>
  <si>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</si>
  <si>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</si>
  <si>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</si>
  <si>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</si>
  <si>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</si>
  <si>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</si>
  <si>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</si>
  <si>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</si>
  <si>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</si>
  <si>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</si>
  <si>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</si>
  <si>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</si>
  <si>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</si>
  <si>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</si>
  <si>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1101-П24</t>
  </si>
  <si>
    <t>0601-П1</t>
  </si>
  <si>
    <t>0601-П2</t>
  </si>
  <si>
    <t>0601-П3</t>
  </si>
  <si>
    <t>0601-П4</t>
  </si>
  <si>
    <t>0601-П5</t>
  </si>
  <si>
    <t>0601-П6</t>
  </si>
  <si>
    <t>0601-П7</t>
  </si>
  <si>
    <t>0601-П8</t>
  </si>
  <si>
    <t>0601-П9</t>
  </si>
  <si>
    <t>0601-П10</t>
  </si>
  <si>
    <t>0601-П11</t>
  </si>
  <si>
    <t>0601-П12</t>
  </si>
  <si>
    <t>0601-П13</t>
  </si>
  <si>
    <t>0601-П14</t>
  </si>
  <si>
    <t>0601-П15</t>
  </si>
  <si>
    <t>0601-П16</t>
  </si>
  <si>
    <t>0601-П17</t>
  </si>
  <si>
    <t>0601-П18</t>
  </si>
  <si>
    <t>0601-П19</t>
  </si>
  <si>
    <t>0601-П20</t>
  </si>
  <si>
    <t>0601-П21</t>
  </si>
  <si>
    <t>0601-П22</t>
  </si>
  <si>
    <t>0601-П23</t>
  </si>
  <si>
    <t>0601-П24</t>
  </si>
  <si>
    <t>0601-П25</t>
  </si>
  <si>
    <t>0601-П26</t>
  </si>
  <si>
    <t>0601-П27</t>
  </si>
  <si>
    <t>0601-П28</t>
  </si>
  <si>
    <t>0601-П29</t>
  </si>
  <si>
    <t>0601-П30</t>
  </si>
  <si>
    <t>0601-П31</t>
  </si>
  <si>
    <t>0601-П32</t>
  </si>
  <si>
    <t>0601-П33</t>
  </si>
  <si>
    <t>0601-П34</t>
  </si>
  <si>
    <t>0601-П35</t>
  </si>
  <si>
    <t>0601-П36</t>
  </si>
  <si>
    <t>0601-П37</t>
  </si>
  <si>
    <t>0601-П38</t>
  </si>
  <si>
    <t>0601-П39</t>
  </si>
  <si>
    <t>0601-П40</t>
  </si>
  <si>
    <t>0601-П41</t>
  </si>
  <si>
    <t>0601-П42</t>
  </si>
  <si>
    <t>0601-П43</t>
  </si>
  <si>
    <t>0601-П44</t>
  </si>
  <si>
    <t>0601-П45</t>
  </si>
  <si>
    <t>0601-П46</t>
  </si>
  <si>
    <t>0601-П47</t>
  </si>
  <si>
    <t>0601-П48</t>
  </si>
  <si>
    <t>0601-П49</t>
  </si>
  <si>
    <t>0601-П50</t>
  </si>
  <si>
    <t>1501-П1</t>
  </si>
  <si>
    <t>1501-П2</t>
  </si>
  <si>
    <t>1501-П3</t>
  </si>
  <si>
    <t>1501-П4</t>
  </si>
  <si>
    <t>1501-П5</t>
  </si>
  <si>
    <t>1501-П6</t>
  </si>
  <si>
    <t>1501-П7</t>
  </si>
  <si>
    <t>1501-П8</t>
  </si>
  <si>
    <t>1501-П9</t>
  </si>
  <si>
    <t>1501-П10</t>
  </si>
  <si>
    <t>1501-П11</t>
  </si>
  <si>
    <t>1501-П12</t>
  </si>
  <si>
    <t>1501-П13</t>
  </si>
  <si>
    <t>1501-П14</t>
  </si>
  <si>
    <t>1501-П15</t>
  </si>
  <si>
    <t>1501-П16</t>
  </si>
  <si>
    <t>1501-П17</t>
  </si>
  <si>
    <t>1501-П18</t>
  </si>
  <si>
    <t>1501-П19</t>
  </si>
  <si>
    <t>1501-П20</t>
  </si>
  <si>
    <t>1501-П21</t>
  </si>
  <si>
    <t>1501-П22</t>
  </si>
  <si>
    <t>1501-П23</t>
  </si>
  <si>
    <t>1501-П24</t>
  </si>
  <si>
    <t>1502-П1</t>
  </si>
  <si>
    <t>1502-П2</t>
  </si>
  <si>
    <t>1502-П3</t>
  </si>
  <si>
    <t>1502-П4</t>
  </si>
  <si>
    <t>1502-П5</t>
  </si>
  <si>
    <t>1502-П6</t>
  </si>
  <si>
    <t>1502-П7</t>
  </si>
  <si>
    <t>1502-П8</t>
  </si>
  <si>
    <t>1502-П9</t>
  </si>
  <si>
    <t>1502-П10</t>
  </si>
  <si>
    <t>1502-П11</t>
  </si>
  <si>
    <t>1502-П12</t>
  </si>
  <si>
    <t>1502-П13</t>
  </si>
  <si>
    <t>1502-П14</t>
  </si>
  <si>
    <t>1502-П15</t>
  </si>
  <si>
    <t>1502-П16</t>
  </si>
  <si>
    <t>1502-П17</t>
  </si>
  <si>
    <t>1502-П18</t>
  </si>
  <si>
    <t>1502-П19</t>
  </si>
  <si>
    <t>1502-П20</t>
  </si>
  <si>
    <t>1502-П21</t>
  </si>
  <si>
    <t>1502-П22</t>
  </si>
  <si>
    <t>1502-П23</t>
  </si>
  <si>
    <t>1502-П24</t>
  </si>
  <si>
    <t>0101-П1</t>
  </si>
  <si>
    <t>0101-П2</t>
  </si>
  <si>
    <t>0101-П3</t>
  </si>
  <si>
    <t>0101-П4</t>
  </si>
  <si>
    <t>0101-П5</t>
  </si>
  <si>
    <t>0101-П6</t>
  </si>
  <si>
    <t>0101-П7</t>
  </si>
  <si>
    <t>0101-П8</t>
  </si>
  <si>
    <t>0101-П9</t>
  </si>
  <si>
    <t>0101-П10</t>
  </si>
  <si>
    <t>0101-П11</t>
  </si>
  <si>
    <t>0101-П12</t>
  </si>
  <si>
    <t>0101-П13</t>
  </si>
  <si>
    <t>0101-П14</t>
  </si>
  <si>
    <t>0101-П15</t>
  </si>
  <si>
    <t>0101-П16</t>
  </si>
  <si>
    <t>0401-П1</t>
  </si>
  <si>
    <t>0401-П2</t>
  </si>
  <si>
    <t>0401-П3</t>
  </si>
  <si>
    <t>0401-П4</t>
  </si>
  <si>
    <t>0401-П5</t>
  </si>
  <si>
    <t>0401-П6</t>
  </si>
  <si>
    <t>0401-П7</t>
  </si>
  <si>
    <t>0401-П8</t>
  </si>
  <si>
    <t>0401-П9</t>
  </si>
  <si>
    <t>0401-П10</t>
  </si>
  <si>
    <t>0401-П11</t>
  </si>
  <si>
    <t>0401-П12</t>
  </si>
  <si>
    <t>0401-П13</t>
  </si>
  <si>
    <t>0401-П14</t>
  </si>
  <si>
    <t>0401-П15</t>
  </si>
  <si>
    <t>0701-П1</t>
  </si>
  <si>
    <t>0701-П2</t>
  </si>
  <si>
    <t>0701-П3</t>
  </si>
  <si>
    <t>0701-П4</t>
  </si>
  <si>
    <t>0701-П5</t>
  </si>
  <si>
    <t>0701-П6</t>
  </si>
  <si>
    <t>0701-П7</t>
  </si>
  <si>
    <t>0701-П8</t>
  </si>
  <si>
    <t>0701-П9</t>
  </si>
  <si>
    <t>0701-П10</t>
  </si>
  <si>
    <t>0701-П11</t>
  </si>
  <si>
    <t>0701-П12</t>
  </si>
  <si>
    <t>0701-П13</t>
  </si>
  <si>
    <t>0701-П14</t>
  </si>
  <si>
    <t>0701-П15</t>
  </si>
  <si>
    <t>0701-П16</t>
  </si>
  <si>
    <t>0701-П17</t>
  </si>
  <si>
    <t>0701-П18</t>
  </si>
  <si>
    <t>0701-П19</t>
  </si>
  <si>
    <t>0701-П20</t>
  </si>
  <si>
    <t>0701-П21</t>
  </si>
  <si>
    <t>0701-П22</t>
  </si>
  <si>
    <t>0701-П23</t>
  </si>
  <si>
    <t>0701-П24</t>
  </si>
  <si>
    <t>0701-П25</t>
  </si>
  <si>
    <t>0701-П26</t>
  </si>
  <si>
    <t>0701-П27</t>
  </si>
  <si>
    <t>0701-П28</t>
  </si>
  <si>
    <t>0701-П29</t>
  </si>
  <si>
    <t>0701-П30</t>
  </si>
  <si>
    <t>0701-П31</t>
  </si>
  <si>
    <t>0701-П32</t>
  </si>
  <si>
    <t>0701-П33</t>
  </si>
  <si>
    <t>0701-П34</t>
  </si>
  <si>
    <t>0701-П35</t>
  </si>
  <si>
    <t>0701-П36</t>
  </si>
  <si>
    <t>0701-П37</t>
  </si>
  <si>
    <t>0701-П38</t>
  </si>
  <si>
    <t>0701-П39</t>
  </si>
  <si>
    <t>0701-П40</t>
  </si>
  <si>
    <t>0701-П41</t>
  </si>
  <si>
    <t>0701-П42</t>
  </si>
  <si>
    <t>0701-П43</t>
  </si>
  <si>
    <t>0701-П44</t>
  </si>
  <si>
    <t>0701-П45</t>
  </si>
  <si>
    <t>0701-П46</t>
  </si>
  <si>
    <t>0701-П47</t>
  </si>
  <si>
    <t>0701-П48</t>
  </si>
  <si>
    <t>0701-П49</t>
  </si>
  <si>
    <t>0701-П50</t>
  </si>
  <si>
    <t>2001-П1</t>
  </si>
  <si>
    <t>2001-П2</t>
  </si>
  <si>
    <t>2001-П3</t>
  </si>
  <si>
    <t>2001-П4</t>
  </si>
  <si>
    <t>2001-П5</t>
  </si>
  <si>
    <t>2001-П6</t>
  </si>
  <si>
    <t>2001-П7</t>
  </si>
  <si>
    <t>2001-П8</t>
  </si>
  <si>
    <t>2001-П9</t>
  </si>
  <si>
    <t>2001-П10</t>
  </si>
  <si>
    <t>2001-П11</t>
  </si>
  <si>
    <t>2001-П12</t>
  </si>
  <si>
    <t>2001-П13</t>
  </si>
  <si>
    <t>2001-П14</t>
  </si>
  <si>
    <t>2001-П15</t>
  </si>
  <si>
    <t>2001-П16</t>
  </si>
  <si>
    <t>2001-П17</t>
  </si>
  <si>
    <t>2001-П18</t>
  </si>
  <si>
    <t>2001-П19</t>
  </si>
  <si>
    <t>2001-П20</t>
  </si>
  <si>
    <t>2001-П21</t>
  </si>
  <si>
    <t>2001-П22</t>
  </si>
  <si>
    <t>2001-П23</t>
  </si>
  <si>
    <t>2001-П24</t>
  </si>
  <si>
    <t>2001-П25</t>
  </si>
  <si>
    <t>2001-П26</t>
  </si>
  <si>
    <t>2001-П27</t>
  </si>
  <si>
    <t>2001-П28</t>
  </si>
  <si>
    <t>2001-П29</t>
  </si>
  <si>
    <t>2002-П1</t>
  </si>
  <si>
    <t>2002-П2</t>
  </si>
  <si>
    <t>2002-П3</t>
  </si>
  <si>
    <t>2002-П4</t>
  </si>
  <si>
    <t>2002-П5</t>
  </si>
  <si>
    <t>2002-П6</t>
  </si>
  <si>
    <t>2002-П7</t>
  </si>
  <si>
    <t>2002-П8</t>
  </si>
  <si>
    <t>2002-П9</t>
  </si>
  <si>
    <t>2002-П10</t>
  </si>
  <si>
    <t>2002-П11</t>
  </si>
  <si>
    <t>2002-П12</t>
  </si>
  <si>
    <t>2002-П13</t>
  </si>
  <si>
    <t>2002-П14</t>
  </si>
  <si>
    <t>2002-П15</t>
  </si>
  <si>
    <t>2002-П16</t>
  </si>
  <si>
    <t>2002-П17</t>
  </si>
  <si>
    <t>2002-П18</t>
  </si>
  <si>
    <t>2002-П19</t>
  </si>
  <si>
    <t>2002-П20</t>
  </si>
  <si>
    <t>2002-П21</t>
  </si>
  <si>
    <t>2002-П22</t>
  </si>
  <si>
    <t>2002-П23</t>
  </si>
  <si>
    <t>2002-П24</t>
  </si>
  <si>
    <t>2002-П25</t>
  </si>
  <si>
    <t>2002-П26</t>
  </si>
  <si>
    <t>2002-П27</t>
  </si>
  <si>
    <t>2002-П28</t>
  </si>
  <si>
    <t>2002-П29</t>
  </si>
  <si>
    <t>2002-П30</t>
  </si>
  <si>
    <t>2003-П1</t>
  </si>
  <si>
    <t>2003-П2</t>
  </si>
  <si>
    <t>2003-П3</t>
  </si>
  <si>
    <t>2003-П4</t>
  </si>
  <si>
    <t>2003-П5</t>
  </si>
  <si>
    <t>2003-П6</t>
  </si>
  <si>
    <t>2003-П7</t>
  </si>
  <si>
    <t>2003-П8</t>
  </si>
  <si>
    <t>2003-П9</t>
  </si>
  <si>
    <t>2003-П10</t>
  </si>
  <si>
    <t>2003-П11</t>
  </si>
  <si>
    <t>2003-П12</t>
  </si>
  <si>
    <t>2003-П13</t>
  </si>
  <si>
    <t>2003-П14</t>
  </si>
  <si>
    <t>2003-П15</t>
  </si>
  <si>
    <t>2003-П16</t>
  </si>
  <si>
    <t>2003-П17</t>
  </si>
  <si>
    <t>2003-П18</t>
  </si>
  <si>
    <t>2003-П19</t>
  </si>
  <si>
    <t>2003-П20</t>
  </si>
  <si>
    <t>2003-П21</t>
  </si>
  <si>
    <t>2003-П22</t>
  </si>
  <si>
    <t>2003-П23</t>
  </si>
  <si>
    <t>2003-П24</t>
  </si>
  <si>
    <t>2003-П25</t>
  </si>
  <si>
    <t>2003-П26</t>
  </si>
  <si>
    <t>2003-П27</t>
  </si>
  <si>
    <t>2003-П28</t>
  </si>
  <si>
    <t>2003-П29</t>
  </si>
  <si>
    <t>2003-П30</t>
  </si>
  <si>
    <t>2001-П30</t>
  </si>
  <si>
    <t>0901-П1</t>
  </si>
  <si>
    <t>0901-П2</t>
  </si>
  <si>
    <t>0901-П3</t>
  </si>
  <si>
    <t>0901-П4</t>
  </si>
  <si>
    <t>0901-П5</t>
  </si>
  <si>
    <t>0901-П6</t>
  </si>
  <si>
    <t>0901-П7</t>
  </si>
  <si>
    <t>0901-П8</t>
  </si>
  <si>
    <t>0901-П9</t>
  </si>
  <si>
    <t>0901-П10</t>
  </si>
  <si>
    <t>0901-П11</t>
  </si>
  <si>
    <t>0901-П12</t>
  </si>
  <si>
    <t>0901-П13</t>
  </si>
  <si>
    <t>0901-П14</t>
  </si>
  <si>
    <t>0901-П15</t>
  </si>
  <si>
    <t>0901-П16</t>
  </si>
  <si>
    <t>0901-П17</t>
  </si>
  <si>
    <t>0901-П18</t>
  </si>
  <si>
    <t>0901-П19</t>
  </si>
  <si>
    <t>0901-П20</t>
  </si>
  <si>
    <t>0901-П21</t>
  </si>
  <si>
    <t>0901-П22</t>
  </si>
  <si>
    <t>0901-П23</t>
  </si>
  <si>
    <t>0901-П24</t>
  </si>
  <si>
    <t>0901-П25</t>
  </si>
  <si>
    <t>0901-П26</t>
  </si>
  <si>
    <t>0901-П27</t>
  </si>
  <si>
    <t>0901-П28</t>
  </si>
  <si>
    <t>0901-П29</t>
  </si>
  <si>
    <t>0901-П30</t>
  </si>
  <si>
    <t>1801-П1</t>
  </si>
  <si>
    <t>1801-П2</t>
  </si>
  <si>
    <t>1801-П3</t>
  </si>
  <si>
    <t>1801-П4</t>
  </si>
  <si>
    <t>1801-П5</t>
  </si>
  <si>
    <t>1801-П6</t>
  </si>
  <si>
    <t>1801-П7</t>
  </si>
  <si>
    <t>1801-П8</t>
  </si>
  <si>
    <t>1801-П9</t>
  </si>
  <si>
    <t>1801-П10</t>
  </si>
  <si>
    <t>1801-П11</t>
  </si>
  <si>
    <t>1801-П12</t>
  </si>
  <si>
    <t>1801-П13</t>
  </si>
  <si>
    <t>1801-П14</t>
  </si>
  <si>
    <t>1801-П15</t>
  </si>
  <si>
    <t>1801-П16</t>
  </si>
  <si>
    <t>1801-П17</t>
  </si>
  <si>
    <t>1801-П18</t>
  </si>
  <si>
    <t>1801-П19</t>
  </si>
  <si>
    <t>1801-П20</t>
  </si>
  <si>
    <t>1801-П21</t>
  </si>
  <si>
    <t>1801-П22</t>
  </si>
  <si>
    <t>1801-П23</t>
  </si>
  <si>
    <t>1801-П24</t>
  </si>
  <si>
    <t>1801-П25</t>
  </si>
  <si>
    <t>1801-П26</t>
  </si>
  <si>
    <t>1801-П27</t>
  </si>
  <si>
    <t>1801-П28</t>
  </si>
  <si>
    <t>1801-П29</t>
  </si>
  <si>
    <t>1801-П30</t>
  </si>
  <si>
    <t>1201-П1</t>
  </si>
  <si>
    <t>1201-П2</t>
  </si>
  <si>
    <t>1201-П3</t>
  </si>
  <si>
    <t>1201-П4</t>
  </si>
  <si>
    <t>1201-П5</t>
  </si>
  <si>
    <t>1201-П6</t>
  </si>
  <si>
    <t>1201-П7</t>
  </si>
  <si>
    <t>1201-П8</t>
  </si>
  <si>
    <t>1201-П9</t>
  </si>
  <si>
    <t>1201-П10</t>
  </si>
  <si>
    <t>1201-П11</t>
  </si>
  <si>
    <t>1201-П12</t>
  </si>
  <si>
    <t>1201-П13</t>
  </si>
  <si>
    <t>1201-П14</t>
  </si>
  <si>
    <t>1201-П15</t>
  </si>
  <si>
    <t>1201-П16</t>
  </si>
  <si>
    <t>1201-П17</t>
  </si>
  <si>
    <t>1201-П18</t>
  </si>
  <si>
    <t>1201-П19</t>
  </si>
  <si>
    <t>1201-П20</t>
  </si>
  <si>
    <t>1201-П21</t>
  </si>
  <si>
    <t>1201-П22</t>
  </si>
  <si>
    <t>1201-П23</t>
  </si>
  <si>
    <t>1201-П24</t>
  </si>
  <si>
    <t>1201-П25</t>
  </si>
  <si>
    <t>1201-П26</t>
  </si>
  <si>
    <t>1201-П27</t>
  </si>
  <si>
    <t>1201-П28</t>
  </si>
  <si>
    <t>1201-П29</t>
  </si>
  <si>
    <t>1201-П30</t>
  </si>
  <si>
    <t>1201-П31</t>
  </si>
  <si>
    <t>1201-П32</t>
  </si>
  <si>
    <t>1201-П33</t>
  </si>
  <si>
    <t>1201-П34</t>
  </si>
  <si>
    <t>1201-П35</t>
  </si>
  <si>
    <t>1201-П36</t>
  </si>
  <si>
    <t>1201-П37</t>
  </si>
  <si>
    <t>1201-П38</t>
  </si>
  <si>
    <t>1201-П39</t>
  </si>
  <si>
    <t>1201-П40</t>
  </si>
  <si>
    <t>1201-П41</t>
  </si>
  <si>
    <t>1201-П42</t>
  </si>
  <si>
    <t>1201-П43</t>
  </si>
  <si>
    <t>1201-П44</t>
  </si>
  <si>
    <t>1201-П45</t>
  </si>
  <si>
    <t>1201-П46</t>
  </si>
  <si>
    <t>1201-П47</t>
  </si>
  <si>
    <t>1201-П48</t>
  </si>
  <si>
    <t>1201-П49</t>
  </si>
  <si>
    <t>1201-П50</t>
  </si>
  <si>
    <t>1301-П1</t>
  </si>
  <si>
    <t>1301-П2</t>
  </si>
  <si>
    <t>1301-П3</t>
  </si>
  <si>
    <t>1301-П4</t>
  </si>
  <si>
    <t>1301-П5</t>
  </si>
  <si>
    <t>1301-П6</t>
  </si>
  <si>
    <t>1301-П7</t>
  </si>
  <si>
    <t>1301-П8</t>
  </si>
  <si>
    <t>1301-П9</t>
  </si>
  <si>
    <t>1301-П10</t>
  </si>
  <si>
    <t>1301-П11</t>
  </si>
  <si>
    <t>1301-П12</t>
  </si>
  <si>
    <t>1301-П13</t>
  </si>
  <si>
    <t>1301-П14</t>
  </si>
  <si>
    <t>1301-П15</t>
  </si>
  <si>
    <t>1301-П16</t>
  </si>
  <si>
    <t>1301-П17</t>
  </si>
  <si>
    <t>1301-П18</t>
  </si>
  <si>
    <t>1301-П19</t>
  </si>
  <si>
    <t>1301-П20</t>
  </si>
  <si>
    <t>1301-П21</t>
  </si>
  <si>
    <t>1301-П22</t>
  </si>
  <si>
    <t>1301-П23</t>
  </si>
  <si>
    <t>1301-П24</t>
  </si>
  <si>
    <t>1301-П25</t>
  </si>
  <si>
    <t>1301-П26</t>
  </si>
  <si>
    <t>1301-П27</t>
  </si>
  <si>
    <t>1301-П28</t>
  </si>
  <si>
    <t>1301-П29</t>
  </si>
  <si>
    <t>1301-П30</t>
  </si>
  <si>
    <t>1301-П31</t>
  </si>
  <si>
    <t>1301-П32</t>
  </si>
  <si>
    <t>1301-П33</t>
  </si>
  <si>
    <t>1301-П34</t>
  </si>
  <si>
    <t>1301-П35</t>
  </si>
  <si>
    <t>1301-П36</t>
  </si>
  <si>
    <t>1301-П37</t>
  </si>
  <si>
    <t>1301-П38</t>
  </si>
  <si>
    <t>1301-П39</t>
  </si>
  <si>
    <t>1301-П40</t>
  </si>
  <si>
    <t>1301-П41</t>
  </si>
  <si>
    <t>1301-П42</t>
  </si>
  <si>
    <t>1301-П43</t>
  </si>
  <si>
    <t>1301-П44</t>
  </si>
  <si>
    <t>1301-П45</t>
  </si>
  <si>
    <t>1301-П46</t>
  </si>
  <si>
    <t>1301-П47</t>
  </si>
  <si>
    <t>1301-П48</t>
  </si>
  <si>
    <t>1301-П49</t>
  </si>
  <si>
    <t>1301-П50</t>
  </si>
  <si>
    <t>0602-П1</t>
  </si>
  <si>
    <t>0602-П2</t>
  </si>
  <si>
    <t>0602-П3</t>
  </si>
  <si>
    <t>0602-П4</t>
  </si>
  <si>
    <t>0602-П5</t>
  </si>
  <si>
    <t>0602-П6</t>
  </si>
  <si>
    <t>0602-П7</t>
  </si>
  <si>
    <t>0602-П8</t>
  </si>
  <si>
    <t>0602-П9</t>
  </si>
  <si>
    <t>0602-П10</t>
  </si>
  <si>
    <t>0602-П11</t>
  </si>
  <si>
    <t>0602-П12</t>
  </si>
  <si>
    <t>0602-П13</t>
  </si>
  <si>
    <t>0602-П14</t>
  </si>
  <si>
    <t>0602-П15</t>
  </si>
  <si>
    <t>0602-П16</t>
  </si>
  <si>
    <t>0602-П17</t>
  </si>
  <si>
    <t>0602-П18</t>
  </si>
  <si>
    <t>0602-П19</t>
  </si>
  <si>
    <t>0602-П20</t>
  </si>
  <si>
    <t>0602-П21</t>
  </si>
  <si>
    <t>0602-П22</t>
  </si>
  <si>
    <t>0602-П23</t>
  </si>
  <si>
    <t>0602-П24</t>
  </si>
  <si>
    <t>0602-П25</t>
  </si>
  <si>
    <t>0602-П26</t>
  </si>
  <si>
    <t>0602-П27</t>
  </si>
  <si>
    <t>0602-П28</t>
  </si>
  <si>
    <t>0602-П29</t>
  </si>
  <si>
    <t>0602-П30</t>
  </si>
  <si>
    <t>0602-П31</t>
  </si>
  <si>
    <t>0602-П32</t>
  </si>
  <si>
    <t>0602-П33</t>
  </si>
  <si>
    <t>0602-П34</t>
  </si>
  <si>
    <t>0602-П35</t>
  </si>
  <si>
    <t>0602-П36</t>
  </si>
  <si>
    <t>0602-П37</t>
  </si>
  <si>
    <t>0602-П38</t>
  </si>
  <si>
    <t>0602-П39</t>
  </si>
  <si>
    <t>0602-П40</t>
  </si>
  <si>
    <t>0602-П41</t>
  </si>
  <si>
    <t>0602-П42</t>
  </si>
  <si>
    <t>0602-П43</t>
  </si>
  <si>
    <t>0602-П44</t>
  </si>
  <si>
    <t>0602-П45</t>
  </si>
  <si>
    <t>0602-П46</t>
  </si>
  <si>
    <t>0602-П47</t>
  </si>
  <si>
    <t>0602-П48</t>
  </si>
  <si>
    <t>0602-П49</t>
  </si>
  <si>
    <t>0602-П50</t>
  </si>
  <si>
    <t>0602-П51</t>
  </si>
  <si>
    <t>0602-П52</t>
  </si>
  <si>
    <t>0602-П53</t>
  </si>
  <si>
    <t>0602-П54</t>
  </si>
  <si>
    <t>0602-П55</t>
  </si>
  <si>
    <t>0602-П56</t>
  </si>
  <si>
    <t>0602-П57</t>
  </si>
  <si>
    <t>0602-П58</t>
  </si>
  <si>
    <t>0602-П59</t>
  </si>
  <si>
    <t>0602-П60</t>
  </si>
  <si>
    <t>0602-П61</t>
  </si>
  <si>
    <t>0602-П62</t>
  </si>
  <si>
    <t>0602-П63</t>
  </si>
  <si>
    <t>0602-П64</t>
  </si>
  <si>
    <t>0602-П65</t>
  </si>
  <si>
    <t>0602-П66</t>
  </si>
  <si>
    <t>0602-П67</t>
  </si>
  <si>
    <t>0602-П68</t>
  </si>
  <si>
    <t>0602-П69</t>
  </si>
  <si>
    <t>0602-П70</t>
  </si>
  <si>
    <t>Свега за пројекат 0602-П1:</t>
  </si>
  <si>
    <t>Свега за пројекат 0602-П2:</t>
  </si>
  <si>
    <t>Извори финансирања за Пројекат 0101-П1:</t>
  </si>
  <si>
    <t>Свега за Пројекат 0101-П1:</t>
  </si>
  <si>
    <t>Свега за Пројекат 0401-П1:</t>
  </si>
  <si>
    <t>Свега за Пројекат 1801-П1:</t>
  </si>
  <si>
    <t>Свега за Пројекат 1502-П1:</t>
  </si>
  <si>
    <t>Свега за Пројекат 1502-П2:</t>
  </si>
  <si>
    <t>Свега за Пројекат 1502-П3:</t>
  </si>
  <si>
    <t>Свега за Пројекат 1502-П4:</t>
  </si>
  <si>
    <t>Свега за пројекат 0701-П1:</t>
  </si>
  <si>
    <t>Свега за пројекат 0701-П2:</t>
  </si>
  <si>
    <t>Свега за пројекат 1201-П1:</t>
  </si>
  <si>
    <t>Свега за пројекат 1201-П2:</t>
  </si>
  <si>
    <t>Свега за пројекат 1201-П3:</t>
  </si>
  <si>
    <t>Свега за пројекат 1201-:</t>
  </si>
  <si>
    <t>Свега за пројекат 1201:</t>
  </si>
  <si>
    <t>Свега за пројекат 1201-П4:</t>
  </si>
  <si>
    <t>Свега за пројекат 1201-П5:</t>
  </si>
  <si>
    <t>Свега за пројекат 1201-П6:</t>
  </si>
  <si>
    <t>Свега за пројекат 1201-П7:</t>
  </si>
  <si>
    <t>Свега за пројекат 2002-П1:</t>
  </si>
  <si>
    <t>Свега за пројекат 2002-П2:</t>
  </si>
  <si>
    <t>Свега за пројекат 2003-П2:</t>
  </si>
  <si>
    <t>Извори финансирања за пројекат 0701-П1:</t>
  </si>
  <si>
    <t>Извори финансирања за пројекат 0701-П3:</t>
  </si>
  <si>
    <t>Свега за пројекат 0701-П3:</t>
  </si>
  <si>
    <t>Извори финансирања за пројекат 1201-П1:</t>
  </si>
  <si>
    <t>Извори финансирања за пројекат 1201-П2:</t>
  </si>
  <si>
    <t>Извори финансирања за пројекат 1201-П3:</t>
  </si>
  <si>
    <t>Извори финансирања за пројекат 1201-П4:</t>
  </si>
  <si>
    <t>Извори финансирања за пројекат 1201-П5:</t>
  </si>
  <si>
    <t>Извори финансирања за пројекат 1201-П6:</t>
  </si>
  <si>
    <t>Извори финансирања за пројекат 0602-П7:</t>
  </si>
  <si>
    <t>Извори финансирања за пројекат 2001-П1:</t>
  </si>
  <si>
    <t>Свега за пројекат 2001-П1:</t>
  </si>
  <si>
    <t>Извори финансирања за пројекат 2002-П2:</t>
  </si>
  <si>
    <t>Извори финансирања за пројекат 2003-П1:</t>
  </si>
  <si>
    <t>Свега за пројекат 2003-П1:</t>
  </si>
  <si>
    <t>Извори финансирања за пројекат 2003-П2:</t>
  </si>
  <si>
    <t>Извори финансирања за пројекат 0602-П1:</t>
  </si>
  <si>
    <t>Извори финансирања за пројекат 0602-П2:</t>
  </si>
  <si>
    <t>Извори финансирања за Пројекат 0401-П1:</t>
  </si>
  <si>
    <t>Извори финансирања за Пројекат 1801-П1:</t>
  </si>
  <si>
    <t>Извори финансирања за Пројекат 0602-П3:</t>
  </si>
  <si>
    <t>Свега за Пројекат 0602-П3:</t>
  </si>
  <si>
    <t>Извори финансирања за Пројекат 1502-П1:</t>
  </si>
  <si>
    <t>Извори финансирања за Пројекат 1502-П2:</t>
  </si>
  <si>
    <t>Извори финансирања за Пројекат 1502-П3:</t>
  </si>
  <si>
    <t>Извори финансирања за Пројекат 1502-П4:</t>
  </si>
  <si>
    <t xml:space="preserve">0701-0002 </t>
  </si>
  <si>
    <t>Извори финансирања за програмску активност 0701-0002:</t>
  </si>
  <si>
    <t>Свега за програмску активност 0701-0002:</t>
  </si>
  <si>
    <t>Извори финансирања за пројекат 0701-П2:</t>
  </si>
  <si>
    <t>Извори финансирања за Главу 8.2:</t>
  </si>
  <si>
    <t>Свега за Главу 8.2:</t>
  </si>
  <si>
    <t>Извори финансирања за Главу 8.3:</t>
  </si>
  <si>
    <t>Свега за Главу 8.3:</t>
  </si>
  <si>
    <t>Извори финансирања за Главу 8.4:</t>
  </si>
  <si>
    <t>Свега за Главу 8.4:</t>
  </si>
  <si>
    <t>Извори финансирања за Главу 8.5:</t>
  </si>
  <si>
    <t>Свега за Главу 8.5:</t>
  </si>
  <si>
    <t>Извори финансирања за Главу 8.6:</t>
  </si>
  <si>
    <t>Свега за Главу 8.6:</t>
  </si>
  <si>
    <t>Извори финансирања за Главу 8.7:</t>
  </si>
  <si>
    <t>Свега за Главу 8.7:</t>
  </si>
  <si>
    <t xml:space="preserve">Прослава Дана особођења Града </t>
  </si>
  <si>
    <t>Прослава Градске славе - Света Тројица</t>
  </si>
  <si>
    <t>Подстицаји за развој предузетништва (БИЦ Јумко)</t>
  </si>
  <si>
    <t>Одржавање економске инфраструктуре (Слободна зона)</t>
  </si>
  <si>
    <t>Финансијска подршка локалном економском развоју ( камате за предузетнике)</t>
  </si>
  <si>
    <t xml:space="preserve">Набавка стеоних јуница </t>
  </si>
  <si>
    <t>Суфинансирање вештачке оплодње</t>
  </si>
  <si>
    <t>Етно сајам</t>
  </si>
  <si>
    <t>Меморијал Бакије Бакића</t>
  </si>
  <si>
    <t>Новогодишње украшавање града</t>
  </si>
  <si>
    <t>Извори финансирања за Пројекат 1502-П5:</t>
  </si>
  <si>
    <t>Свега за Пројекат 1502-П5:</t>
  </si>
  <si>
    <t>Постављање Ски лифта "Суво Рудиште"</t>
  </si>
  <si>
    <t>Изградња улице Боре Станковића</t>
  </si>
  <si>
    <t>Изградња ...</t>
  </si>
  <si>
    <t>Публикација књиге ....</t>
  </si>
  <si>
    <t>Изградња и опремање зграде Позоришта</t>
  </si>
  <si>
    <t>Школа у природи</t>
  </si>
  <si>
    <t>Изградња школе у Бресници</t>
  </si>
  <si>
    <t xml:space="preserve">Година почетка финансирања пројекта: </t>
  </si>
  <si>
    <t xml:space="preserve">Година завршетка финансирања пројекта: </t>
  </si>
  <si>
    <t>Укупна вредност пројекта:</t>
  </si>
  <si>
    <t xml:space="preserve">Укупна вредност пројекта: </t>
  </si>
  <si>
    <t>- из осталих извора</t>
  </si>
  <si>
    <t>Набавка контејнера</t>
  </si>
  <si>
    <t xml:space="preserve">1101-0002 </t>
  </si>
  <si>
    <t xml:space="preserve">Уређивање грађевинског земљишта </t>
  </si>
  <si>
    <t>РАЗВОЈНИ ФОНД</t>
  </si>
  <si>
    <t>Извори финансирања за пројекат 1201-П7:</t>
  </si>
  <si>
    <t>Извори финансирања за пројекат 1201-П8:</t>
  </si>
  <si>
    <t>Свега за пројекат 1201-П8:</t>
  </si>
  <si>
    <t>Извори финансирања за пројекат 1201-П9:</t>
  </si>
  <si>
    <t>Свега за пројекат 1201-П9:</t>
  </si>
  <si>
    <t>Извори финансирања за пројекат 1201-П10:</t>
  </si>
  <si>
    <t>Свега за пројекат 1201-П10:</t>
  </si>
  <si>
    <t>Извори финансирања за пројекат 1201-П11:</t>
  </si>
  <si>
    <t>Свега за пројекат 1201-П11:</t>
  </si>
  <si>
    <t>Извори финансирања за пројекат 1201-П12:</t>
  </si>
  <si>
    <t>Свега за пројекат 1201-П12:</t>
  </si>
  <si>
    <t>Неутрошена средства из претходних година</t>
  </si>
  <si>
    <t>(91+92+3) - (61+6211)</t>
  </si>
  <si>
    <t>B.</t>
  </si>
  <si>
    <t>Изградња кружног тока код Храма Свете Тројице</t>
  </si>
  <si>
    <t>421-Стални трошкови</t>
  </si>
  <si>
    <t>423-Услуге по уговору</t>
  </si>
  <si>
    <t>Трансфери од осталих нивоа власти</t>
  </si>
  <si>
    <t>Добровољни трансфери од физичких и правних лица</t>
  </si>
  <si>
    <t>Трансфери од других нивоа власти</t>
  </si>
  <si>
    <t>Издаци за набавку финансијске имовине (осим за набавку домаћих хартија од вредности 6211)</t>
  </si>
  <si>
    <t>(7+8) - (4+5) - 62</t>
  </si>
  <si>
    <t>6211</t>
  </si>
  <si>
    <r>
      <t>Примања од продаје финансијске имовине (конта 92</t>
    </r>
    <r>
      <rPr>
        <sz val="12"/>
        <rFont val="Times New Roman"/>
        <family val="1"/>
      </rPr>
      <t>11</t>
    </r>
    <r>
      <rPr>
        <sz val="12"/>
        <rFont val="Times New Roman"/>
        <family val="1"/>
        <charset val="238"/>
      </rPr>
      <t>, 9221, 9219, 9227, 9228)</t>
    </r>
  </si>
  <si>
    <t>Издаци за набавку финансијске имовине (за набавку домаћих хартија од вредности 6211)</t>
  </si>
  <si>
    <t>Члан 1.</t>
  </si>
  <si>
    <t xml:space="preserve">  Буџет општине Љубовија за 2016. годину састоји се од:</t>
  </si>
  <si>
    <t>Члан 2.</t>
  </si>
  <si>
    <t>Члан 3.</t>
  </si>
  <si>
    <t xml:space="preserve">  Средства из става 1. овог члана користе се за непланиране сврхе за које нису утврђене апропријације или за сврхе за које се у току године покаже да апропријације нису биле довољне.</t>
  </si>
  <si>
    <t xml:space="preserve"> Председник општине /општинско веће, на предлог локалног органа надлежног за финансије, доноси решење о употреби текуће буџетске резерве.</t>
  </si>
  <si>
    <t>Буџетска средства у динарима</t>
  </si>
  <si>
    <t xml:space="preserve">               О Д Л У К А</t>
  </si>
  <si>
    <t>О БУЏЕТУ ОПШТИНЕ ЉУБОВИЈА ЗА 2016.ГОДИНУ</t>
  </si>
  <si>
    <t xml:space="preserve">  I ОПШТИ ДЕО</t>
  </si>
  <si>
    <t>Члан 4.</t>
  </si>
  <si>
    <t>Члан 5.</t>
  </si>
  <si>
    <t>Ненаменски трансфери од Републике у корист нивоа општина</t>
  </si>
  <si>
    <t>733154</t>
  </si>
  <si>
    <t>Текући наменски трансфери, у ужем смислу, од Републике у корист нивоа општина</t>
  </si>
  <si>
    <t>733251</t>
  </si>
  <si>
    <t>Капитални трансфери од других нивоа власти у корист нивоаопштина</t>
  </si>
  <si>
    <t>741151</t>
  </si>
  <si>
    <t>Приходи буџета општина од камата на средства консолидованог рачуна трезора укључена у депозит банака</t>
  </si>
  <si>
    <t>742152</t>
  </si>
  <si>
    <t>Приходи од давања у закуп, односно на коришћење непокретности у државној својини које користе општине и индиректни корисници њиховог буџета</t>
  </si>
  <si>
    <t>7421453</t>
  </si>
  <si>
    <t>Општинске административне таксе</t>
  </si>
  <si>
    <t>Приходи који својом делатношћу остваре органи и организације општине</t>
  </si>
  <si>
    <t>745151</t>
  </si>
  <si>
    <t>Остали приходи у корист нивоа општина</t>
  </si>
  <si>
    <t>745152</t>
  </si>
  <si>
    <t>Закупнина за стан у државној својини у корист нивоа општина</t>
  </si>
  <si>
    <t>745153</t>
  </si>
  <si>
    <t>Део добити јавног предузећа према одлуци управног одбора јавног предузећа у корист нивоа општина</t>
  </si>
  <si>
    <t>Члан 6.</t>
  </si>
  <si>
    <t xml:space="preserve">        Издаци за капиталне пројекте, планирани за буџетску 2016. и наредне две године, исказане су у табели.</t>
  </si>
  <si>
    <t>Члан 7.</t>
  </si>
  <si>
    <t xml:space="preserve">             Укупни расходи и издаци буџета по основним наменама, утврђени су у следећим износима:</t>
  </si>
  <si>
    <t>Члан 8.</t>
  </si>
  <si>
    <t>Члан 9.</t>
  </si>
  <si>
    <t>Члан 10.</t>
  </si>
  <si>
    <t>СКУПШТИНА ОПШТИНЕ  92135</t>
  </si>
  <si>
    <t>ПРЕДСЕДНИК ОПШТИНЕ И ОПШТИНСКО ВЕЋЕ 92136</t>
  </si>
  <si>
    <t>Јавна безбедност неквалификована на другом месту</t>
  </si>
  <si>
    <t>Извори финансирања за функцију 360:</t>
  </si>
  <si>
    <t>Функција 360:</t>
  </si>
  <si>
    <t>Функционисање локалне самоуправе</t>
  </si>
  <si>
    <t>Програмска активност: Канцеларија за младе</t>
  </si>
  <si>
    <t>Свега за програмску активност 0602-0007:</t>
  </si>
  <si>
    <t>Свега за програмску активност 0602-0010:</t>
  </si>
  <si>
    <t>Извори финансирања за Пројекат 0701-П1</t>
  </si>
  <si>
    <t>Свега за Пројекат 0701-П1:</t>
  </si>
  <si>
    <t>Извори финансирања за Пројекат 0701-П2</t>
  </si>
  <si>
    <t>Извори финансирања за Пројекат 0701-П3</t>
  </si>
  <si>
    <t>Свега за Пројекат 0701-П3:</t>
  </si>
  <si>
    <t>Омладинска</t>
  </si>
  <si>
    <t>Извори финансирања за Пројекат 0701-П4</t>
  </si>
  <si>
    <t>Свега за Пројекат 0701-П4:</t>
  </si>
  <si>
    <t>Извори финансирања за Пројекат 0701-П5</t>
  </si>
  <si>
    <t>Свега за Пројекат 0701-П5:</t>
  </si>
  <si>
    <t>Извори финансирања за Пројекат 0701-П6</t>
  </si>
  <si>
    <t>Свега за Пројекат 0701-П6:</t>
  </si>
  <si>
    <t>Извори финансирања за Пројекат 0701-П7</t>
  </si>
  <si>
    <t>Свега за Пројекат 0701-П7:</t>
  </si>
  <si>
    <t>Извори финансирања за Пројекат 0701-П8</t>
  </si>
  <si>
    <t>Свега за Пројекат 0701-П8:</t>
  </si>
  <si>
    <t>Извори финансирања за Пројекат 0701-П9</t>
  </si>
  <si>
    <t>Свега за Пројекат 0701-П9:</t>
  </si>
  <si>
    <t>Функција: Породица и деца</t>
  </si>
  <si>
    <t>Извори финансирања за функцију 040:</t>
  </si>
  <si>
    <t>Функција 040:</t>
  </si>
  <si>
    <t>Свега за Програмску активност 0901-0002:</t>
  </si>
  <si>
    <t>Свега за Програмску активност 0901-0001:</t>
  </si>
  <si>
    <t>Пројекат "Помоћ у кући"</t>
  </si>
  <si>
    <t>Извори финансирања за Пројекат 0901-П1:</t>
  </si>
  <si>
    <t>Свега за Пројекат 0901-П1:</t>
  </si>
  <si>
    <t>Извори финансирања за Пројекат 0901-П2:</t>
  </si>
  <si>
    <t>Свега за Пројекат 0901-П2:</t>
  </si>
  <si>
    <t>Пројекат "Дневни боравак"</t>
  </si>
  <si>
    <t>Рекреација,спорт,култура и вера, некласификовано на другом месту</t>
  </si>
  <si>
    <t>Извори финансирања за функцију 860:</t>
  </si>
  <si>
    <t>Функција 860:</t>
  </si>
  <si>
    <t>Извори финансирања за Програмску активност 1201-0001:</t>
  </si>
  <si>
    <t>Свега за Програмску активност 1201-0001:</t>
  </si>
  <si>
    <t>Извори финансирања за Главу 3:</t>
  </si>
  <si>
    <t>Свега за Главу 3:</t>
  </si>
  <si>
    <t>Дринска регата</t>
  </si>
  <si>
    <t>Гастро фест</t>
  </si>
  <si>
    <t>6</t>
  </si>
  <si>
    <t>Извори финансирања за Разделе 1,2,3 и 4:</t>
  </si>
  <si>
    <t>Свега за Разделе 1,2,3 и 4:</t>
  </si>
  <si>
    <t>Извори финансирања за Главу 8:</t>
  </si>
  <si>
    <t>Свега за Главу 8:</t>
  </si>
  <si>
    <t>Свега за Раздео 3:</t>
  </si>
  <si>
    <t>ОСНОВНА  ШКОЛА "Петар Враголић"</t>
  </si>
  <si>
    <t>СРЕДЊЕ ШКОЛЕ " Вук Караџић"</t>
  </si>
  <si>
    <t>ОПШТИНСКА УПРАВА 06068</t>
  </si>
  <si>
    <t>МЕСНЕ ЗАЈЕДНИЦЕ  70153</t>
  </si>
  <si>
    <t>ФОНД ЗА ЗАШТИТУ ЖИВОТНЕ СРЕДИНЕ  80691</t>
  </si>
  <si>
    <t>ПРЕДШКОЛСКА УСТАНОВА  "ПОЛЕТАРАЦ"  70156</t>
  </si>
  <si>
    <t>БИБЛИОТЕКА "МИЛОВАН ГЛИШИЋ"  70154</t>
  </si>
  <si>
    <t>ТУРИСТИЧКА ОРГАНИЗАЦИЈАОПШТИНЕ   70844</t>
  </si>
  <si>
    <t>ФОНД ЗА РАЗВОЈ ПОЉОПРИВРЕДЕ 70926</t>
  </si>
  <si>
    <t>ФОНД ЗА БЕЗБЕДНОСТ САОБРАЋАЈА 70159</t>
  </si>
  <si>
    <t>Опрема</t>
  </si>
  <si>
    <t>Накнаде штете за повреде или штету насталу услед елементарне непогоде</t>
  </si>
  <si>
    <t xml:space="preserve">                                    II    ПОСЕБАН ДЕО</t>
  </si>
  <si>
    <t>Mатеријал</t>
  </si>
  <si>
    <t>Дотације осталим непрофитним институцијама</t>
  </si>
  <si>
    <t>414 - Социјална давања запосленима                                200.000</t>
  </si>
  <si>
    <t>415 - Накнаде трошкова за запослене                            3.520.000</t>
  </si>
  <si>
    <t>421- Стални трошкови                                                       8.595.000</t>
  </si>
  <si>
    <t>422- Трошкови путовања                                                 8.415.000</t>
  </si>
  <si>
    <t>423- Услуге по уговору                                                       620.000</t>
  </si>
  <si>
    <t>424 - Специјализоване услуге                                             900.000</t>
  </si>
  <si>
    <t>425- Текуће поправке и одржавање                              1.200.000</t>
  </si>
  <si>
    <t>426 - Материјал                                                                   1.920.000</t>
  </si>
  <si>
    <t>482 - Порези и таксе                                                                20.000</t>
  </si>
  <si>
    <t>511 - Зграде и грађевински објекти                                   200.000</t>
  </si>
  <si>
    <t>512 - Опрема                                                                       2.300.000</t>
  </si>
  <si>
    <t>416- Награде запосленима - јубиларне награде          1.000.000</t>
  </si>
  <si>
    <t>483 - Новчане казне и пенали по решењу суда                60.000</t>
  </si>
  <si>
    <t>414 - Социјална давања запосленима                                80.000</t>
  </si>
  <si>
    <t>415 - Накнаде трошкова за запослене                             400.000</t>
  </si>
  <si>
    <t>422- Трошкови путовања                                                    155.000</t>
  </si>
  <si>
    <t>425- Текуће поправке и одржавање                                 887.472</t>
  </si>
  <si>
    <t>482 - Порези и таксе                                                                30.000</t>
  </si>
  <si>
    <t>Извори финансирања за пројекат 2001-П2:</t>
  </si>
  <si>
    <t>Свега за пројекат 2001-П2:</t>
  </si>
  <si>
    <t>Извори финансирања за пројекат 2001-П3:</t>
  </si>
  <si>
    <t>Доградња котларнице за складиште пелета</t>
  </si>
  <si>
    <t>Реконструкција дворишта</t>
  </si>
  <si>
    <t>Реконструкција санитарних чворова</t>
  </si>
  <si>
    <t>Специјализоване услуге- геодетске услуге 3.700.000  и хангар 2.300.000</t>
  </si>
  <si>
    <t>Уређење и одржавање зеленила и чишћење града</t>
  </si>
  <si>
    <t xml:space="preserve">План за 2016. </t>
  </si>
  <si>
    <t>Свега за Пројекат 0701-П2:</t>
  </si>
  <si>
    <t xml:space="preserve">Текуће субвенције у пољопривреди                                                                </t>
  </si>
  <si>
    <t>Саобраћајна инфраструктура у индустријској зони уз државни пут 2.реда</t>
  </si>
  <si>
    <t>Рехабилитација Косовске улице</t>
  </si>
  <si>
    <t>Рехабилитација Омладинске улице</t>
  </si>
  <si>
    <t>Изградња нисконапонске мреже на територији општине Љубовија</t>
  </si>
  <si>
    <t>Реконструкција улице Стојана Чупића</t>
  </si>
  <si>
    <t xml:space="preserve">Капиталне субвенције јавним нефинансијским предузећима и организацијама ( Водовод у Омладинској улици , улици Стојана Чупића ,  Реконструкција Електроормана на бунарима Грабовица, Локатори неметалних цеви, Изградња секундарне мреже и завршетак радова на базену Врхпоље)                                                               </t>
  </si>
  <si>
    <t>421- Стални трошкови                                                       1.832.400</t>
  </si>
  <si>
    <t>423- Услуге по уговору                                                       450.000</t>
  </si>
  <si>
    <t>424 - Специјализоване услуге                                            260.000</t>
  </si>
  <si>
    <t>426 - Материјал                                                                     550.000</t>
  </si>
  <si>
    <t>483- Новчане казне и пенали по решењу суда                 20.000</t>
  </si>
  <si>
    <t>416- Награде запосленима - јубиларне награде            321.968</t>
  </si>
  <si>
    <t>511 - Зграде и грађевински објекти                                 600.000</t>
  </si>
  <si>
    <t>7</t>
  </si>
  <si>
    <t xml:space="preserve">   - приходи и примања у износу од    488.157.671,00 динара</t>
  </si>
  <si>
    <t xml:space="preserve">  - расхода и издатака у износу од     488.157.671,00 динара</t>
  </si>
  <si>
    <t xml:space="preserve">  Средства текуће буџетске резерве планирају се у буџету општине у износу од    5.000.000 динара .</t>
  </si>
  <si>
    <t xml:space="preserve">  Средства сталне  буџетске резерве планирају се у буџету општине у износу од  100.000 динара и користе се у складу са чланом 70. Закона о буџетском систему .</t>
  </si>
  <si>
    <t xml:space="preserve">  Приходи и примања буџета општине  планирани су у укупном  износу од 488.157.671 динара по врстама, односно економским класификацијама, утврђени су у следећим износима:</t>
  </si>
  <si>
    <t xml:space="preserve"> Укупна средства буџета у износу од  488.157.671 динара, утврђена овом одлуком, распоређена су по програмској класификацији датој у табели.</t>
  </si>
  <si>
    <t>Расходи и издаци буџета по функционалној класификацији утврђени су и распоређени у следећим износима:</t>
  </si>
  <si>
    <t xml:space="preserve">ПРОГРАМ 9 - ОСНОВНО ОБРАЗОВАЊЕ </t>
  </si>
  <si>
    <t xml:space="preserve">Капиталне субвенције јавним нефинансијским предузећима и организацијама (Уређење  Градског гробља ,  Изградња колектор Стара љубовија,               Изградња  затварачница за две фекалне пумпне станице и  набавка контејнера)                                                                </t>
  </si>
  <si>
    <t>Примања буџета општине  Љубовија прикупљају се и наплаћују у складу са законом и другим прописима, независно од износа утврђених овом одлуком.</t>
  </si>
  <si>
    <t xml:space="preserve">  На терет буџетских средстава корисник може преузимати обавезе само до износа апропријација утврђене овом одлуком.</t>
  </si>
  <si>
    <t xml:space="preserve">    Изузетно, корисници буџетских средстава могу преузети обавезе по уговорима који се односе на капиталне издатке и који захтевају плаћање у више година, на основу предлога органа надлежног за послове финансија уз сагласност председника општине/општинско веће.</t>
  </si>
  <si>
    <t xml:space="preserve">     У случају из става 1. овог члана корисници средстава буџета општине Љубовија могу преузети обавезе по уговору само за капиталне пројекте у складу са предвиђеним средствима за текућу и наредне две године у општем делу буџета исказаног у овој одлуци.</t>
  </si>
  <si>
    <t xml:space="preserve">     Корисници средстава буџета општине Љубовија обавезни су да пре покретања поступка јавне набавке за преузимање обавеза по уговору за капиталне пројекте из става 2. овог члана, прибаве сагласност надлежног органа из става 1. овог члана.</t>
  </si>
  <si>
    <t xml:space="preserve">                                        Члан 16.</t>
  </si>
  <si>
    <t xml:space="preserve">    Изузетно у случају ако се буџету општине определе наменска средства са другог нивоа власти укључујући и средства за надокнаду штете услед елементарних непогод, као и у случају уговарања донација, чији износи нису могли бити познати у поступку доношења буџета, орган управе надлежан за финансије отвориће у складу са чланом 5. Закона о буџетском систему, на основу тог акта, одговарајуће апропријације за извршавање расхода по том основу.</t>
  </si>
  <si>
    <t xml:space="preserve">                                        Члан 17.</t>
  </si>
  <si>
    <t xml:space="preserve">   Обавезе према корисницима буџетских средстава извршавају се сразмерно оствареним примањима буџета.</t>
  </si>
  <si>
    <t xml:space="preserve">  Ако се у току године примања смање, издаци буџета извршаваће се по приоритетима, и то: обавезе утврђене законским прописима и минимални стални трошкови за несметано функционисање корисника буџетских средстава.</t>
  </si>
  <si>
    <t xml:space="preserve">                                        Члан 18.</t>
  </si>
  <si>
    <t xml:space="preserve">    Средства буџета распоређују се и исказују по ближим наменама, у складу са економским и функционалним класификацијама, годишњим програмом и финансијским планом прихода и расхода.</t>
  </si>
  <si>
    <t xml:space="preserve">    Годишњи програм и финансијски план из става 1. овог члана доноси надлежни орган корисник, најкасније 45 дана од дана ступања на снагу ове одлуке.</t>
  </si>
  <si>
    <t xml:space="preserve">                                        Члан 19.</t>
  </si>
  <si>
    <t xml:space="preserve">    Приликом додељивања уговора о набавци добара, пружања услуга и извођењу радова сви корисници буџета треба да поступе на начин утврђен Законом о јавним набавкама.</t>
  </si>
  <si>
    <t xml:space="preserve">                                        Члан 20.</t>
  </si>
  <si>
    <t xml:space="preserve">   Корисници јавних средстава буџета општине Љубовија преузимају обавезе након писаног уговора или другог правног акта, уколико законом није друкчије прописано.</t>
  </si>
  <si>
    <t xml:space="preserve"> Корисници буџетских средстава дужни су да обавесте трезор локалне власти о: 1) намери преузимања обавезе; 2) предвиђеним условима ироковима плаћања нкон потписивања уговора; 3) свакој промени која се тиче износа, рокова и услова плаћања; 4) поднесу захтев за плаћање у року прописаном актом министра из члана 58. Закона о буџетском систему.</t>
  </si>
  <si>
    <t xml:space="preserve"> Преузете обавезе чији је износ већи од износа средстава предвиђених овом одлуком или које су настале у супротности са овом одлуком, не могу се извршавати на терет консолидованог рачуна трезора.</t>
  </si>
  <si>
    <t xml:space="preserve">                                        Члан 21.</t>
  </si>
  <si>
    <t xml:space="preserve"> У случају да се у току године обим пословања или овлашћења директног корисника буџетских средстава промени, износ апропријације издвојених за активности тог корисника могу се увећати, односно смањити на терет или у корист текуће буџетске резерве.</t>
  </si>
  <si>
    <t xml:space="preserve"> Решење о промени апропријације из става1. овог члана доноси председник општине/ општинско веће.</t>
  </si>
  <si>
    <t>Директни корисник буџетских средстава , уз одобрење локалног органа надлежног за финансије , може извршити преусмеравање апропријација одобрених на име одређеног расхода у износу од 5% вредности апропријације за расход чији се износ умањује.</t>
  </si>
  <si>
    <t xml:space="preserve"> Укупан износ преусмеравања из става 4. овог члана мора бити у складу са чланом 69. Закона о буџетском систему.</t>
  </si>
  <si>
    <t xml:space="preserve">                                        Члан 22.</t>
  </si>
  <si>
    <t xml:space="preserve"> Директни корисник буџетских средстава, који оствари приход чији износ није могао бити познат у поступку доношења буџета, подноси захтев надлежном органу за финансије за отварање, односно повећање постојеће апропријације за извршење расхода из свих извора финансирања, осим за извор 01- приходи из буџета.</t>
  </si>
  <si>
    <t>Индиректни  корисник буџетских средстава, који оствари приход чији износ није могао бити познат у поступку доношења буџета, подноси захтев надлежном директном, односно повећање постојеће апропријације за извршење расхода из свих извора финансирања, осим за извор 01- приходи из буџета.</t>
  </si>
  <si>
    <t xml:space="preserve"> Апропријације из става 1. и 2. овог члана могу се мењати без ограничења.</t>
  </si>
  <si>
    <t xml:space="preserve">                                        Члан 23.</t>
  </si>
  <si>
    <t xml:space="preserve">   За извршење ове одлуке одговоран је председник општине.</t>
  </si>
  <si>
    <t xml:space="preserve"> Наредбодавац за извршење буџета је председник општине,</t>
  </si>
  <si>
    <t xml:space="preserve">                                        Члан 24.</t>
  </si>
  <si>
    <t xml:space="preserve"> Општинско веће је одговорно, у смислу Закона о буџетском систему, за спровођење фискалне политике и управљања јавном имовином, приходима и примањима и расходима и издацима.</t>
  </si>
  <si>
    <t xml:space="preserve">                                        Члан 25.</t>
  </si>
  <si>
    <t xml:space="preserve">        Локални орган управе надлежан за финансије обавезан је да редовно прати извршење буџета и најмање два пута годишње информише председника општине/општинско веће, а обавезно у року од петнаест дана по истеку шестомесечног, односно деветомесечног периода.                                                                                                                                                                                             </t>
  </si>
  <si>
    <t xml:space="preserve">       У року од петнаест дана по доношењу извештаја из става 1. овог члана, председник општине/општинско веће усваја и доставља извештаје Скупштини општине.</t>
  </si>
  <si>
    <t xml:space="preserve">                                        Члан 26.</t>
  </si>
  <si>
    <t>Распоред и коришћење средстава врши се по финасијским плановима и програмима у оквиру раздела, чији су носиоци директни корисници буџетаски средстава и то:</t>
  </si>
  <si>
    <t>Раздео 1 - Скупштина општине</t>
  </si>
  <si>
    <t>За коришћење средстава из одобрених апропријација у оквиру овог раздела захтеве подноси председник скупштине општине или његов заменик, уз пратећу оргиналну документацију претходно припремљену и контролисану од стране секретара Скупшине општине.</t>
  </si>
  <si>
    <t>Раздео 2- Председник општине - Општинско веће</t>
  </si>
  <si>
    <t>За коришћење средстава из одобрених апропријација у оквиру овог раздела захтеве подноси председник  општине или његов заменик, уз пратећу оргиналну документацију претходно припремљену и контролисану од стране одговорног лица за скупштинске послове.</t>
  </si>
  <si>
    <t>Раздео 3 - Општинска управа</t>
  </si>
  <si>
    <t xml:space="preserve">   За коришћење средстава из одобрених апропријација у оквиру овог раздела, везаних за функцију 130 захтеве подноси начелник општинске управе  или његов заменик, уз пратећу оргиналну документацију претходно припремљену и контролисану од стране одговорног лица задуженог у одељењу за финансије и буџет Општинске управе, а за коришћење средстава из одобрених апропријација у овом разделу, везаних за функције 740, 810, 090, 912, 920, 820, 911,473,360 захтеве подноси начелник Општинске управе уз пратећу књиговодствену документацију (копије) припремљену и контролисану од одговорних лица корисника и оверену од стране одговорног лица у надлежним одељењима или службама Општинске управе.</t>
  </si>
  <si>
    <t xml:space="preserve"> Руководиоци корисника и њихови заменици, из става 1 и 2., су непосредно одговорни Председнику општине за коришћење средстава из одобрених апропријација.</t>
  </si>
  <si>
    <t xml:space="preserve">    У случајевима када буџетски корисник намерава да покрене поступак јавне набавке, у оквиру додељених апропријација, исти је дужан да се претходно обрати Трезору захтевом за преузимање обавза нјмање три дана пре покретања поступка јавних анбавки. По спроведеном поступку јавне набавке буџетски корисник ће поднети Трезору захтев за пренос средстава.</t>
  </si>
  <si>
    <t>На захтев Трезора корисници су дужни да доставе на увид и друге податке који су неопходни за пренос средстава.</t>
  </si>
  <si>
    <t xml:space="preserve"> Унутар одељења за финансије и буџет спроводи се интерна контрола о оправданости и законитости поднетих докумената на плаћање из буџета, на основу одобрених апропријацијаиз ове одлуке, финансијских плнова и програма.</t>
  </si>
  <si>
    <t xml:space="preserve">                                        Члан 27.</t>
  </si>
  <si>
    <t xml:space="preserve">  За законито и наменско коришћење средстава распоређених овом одлуком, одговоран је председник општине Љубовија.</t>
  </si>
  <si>
    <t>За законито и наменско коришћење средстава распорених овом одлуком за остале кориснике одговоран је Начелник општинске управе и руководиоци корисника средстава.</t>
  </si>
  <si>
    <t xml:space="preserve">                                        Члан 28.</t>
  </si>
  <si>
    <t xml:space="preserve">                                        Члан 29.</t>
  </si>
  <si>
    <t xml:space="preserve"> У случају да за извршење одређеног плаћања корисника средстава буџета није постојао правни основ, средства се враћају у буџет.</t>
  </si>
  <si>
    <t xml:space="preserve">                                        Члан 30.</t>
  </si>
  <si>
    <t xml:space="preserve">        Уколико индиректни корисник буџета својом делатношћу изазове судски спор, извршење правоснажних судских одлука и судска поравнања извршавају се на терет његових апропријација, а преко апропријације која је намењена за ову врсту расхода.</t>
  </si>
  <si>
    <t xml:space="preserve">                                        Члан 31.</t>
  </si>
  <si>
    <t xml:space="preserve">           Привремено расположива средства на рачуну буџета могу се краткорочно  пласирати или орочавати код банака или других финансијских организација, у складу са Законом.                                                                                                                       </t>
  </si>
  <si>
    <t xml:space="preserve">          Уговор из става 1. овог члана закључује лице које је овлашћено за управљање готовинским средствима Трезора.</t>
  </si>
  <si>
    <t xml:space="preserve">                                        Члан 32.</t>
  </si>
  <si>
    <t xml:space="preserve">       Приходи који су погрешно уплаћени, или уплаћени у већем износу од прописаних, враћају се на терт погрешно или више уплаћених прихода, ако посебним прописима није другачије одређено.                                       </t>
  </si>
  <si>
    <t xml:space="preserve">      Приходи из става 1.овог члана, враћају се у износима у којима су уплаћени у корист буџета.</t>
  </si>
  <si>
    <t xml:space="preserve">                                        Члан 33.</t>
  </si>
  <si>
    <t xml:space="preserve">                                        Члан 34.</t>
  </si>
  <si>
    <t xml:space="preserve"> Буџетски корисници су дужни да на захтев надлежног одељења, тј. Службе директног корисника, ставе на увид документацију о њиховом финансирању, као и да достављају извештаје о остварењу прихода и извршењу расхода у одређњном периоду (најмање тромесечно), укуључујући и приходе које остваре обављањем услуга.</t>
  </si>
  <si>
    <t xml:space="preserve">                                        Члан 35.</t>
  </si>
  <si>
    <t xml:space="preserve">  Одлуку о капиталном задуживању доноси Скупштина општине, по претходно прибављеном мишљењу Министарства финасија.</t>
  </si>
  <si>
    <t>СКУПШТИНА ОПШТИНЕ ЉУБОВИЈА</t>
  </si>
  <si>
    <t>ПРЕДСЕДНИК</t>
  </si>
  <si>
    <t>СКУПШТИНЕ ОПШТИНЕ</t>
  </si>
  <si>
    <t>Предраг Марковић</t>
  </si>
  <si>
    <t xml:space="preserve">                               III     ИЗВРШЕЊЕ БУЏЕТА</t>
  </si>
  <si>
    <t xml:space="preserve">                                      Члан 11.</t>
  </si>
  <si>
    <t xml:space="preserve">                                     Члан 12.</t>
  </si>
  <si>
    <t xml:space="preserve">                                      Члан 13.</t>
  </si>
  <si>
    <t xml:space="preserve">                                       Члан 14.</t>
  </si>
  <si>
    <t xml:space="preserve">                                        Члан 15.</t>
  </si>
  <si>
    <t xml:space="preserve"> Ако у току године дође до промене околноси која не угрожава утврђене приоритете унутар буџета, председник општине/општинско веће доноси одлуку да се износ апропријације који није могуће користити , пренесе у текућу буџетску резерву и може се користити за намене које нису предвиђене буџетом или намене за које средства нису довољна.</t>
  </si>
  <si>
    <t xml:space="preserve"> Овлашћује се предсдник општине да поднесе захтев Министарству финансија за одобрење фискалног дефицита изнад утврђеног лимита од 10% уколико је реазултат реализација јавних инвестиција.</t>
  </si>
  <si>
    <t xml:space="preserve"> За коришћење средстава из одобрених апропријација у оквиру овог раздела, везаних за функцију 620 и 630 захтеве подноси руководиоци корисника уз пратећу документацију (копију) претходно припремљену и контролисану од стране одговорних лица тих корисника.</t>
  </si>
  <si>
    <t xml:space="preserve"> Сви захтеви из овог члана се подносе Трезору општине при одељењу за финансије и буџет Општинске управе.</t>
  </si>
  <si>
    <t xml:space="preserve">    На основу поднетих захтева и пратеће документације Председник општине доноси Решење о одобравању исплате са рачуна Извршења буџета које се спроводи и контролише у одељењу за финансије и буџет.</t>
  </si>
  <si>
    <t xml:space="preserve">       Директни и индиректни корисници буџетских средстава у 2016. години обрачунату исправку вредности нефинансијске имовине исказују на терт капитала, односно не исказују расход амортизације и употребе средстава за рад.</t>
  </si>
  <si>
    <t xml:space="preserve">           Корисници буџетских средстава, до 31.12.2016. године пренеће на рачун извршења буџета сва средства која нису утрошена за финансирање расхода у 2016. години, која су тим корисницима пренета у складу са Одлуком о буџету општине Љубовија за 2016. годину.</t>
  </si>
  <si>
    <t>Асфалтирање локалних путева</t>
  </si>
  <si>
    <t>Година почетка финансирања пројекта: 2016</t>
  </si>
  <si>
    <t xml:space="preserve">Година завршетка финансирања пројекта:2016 </t>
  </si>
  <si>
    <t>Година почетка финансирања пројекта: 2015</t>
  </si>
  <si>
    <t xml:space="preserve">Година почетка финансирања пројекта: 2015 </t>
  </si>
  <si>
    <t>Година завршетка финансирања пројекта: 2016</t>
  </si>
  <si>
    <t>Реконструкција саобраћаница и стаза на градском гробљу</t>
  </si>
  <si>
    <t>Изградња колектора Стара Љубовија од ПС до локације ППОВ</t>
  </si>
  <si>
    <t>Реконструкција водоводне и канализационе мреже у Омладинској улици</t>
  </si>
  <si>
    <t>Реконструкција водоводне и канализационе мреже у улици Стојана Чупића</t>
  </si>
  <si>
    <t>Изградња затварачнице за две фекалне пумпне станице ( Нова школа и сточна пијаца</t>
  </si>
  <si>
    <t>Изградња секундарне водоводне и канализационе мреже у насељима у општини Љубовија</t>
  </si>
  <si>
    <t>Доградња котларнице за пелет у ПУ Полетарац</t>
  </si>
  <si>
    <t>Изградња пута Жичара-Т.Приседо- Разбојиште - Кошље</t>
  </si>
  <si>
    <t>Година почетка финансирања пројекта: 2012</t>
  </si>
  <si>
    <t>Година завршетка финансирања пројекта: 2017</t>
  </si>
  <si>
    <t>Укупна вредност пројекта: 224.000.000</t>
  </si>
  <si>
    <t>Рехабилитација Радничке улице</t>
  </si>
  <si>
    <t>Година почетка финансирања пројекта: 2017</t>
  </si>
  <si>
    <t xml:space="preserve">Година завршетка финансирања пројекта:2017 </t>
  </si>
  <si>
    <t>Главни одводни колектор од Врхпоља до Кашица</t>
  </si>
  <si>
    <t>Магистрални цевовод Г.Љубовиђа - Д.Оровица</t>
  </si>
  <si>
    <t xml:space="preserve">Година завршетка финансирања пројекта:2018 </t>
  </si>
  <si>
    <t>Година завршетка финансирања пројекта: 2018</t>
  </si>
  <si>
    <t>Магистрални цевовод Узовница - Грачаница</t>
  </si>
  <si>
    <t>Магистрални цевовод Љубовија - Гледеће</t>
  </si>
  <si>
    <t>Реконструкција Сокоградске улице</t>
  </si>
  <si>
    <t xml:space="preserve">Година завршетка финансирања пројекта: 2017 </t>
  </si>
  <si>
    <t>Овом одлуом о буџету општине Љубовија обезбеђују се средства за 56 запослених на неодређено време,  6 запослених на одређено време и 8 изабраних,именованих и постављених лица.  Овај број увећава се за 16 запослених на неодређено и 7 запослених на одређено време у предшколској установи.</t>
  </si>
  <si>
    <t xml:space="preserve"> Средства буџета у износу од 474.383.900 динара и средства из осталих извора корисника буџета у износу од 13.773.771 динара , распоређују се по корисницима и врстама издатака и то:</t>
  </si>
  <si>
    <t>Зграде и грађевински објекти ( Пројектна документација 13.660.000 и Изградња игралишта Постење, Рујевац и Лукића Брдо 1.500.000)</t>
  </si>
  <si>
    <t>Специјализоване услуге                                                                                                   Средства су планирана за:                                                                                                      атарски путеви 10.000.000; пренете обавезе према ЈП 5.000.000; Зимска служба 4.800.000; Одржавање локалних путева 27.300.000; Некатегорисани путеви 30.100.000; Крпљење ударних рупа 800.000 и хоризонтална и вертикална сигнализација 600.000</t>
  </si>
  <si>
    <t>Зграде и грађевински објекти                                                                                         Средства су планирана за: Пренете обавезе асфалтирање путева   Козловац -О.Планина;  Жичара- Г.Оровица 5.700.000; Битиновац-Лукића брдо, Постење-Рујевац,Узовница- Црнча и  Лоњин 8.500.000;                                                             У 2016- Асфалтирање  Ваљевске улице , Регулација Радишиног потока, Љубовија - Јавор,  Д.Љубовиђа - Алин Грм и  Ракета(Грабовица)- Љубовија 20.860.000.</t>
  </si>
  <si>
    <t>512 - Опрема                                                                          550.000</t>
  </si>
  <si>
    <t xml:space="preserve"> Буџет општине Љубовија за 2016. годину састоји се од :</t>
  </si>
  <si>
    <t>Број: 06-434/2015-03    од  25 .12.2015. године</t>
  </si>
  <si>
    <t xml:space="preserve">                    На основу члана 43. Закона о буџетском систему ("Службени гласник РС", бр. 54/09, 73/10, 101/2010, 101/11, 93/12, 62/13 и 108/2013), члана 32. Закона о локалној самоуправи   ( " Службени гласник РС", број 129/07) и  члана 41. Статута општине Љубовија         (" Службени лист општине Љубовија", број 6/2008), а на предлог Општинског већа, СКУПШТИНА ОПШТИНЕ ЉУБОВИЈА, на седници одржаној  25.12.2015. године , донела је</t>
  </si>
  <si>
    <t>Ова одлука ступа на снагу осмог дана објављивања у Службеном листу општине Љубовија.</t>
  </si>
  <si>
    <t>ОПШТИНСКО ЈАВНО ПРАВОБРАНИЛАШТВО 94948</t>
  </si>
</sst>
</file>

<file path=xl/styles.xml><?xml version="1.0" encoding="utf-8"?>
<styleSheet xmlns="http://schemas.openxmlformats.org/spreadsheetml/2006/main">
  <numFmts count="8">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0.0%"/>
    <numFmt numFmtId="170" formatCode="_-* #,##0.00\ _D_i_n_._-;\-* #,##0.00\ _D_i_n_._-;_-* \-??\ _D_i_n_._-;_-@_-"/>
    <numFmt numFmtId="171" formatCode="#,##0_ ;\-#,##0\ "/>
  </numFmts>
  <fonts count="90">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b/>
      <sz val="8"/>
      <color indexed="8"/>
      <name val="Tahoma"/>
      <family val="2"/>
      <charset val="204"/>
    </font>
    <font>
      <sz val="8"/>
      <color indexed="8"/>
      <name val="Tahoma"/>
      <family val="2"/>
      <charset val="204"/>
    </font>
    <font>
      <sz val="9"/>
      <color indexed="81"/>
      <name val="Tahoma"/>
      <family val="2"/>
    </font>
    <font>
      <b/>
      <sz val="9"/>
      <color indexed="81"/>
      <name val="Tahoma"/>
      <family val="2"/>
    </font>
    <font>
      <sz val="10"/>
      <name val="Arial"/>
      <family val="2"/>
      <charset val="238"/>
    </font>
    <font>
      <sz val="10"/>
      <name val="Times New Roman"/>
      <family val="1"/>
      <charset val="238"/>
    </font>
    <font>
      <b/>
      <sz val="10"/>
      <name val="Times New Roman"/>
      <family val="1"/>
      <charset val="238"/>
    </font>
    <font>
      <sz val="11"/>
      <color indexed="8"/>
      <name val="Times New Roman"/>
      <family val="1"/>
      <charset val="238"/>
    </font>
    <font>
      <b/>
      <sz val="11"/>
      <name val="Times New Roman"/>
      <family val="1"/>
    </font>
    <font>
      <b/>
      <sz val="9"/>
      <name val="Times New Roman"/>
      <family val="1"/>
    </font>
    <font>
      <b/>
      <sz val="11"/>
      <color indexed="8"/>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b/>
      <sz val="8"/>
      <color indexed="8"/>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b/>
      <i/>
      <sz val="11"/>
      <color theme="1"/>
      <name val="Times New Roman"/>
      <family val="1"/>
    </font>
    <font>
      <i/>
      <sz val="11"/>
      <color theme="1"/>
      <name val="Times New Roman"/>
      <family val="1"/>
    </font>
    <font>
      <i/>
      <sz val="11"/>
      <name val="Times New Roman"/>
      <family val="1"/>
    </font>
    <font>
      <i/>
      <sz val="11"/>
      <color indexed="8"/>
      <name val="Times New Roman"/>
      <family val="1"/>
    </font>
    <font>
      <i/>
      <sz val="10"/>
      <name val="Times New Roman"/>
      <family val="1"/>
    </font>
    <font>
      <b/>
      <sz val="11"/>
      <color indexed="10"/>
      <name val="Times New Roman"/>
      <family val="1"/>
      <charset val="238"/>
    </font>
    <font>
      <b/>
      <sz val="10"/>
      <color indexed="10"/>
      <name val="Times New Roman"/>
      <family val="1"/>
      <charset val="238"/>
    </font>
    <font>
      <sz val="11"/>
      <color rgb="FFFF0000"/>
      <name val="Times New Roman"/>
      <family val="1"/>
    </font>
    <font>
      <b/>
      <sz val="11"/>
      <color rgb="FFFF0000"/>
      <name val="Times New Roman"/>
      <family val="1"/>
    </font>
    <font>
      <sz val="11"/>
      <color indexed="10"/>
      <name val="Times New Roman"/>
      <family val="1"/>
    </font>
    <font>
      <sz val="9"/>
      <color indexed="81"/>
      <name val="Tahoma"/>
      <charset val="1"/>
    </font>
    <font>
      <b/>
      <sz val="9"/>
      <color indexed="81"/>
      <name val="Tahoma"/>
      <charset val="1"/>
    </font>
    <font>
      <b/>
      <sz val="10"/>
      <color theme="1"/>
      <name val="Times New Roman"/>
      <family val="1"/>
    </font>
    <font>
      <sz val="11"/>
      <color theme="1"/>
      <name val="Times New Roman"/>
      <family val="1"/>
      <charset val="238"/>
    </font>
    <font>
      <b/>
      <sz val="12"/>
      <color theme="1"/>
      <name val="Times New Roman"/>
      <family val="1"/>
      <charset val="204"/>
    </font>
    <font>
      <b/>
      <sz val="18"/>
      <color theme="1"/>
      <name val="Times New Roman"/>
      <family val="1"/>
      <charset val="204"/>
    </font>
    <font>
      <sz val="18"/>
      <color theme="1"/>
      <name val="Times New Roman"/>
      <family val="1"/>
      <charset val="204"/>
    </font>
    <font>
      <sz val="11"/>
      <color theme="1"/>
      <name val="Times New Roman"/>
      <family val="1"/>
      <charset val="204"/>
    </font>
    <font>
      <b/>
      <sz val="11"/>
      <color theme="1"/>
      <name val="Calibri"/>
      <family val="2"/>
      <charset val="204"/>
      <scheme val="minor"/>
    </font>
    <font>
      <sz val="11"/>
      <name val="Times New Roman"/>
      <family val="1"/>
      <charset val="204"/>
    </font>
    <font>
      <sz val="14"/>
      <color theme="1"/>
      <name val="Times New Roman"/>
      <family val="1"/>
    </font>
    <font>
      <sz val="12"/>
      <color theme="1"/>
      <name val="Times New Roman"/>
      <family val="1"/>
    </font>
    <font>
      <b/>
      <sz val="11"/>
      <color theme="1"/>
      <name val="Times New Roman"/>
      <family val="1"/>
      <charset val="204"/>
    </font>
    <font>
      <sz val="12"/>
      <color theme="1"/>
      <name val="Times New Roman"/>
      <family val="1"/>
      <charset val="204"/>
    </font>
    <font>
      <b/>
      <sz val="12"/>
      <color theme="1"/>
      <name val="Times New Roman"/>
      <family val="1"/>
      <charset val="238"/>
    </font>
    <font>
      <sz val="12"/>
      <color theme="1"/>
      <name val="Times New Roman"/>
      <family val="1"/>
      <charset val="238"/>
    </font>
    <font>
      <b/>
      <sz val="14"/>
      <color theme="1"/>
      <name val="Times New Roman"/>
      <family val="1"/>
      <charset val="238"/>
    </font>
    <font>
      <sz val="12"/>
      <name val="Times New Roman"/>
      <family val="1"/>
      <charset val="204"/>
    </font>
    <font>
      <sz val="11"/>
      <color theme="0"/>
      <name val="Times New Roman"/>
      <family val="1"/>
    </font>
    <font>
      <b/>
      <sz val="10"/>
      <color theme="0"/>
      <name val="Times New Roman"/>
      <family val="1"/>
    </font>
  </fonts>
  <fills count="3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31"/>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66FFCC"/>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auto="1"/>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style="hair">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8" fillId="0" borderId="0"/>
    <xf numFmtId="164" fontId="30" fillId="0" borderId="0" applyFont="0" applyFill="0" applyBorder="0" applyAlignment="0" applyProtection="0"/>
    <xf numFmtId="167" fontId="3" fillId="0" borderId="0" applyFill="0" applyBorder="0" applyAlignment="0" applyProtection="0"/>
    <xf numFmtId="0" fontId="30" fillId="0" borderId="0"/>
    <xf numFmtId="0" fontId="7" fillId="20" borderId="28" applyNumberFormat="0" applyAlignment="0" applyProtection="0"/>
    <xf numFmtId="0" fontId="14" fillId="7" borderId="28" applyNumberFormat="0" applyAlignment="0" applyProtection="0"/>
    <xf numFmtId="0" fontId="3" fillId="23" borderId="29" applyNumberFormat="0" applyAlignment="0" applyProtection="0"/>
    <xf numFmtId="0" fontId="17" fillId="20" borderId="30" applyNumberFormat="0" applyAlignment="0" applyProtection="0"/>
    <xf numFmtId="0" fontId="19" fillId="0" borderId="31" applyNumberFormat="0" applyFill="0" applyAlignment="0" applyProtection="0"/>
    <xf numFmtId="0" fontId="7" fillId="20" borderId="40" applyNumberFormat="0" applyAlignment="0" applyProtection="0"/>
    <xf numFmtId="0" fontId="14" fillId="7" borderId="40" applyNumberFormat="0" applyAlignment="0" applyProtection="0"/>
    <xf numFmtId="0" fontId="3" fillId="23" borderId="41" applyNumberFormat="0" applyAlignment="0" applyProtection="0"/>
    <xf numFmtId="0" fontId="17" fillId="20" borderId="42" applyNumberFormat="0" applyAlignment="0" applyProtection="0"/>
    <xf numFmtId="0" fontId="19" fillId="0" borderId="43" applyNumberFormat="0" applyFill="0" applyAlignment="0" applyProtection="0"/>
  </cellStyleXfs>
  <cellXfs count="888">
    <xf numFmtId="0" fontId="0" fillId="0" borderId="0" xfId="0"/>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8" fillId="0" borderId="0" xfId="0" applyFont="1"/>
    <xf numFmtId="49" fontId="50" fillId="0" borderId="11" xfId="1" applyNumberFormat="1" applyFont="1" applyFill="1" applyBorder="1" applyAlignment="1">
      <alignment horizontal="center" vertical="center" wrapText="1"/>
    </xf>
    <xf numFmtId="0" fontId="49" fillId="0" borderId="0" xfId="0" applyFont="1"/>
    <xf numFmtId="0" fontId="52" fillId="0" borderId="18" xfId="0" applyFont="1" applyFill="1" applyBorder="1" applyAlignment="1" applyProtection="1">
      <alignment horizontal="center" vertical="top"/>
    </xf>
    <xf numFmtId="0" fontId="48" fillId="0" borderId="0" xfId="0" applyFont="1" applyFill="1"/>
    <xf numFmtId="0" fontId="52" fillId="0" borderId="18" xfId="0" applyFont="1" applyFill="1" applyBorder="1" applyAlignment="1" applyProtection="1">
      <alignment horizontal="center"/>
    </xf>
    <xf numFmtId="0" fontId="53" fillId="0" borderId="18" xfId="0" applyFont="1" applyBorder="1" applyAlignment="1">
      <alignment horizontal="center" vertical="center"/>
    </xf>
    <xf numFmtId="49" fontId="45" fillId="0" borderId="23" xfId="0" applyNumberFormat="1" applyFont="1" applyFill="1" applyBorder="1" applyAlignment="1">
      <alignment horizontal="center" vertical="center"/>
    </xf>
    <xf numFmtId="49" fontId="47" fillId="20" borderId="23" xfId="0" applyNumberFormat="1" applyFont="1" applyFill="1" applyBorder="1" applyAlignment="1">
      <alignment horizontal="left" vertical="center"/>
    </xf>
    <xf numFmtId="0" fontId="54" fillId="20" borderId="23" xfId="0" applyFont="1" applyFill="1" applyBorder="1"/>
    <xf numFmtId="165" fontId="47" fillId="20" borderId="23" xfId="0" applyNumberFormat="1" applyFont="1" applyFill="1" applyBorder="1" applyAlignment="1">
      <alignment horizontal="center" vertical="center" wrapText="1"/>
    </xf>
    <xf numFmtId="0" fontId="45" fillId="0" borderId="23" xfId="0" applyFont="1" applyFill="1" applyBorder="1" applyAlignment="1">
      <alignment horizontal="left" vertical="center" wrapText="1"/>
    </xf>
    <xf numFmtId="165" fontId="45" fillId="0" borderId="23" xfId="0" applyNumberFormat="1" applyFont="1" applyFill="1" applyBorder="1" applyAlignment="1">
      <alignment horizontal="center" vertical="center" wrapText="1"/>
    </xf>
    <xf numFmtId="169" fontId="45" fillId="0" borderId="23" xfId="0" applyNumberFormat="1" applyFont="1" applyFill="1" applyBorder="1" applyAlignment="1">
      <alignment horizontal="center" vertical="center" wrapText="1"/>
    </xf>
    <xf numFmtId="49" fontId="47" fillId="20" borderId="23" xfId="0" applyNumberFormat="1" applyFont="1" applyFill="1" applyBorder="1" applyAlignment="1">
      <alignment horizontal="left"/>
    </xf>
    <xf numFmtId="0" fontId="47" fillId="20" borderId="23" xfId="0" applyFont="1" applyFill="1" applyBorder="1" applyAlignment="1">
      <alignment horizontal="left" wrapText="1"/>
    </xf>
    <xf numFmtId="169" fontId="47" fillId="20" borderId="23" xfId="0" applyNumberFormat="1" applyFont="1" applyFill="1" applyBorder="1" applyAlignment="1">
      <alignment horizontal="center" vertical="center" wrapText="1"/>
    </xf>
    <xf numFmtId="49" fontId="45" fillId="0" borderId="23" xfId="0" applyNumberFormat="1" applyFont="1" applyFill="1" applyBorder="1" applyAlignment="1">
      <alignment horizontal="center"/>
    </xf>
    <xf numFmtId="0" fontId="45" fillId="0" borderId="23" xfId="0" applyFont="1" applyFill="1" applyBorder="1" applyAlignment="1">
      <alignment horizontal="left" wrapText="1"/>
    </xf>
    <xf numFmtId="49" fontId="45" fillId="0" borderId="23" xfId="0" applyNumberFormat="1" applyFont="1" applyFill="1" applyBorder="1" applyAlignment="1">
      <alignment horizontal="right"/>
    </xf>
    <xf numFmtId="0" fontId="54" fillId="20" borderId="23" xfId="0" applyFont="1" applyFill="1" applyBorder="1" applyAlignment="1">
      <alignment wrapText="1"/>
    </xf>
    <xf numFmtId="0" fontId="55" fillId="0" borderId="23" xfId="0" applyFont="1" applyFill="1" applyBorder="1" applyAlignment="1">
      <alignment wrapText="1"/>
    </xf>
    <xf numFmtId="49" fontId="45" fillId="0" borderId="23" xfId="0" applyNumberFormat="1" applyFont="1" applyFill="1" applyBorder="1" applyAlignment="1">
      <alignment horizontal="right" vertical="center"/>
    </xf>
    <xf numFmtId="49" fontId="47" fillId="29" borderId="23" xfId="0" applyNumberFormat="1" applyFont="1" applyFill="1" applyBorder="1" applyAlignment="1">
      <alignment horizontal="left"/>
    </xf>
    <xf numFmtId="0" fontId="54" fillId="29" borderId="23" xfId="0" applyFont="1" applyFill="1" applyBorder="1" applyAlignment="1">
      <alignment wrapText="1"/>
    </xf>
    <xf numFmtId="165" fontId="47" fillId="29" borderId="23" xfId="0" applyNumberFormat="1" applyFont="1" applyFill="1" applyBorder="1" applyAlignment="1">
      <alignment horizontal="center" vertical="center" wrapText="1"/>
    </xf>
    <xf numFmtId="169" fontId="47" fillId="29" borderId="23" xfId="0" applyNumberFormat="1" applyFont="1" applyFill="1" applyBorder="1" applyAlignment="1">
      <alignment horizontal="center" vertical="center" wrapText="1"/>
    </xf>
    <xf numFmtId="0" fontId="47" fillId="26" borderId="23" xfId="0" applyFont="1" applyFill="1" applyBorder="1" applyAlignment="1">
      <alignment horizontal="left"/>
    </xf>
    <xf numFmtId="0" fontId="54" fillId="26" borderId="23" xfId="0" applyFont="1" applyFill="1" applyBorder="1" applyAlignment="1">
      <alignment wrapText="1"/>
    </xf>
    <xf numFmtId="165" fontId="47" fillId="26" borderId="23" xfId="0" applyNumberFormat="1" applyFont="1" applyFill="1" applyBorder="1" applyAlignment="1">
      <alignment horizontal="center" vertical="center" wrapText="1"/>
    </xf>
    <xf numFmtId="169" fontId="47" fillId="26" borderId="23" xfId="0" applyNumberFormat="1" applyFont="1" applyFill="1" applyBorder="1" applyAlignment="1">
      <alignment horizontal="center" vertical="center" wrapText="1"/>
    </xf>
    <xf numFmtId="49" fontId="47" fillId="20" borderId="23" xfId="0" applyNumberFormat="1" applyFont="1" applyFill="1" applyBorder="1" applyAlignment="1">
      <alignment horizontal="left" vertical="center" wrapText="1"/>
    </xf>
    <xf numFmtId="49" fontId="45" fillId="0" borderId="23" xfId="0" applyNumberFormat="1" applyFont="1" applyFill="1" applyBorder="1" applyAlignment="1">
      <alignment horizontal="center" vertical="center" wrapText="1"/>
    </xf>
    <xf numFmtId="49" fontId="45" fillId="4" borderId="24" xfId="0" applyNumberFormat="1" applyFont="1" applyFill="1" applyBorder="1" applyAlignment="1">
      <alignment horizontal="center"/>
    </xf>
    <xf numFmtId="0" fontId="47" fillId="4" borderId="24" xfId="0" applyFont="1" applyFill="1" applyBorder="1" applyAlignment="1">
      <alignment horizontal="center" vertical="center"/>
    </xf>
    <xf numFmtId="165" fontId="47" fillId="4" borderId="24" xfId="29" applyNumberFormat="1" applyFont="1" applyFill="1" applyBorder="1" applyAlignment="1" applyProtection="1">
      <alignment horizontal="right" vertical="center" wrapText="1"/>
    </xf>
    <xf numFmtId="169" fontId="47" fillId="4" borderId="24" xfId="29" applyNumberFormat="1" applyFont="1" applyFill="1" applyBorder="1" applyAlignment="1" applyProtection="1">
      <alignment horizontal="right" vertical="center" wrapText="1"/>
    </xf>
    <xf numFmtId="49" fontId="45" fillId="0" borderId="0" xfId="0" applyNumberFormat="1" applyFont="1" applyBorder="1" applyAlignment="1">
      <alignment horizontal="center" vertical="center" wrapText="1"/>
    </xf>
    <xf numFmtId="0" fontId="45" fillId="0" borderId="0" xfId="0" applyFont="1" applyBorder="1" applyAlignment="1">
      <alignment horizontal="left" vertical="center" wrapText="1"/>
    </xf>
    <xf numFmtId="170" fontId="45" fillId="0" borderId="0" xfId="29" applyNumberFormat="1" applyFont="1" applyFill="1" applyBorder="1" applyAlignment="1" applyProtection="1">
      <alignment horizontal="right" vertical="center" wrapText="1"/>
    </xf>
    <xf numFmtId="0" fontId="47" fillId="0" borderId="0" xfId="0" applyFont="1"/>
    <xf numFmtId="0" fontId="47" fillId="0" borderId="0" xfId="0" applyFont="1" applyAlignment="1">
      <alignment horizontal="left"/>
    </xf>
    <xf numFmtId="0" fontId="47" fillId="0" borderId="0" xfId="0" applyFont="1" applyAlignment="1">
      <alignment horizontal="right" vertical="center" wrapText="1"/>
    </xf>
    <xf numFmtId="49" fontId="47" fillId="6" borderId="0" xfId="0" applyNumberFormat="1" applyFont="1" applyFill="1" applyBorder="1" applyAlignment="1">
      <alignment horizontal="center" vertical="center" wrapText="1"/>
    </xf>
    <xf numFmtId="0" fontId="47" fillId="6" borderId="0" xfId="0" applyFont="1" applyFill="1" applyBorder="1" applyAlignment="1">
      <alignment horizontal="center" vertical="center" wrapText="1" shrinkToFit="1"/>
    </xf>
    <xf numFmtId="49" fontId="45" fillId="0" borderId="0" xfId="0" applyNumberFormat="1" applyFont="1" applyBorder="1" applyAlignment="1">
      <alignment horizontal="center" vertical="center"/>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49" fontId="47" fillId="20" borderId="0" xfId="0" applyNumberFormat="1" applyFont="1" applyFill="1" applyBorder="1" applyAlignment="1">
      <alignment horizontal="center"/>
    </xf>
    <xf numFmtId="0" fontId="47" fillId="20" borderId="0" xfId="0" applyFont="1" applyFill="1" applyBorder="1" applyAlignment="1">
      <alignment horizontal="left"/>
    </xf>
    <xf numFmtId="165" fontId="47" fillId="20" borderId="0" xfId="29" applyNumberFormat="1" applyFont="1" applyFill="1" applyBorder="1" applyAlignment="1" applyProtection="1">
      <alignment horizontal="right" vertical="center" wrapText="1"/>
    </xf>
    <xf numFmtId="169" fontId="47" fillId="20" borderId="0" xfId="48" applyNumberFormat="1" applyFont="1" applyFill="1" applyBorder="1" applyAlignment="1" applyProtection="1">
      <alignment horizontal="right" vertical="center" wrapText="1"/>
    </xf>
    <xf numFmtId="49" fontId="45" fillId="0" borderId="0" xfId="0" applyNumberFormat="1" applyFont="1" applyFill="1" applyBorder="1" applyAlignment="1">
      <alignment horizontal="center"/>
    </xf>
    <xf numFmtId="0" fontId="45" fillId="0" borderId="0" xfId="0" applyFont="1" applyFill="1" applyBorder="1" applyAlignment="1">
      <alignment horizontal="left"/>
    </xf>
    <xf numFmtId="165" fontId="45" fillId="0" borderId="0" xfId="29" applyNumberFormat="1" applyFont="1" applyFill="1" applyBorder="1" applyAlignment="1" applyProtection="1">
      <alignment horizontal="right" vertical="center" wrapText="1"/>
    </xf>
    <xf numFmtId="169" fontId="45" fillId="0" borderId="0" xfId="48" applyNumberFormat="1" applyFont="1" applyFill="1" applyBorder="1" applyAlignment="1" applyProtection="1">
      <alignment horizontal="right" vertical="center" wrapText="1"/>
    </xf>
    <xf numFmtId="0" fontId="45" fillId="0" borderId="0" xfId="0" applyNumberFormat="1" applyFont="1" applyFill="1" applyBorder="1" applyAlignment="1">
      <alignment horizontal="center"/>
    </xf>
    <xf numFmtId="165" fontId="47" fillId="0" borderId="0" xfId="29" applyNumberFormat="1" applyFont="1" applyFill="1" applyBorder="1" applyAlignment="1" applyProtection="1">
      <alignment horizontal="right" vertical="center" wrapText="1"/>
    </xf>
    <xf numFmtId="0" fontId="45" fillId="0" borderId="0" xfId="0" applyFont="1" applyFill="1" applyAlignment="1">
      <alignment horizontal="center" vertical="center"/>
    </xf>
    <xf numFmtId="0" fontId="45" fillId="0" borderId="0" xfId="0" applyFont="1" applyFill="1"/>
    <xf numFmtId="0" fontId="56" fillId="0" borderId="0" xfId="0" applyFont="1"/>
    <xf numFmtId="1" fontId="45" fillId="0" borderId="0" xfId="0" applyNumberFormat="1" applyFont="1" applyFill="1" applyAlignment="1">
      <alignment horizontal="center" vertical="center" wrapText="1"/>
    </xf>
    <xf numFmtId="0" fontId="55" fillId="0" borderId="0" xfId="0" applyFont="1" applyFill="1" applyAlignment="1">
      <alignment horizontal="left" vertical="center" wrapText="1"/>
    </xf>
    <xf numFmtId="0" fontId="47" fillId="20" borderId="0" xfId="0" applyFont="1" applyFill="1" applyBorder="1" applyAlignment="1">
      <alignment horizontal="center"/>
    </xf>
    <xf numFmtId="0" fontId="47" fillId="20" borderId="0" xfId="0" applyFont="1" applyFill="1" applyBorder="1" applyAlignment="1">
      <alignment horizontal="justify"/>
    </xf>
    <xf numFmtId="0" fontId="45" fillId="0" borderId="0" xfId="0" applyFont="1" applyFill="1" applyBorder="1" applyAlignment="1">
      <alignment horizontal="center"/>
    </xf>
    <xf numFmtId="0" fontId="45" fillId="0" borderId="0" xfId="0" applyFont="1" applyFill="1" applyBorder="1" applyAlignment="1">
      <alignment horizontal="justify"/>
    </xf>
    <xf numFmtId="0" fontId="55" fillId="0" borderId="0" xfId="0" applyFont="1" applyFill="1" applyAlignment="1">
      <alignment horizontal="justify" vertical="center" wrapText="1"/>
    </xf>
    <xf numFmtId="169" fontId="45" fillId="0" borderId="0" xfId="48" applyNumberFormat="1" applyFont="1" applyFill="1" applyAlignment="1">
      <alignment horizontal="right" vertical="center" wrapText="1"/>
    </xf>
    <xf numFmtId="0" fontId="55" fillId="0" borderId="0" xfId="0" applyFont="1" applyFill="1" applyAlignment="1">
      <alignment vertical="center" wrapText="1"/>
    </xf>
    <xf numFmtId="165" fontId="47" fillId="20" borderId="0" xfId="47" applyNumberFormat="1" applyFont="1" applyFill="1" applyAlignment="1">
      <alignment horizontal="right" vertical="center" wrapText="1"/>
    </xf>
    <xf numFmtId="169" fontId="47" fillId="20" borderId="0" xfId="48" applyNumberFormat="1" applyFont="1" applyFill="1" applyAlignment="1">
      <alignment horizontal="right" vertical="center" wrapText="1"/>
    </xf>
    <xf numFmtId="165" fontId="47" fillId="20" borderId="0" xfId="0" applyNumberFormat="1" applyFont="1" applyFill="1" applyAlignment="1">
      <alignment horizontal="right" vertical="center" wrapText="1"/>
    </xf>
    <xf numFmtId="1" fontId="47" fillId="20" borderId="0" xfId="0" applyNumberFormat="1" applyFont="1" applyFill="1" applyAlignment="1">
      <alignment horizontal="center" vertical="center" wrapText="1"/>
    </xf>
    <xf numFmtId="0" fontId="47" fillId="20" borderId="0" xfId="0" applyFont="1" applyFill="1" applyAlignment="1">
      <alignment vertical="center" wrapText="1"/>
    </xf>
    <xf numFmtId="169" fontId="45" fillId="20" borderId="0" xfId="48" applyNumberFormat="1" applyFont="1" applyFill="1" applyAlignment="1">
      <alignment horizontal="right" vertical="center" wrapText="1"/>
    </xf>
    <xf numFmtId="0" fontId="45" fillId="0" borderId="0" xfId="0" applyFont="1" applyFill="1" applyAlignment="1">
      <alignment wrapText="1"/>
    </xf>
    <xf numFmtId="49" fontId="45" fillId="0" borderId="0" xfId="0" applyNumberFormat="1" applyFont="1" applyBorder="1" applyAlignment="1">
      <alignment horizontal="center"/>
    </xf>
    <xf numFmtId="0" fontId="45" fillId="0" borderId="0" xfId="0" applyFont="1" applyBorder="1" applyAlignment="1">
      <alignment horizontal="left"/>
    </xf>
    <xf numFmtId="169" fontId="45" fillId="0" borderId="0" xfId="48" applyNumberFormat="1" applyFont="1" applyAlignment="1">
      <alignment horizontal="right" vertical="center" wrapText="1"/>
    </xf>
    <xf numFmtId="0" fontId="47" fillId="4" borderId="0" xfId="0" applyFont="1" applyFill="1"/>
    <xf numFmtId="49" fontId="47" fillId="4" borderId="0" xfId="0" applyNumberFormat="1" applyFont="1" applyFill="1" applyBorder="1" applyAlignment="1">
      <alignment vertical="center" wrapText="1"/>
    </xf>
    <xf numFmtId="165" fontId="47" fillId="4" borderId="0" xfId="0" applyNumberFormat="1" applyFont="1" applyFill="1" applyAlignment="1">
      <alignment horizontal="right" vertical="center" wrapText="1"/>
    </xf>
    <xf numFmtId="169" fontId="47" fillId="4" borderId="0" xfId="48" applyNumberFormat="1" applyFont="1" applyFill="1" applyBorder="1" applyAlignment="1" applyProtection="1">
      <alignment horizontal="right" vertical="center" wrapText="1"/>
    </xf>
    <xf numFmtId="165" fontId="47" fillId="4" borderId="0" xfId="29" applyNumberFormat="1" applyFont="1" applyFill="1" applyBorder="1" applyAlignment="1" applyProtection="1">
      <alignment horizontal="right" vertical="center" wrapText="1"/>
    </xf>
    <xf numFmtId="0" fontId="45" fillId="0" borderId="0" xfId="0" applyFont="1"/>
    <xf numFmtId="168" fontId="45" fillId="0" borderId="0" xfId="0" applyNumberFormat="1" applyFont="1" applyFill="1"/>
    <xf numFmtId="0" fontId="57" fillId="0" borderId="11" xfId="0" applyFont="1" applyBorder="1" applyAlignment="1">
      <alignment horizontal="center"/>
    </xf>
    <xf numFmtId="0" fontId="57" fillId="0" borderId="11" xfId="0" applyNumberFormat="1" applyFont="1" applyBorder="1" applyAlignment="1">
      <alignment horizontal="center" wrapText="1"/>
    </xf>
    <xf numFmtId="0" fontId="58" fillId="0" borderId="11" xfId="0" applyFont="1" applyBorder="1" applyAlignment="1">
      <alignment horizontal="center"/>
    </xf>
    <xf numFmtId="0" fontId="58" fillId="0" borderId="11" xfId="0" applyNumberFormat="1" applyFont="1" applyBorder="1" applyAlignment="1">
      <alignment horizontal="center" wrapText="1"/>
    </xf>
    <xf numFmtId="0" fontId="58" fillId="0" borderId="11" xfId="0" applyFont="1" applyBorder="1"/>
    <xf numFmtId="165" fontId="57" fillId="0" borderId="11" xfId="0" applyNumberFormat="1" applyFont="1" applyBorder="1" applyAlignment="1">
      <alignment horizontal="right" wrapText="1"/>
    </xf>
    <xf numFmtId="165" fontId="58" fillId="0" borderId="11" xfId="0" applyNumberFormat="1" applyFont="1" applyBorder="1" applyAlignment="1">
      <alignment horizontal="right" wrapText="1"/>
    </xf>
    <xf numFmtId="165" fontId="48" fillId="0" borderId="0" xfId="0" applyNumberFormat="1" applyFont="1" applyAlignment="1">
      <alignment wrapText="1"/>
    </xf>
    <xf numFmtId="168" fontId="43" fillId="6" borderId="20" xfId="0" applyNumberFormat="1" applyFont="1" applyFill="1" applyBorder="1" applyAlignment="1">
      <alignment horizontal="center" vertical="center" wrapText="1" shrinkToFit="1"/>
    </xf>
    <xf numFmtId="49" fontId="43" fillId="25" borderId="18" xfId="0" applyNumberFormat="1" applyFont="1" applyFill="1" applyBorder="1" applyAlignment="1">
      <alignment horizontal="center" wrapText="1"/>
    </xf>
    <xf numFmtId="49" fontId="43" fillId="25" borderId="18" xfId="0" applyNumberFormat="1" applyFont="1" applyFill="1" applyBorder="1" applyAlignment="1">
      <alignment horizontal="left" vertical="center" wrapText="1"/>
    </xf>
    <xf numFmtId="165" fontId="43" fillId="25" borderId="18" xfId="29" applyNumberFormat="1" applyFont="1" applyFill="1" applyBorder="1" applyAlignment="1" applyProtection="1">
      <alignment horizontal="right" vertical="center" wrapText="1"/>
    </xf>
    <xf numFmtId="49" fontId="43" fillId="26" borderId="18" xfId="0" applyNumberFormat="1" applyFont="1" applyFill="1" applyBorder="1" applyAlignment="1">
      <alignment horizontal="left" wrapText="1"/>
    </xf>
    <xf numFmtId="49" fontId="43" fillId="26" borderId="18" xfId="0" applyNumberFormat="1" applyFont="1" applyFill="1" applyBorder="1" applyAlignment="1">
      <alignment horizontal="center" wrapText="1"/>
    </xf>
    <xf numFmtId="49" fontId="43" fillId="26" borderId="18" xfId="0" applyNumberFormat="1" applyFont="1" applyFill="1" applyBorder="1" applyAlignment="1">
      <alignment horizontal="left" vertical="center" wrapText="1"/>
    </xf>
    <xf numFmtId="165" fontId="43" fillId="26" borderId="18" xfId="29" applyNumberFormat="1" applyFont="1" applyFill="1" applyBorder="1" applyAlignment="1" applyProtection="1">
      <alignment horizontal="right" vertical="center" wrapText="1"/>
    </xf>
    <xf numFmtId="0" fontId="43" fillId="27" borderId="18" xfId="0" applyFont="1" applyFill="1" applyBorder="1" applyAlignment="1">
      <alignment horizontal="center" vertical="center" wrapText="1"/>
    </xf>
    <xf numFmtId="0" fontId="43" fillId="27" borderId="18" xfId="0" applyFont="1" applyFill="1" applyBorder="1" applyAlignment="1">
      <alignment horizontal="left" vertical="center" wrapText="1"/>
    </xf>
    <xf numFmtId="165" fontId="43" fillId="27" borderId="18" xfId="29" applyNumberFormat="1" applyFont="1" applyFill="1" applyBorder="1" applyAlignment="1" applyProtection="1">
      <alignment horizontal="right" vertical="center" wrapText="1"/>
    </xf>
    <xf numFmtId="0" fontId="43" fillId="22" borderId="18" xfId="0" applyFont="1" applyFill="1" applyBorder="1" applyAlignment="1">
      <alignment horizontal="right" vertical="center" wrapText="1"/>
    </xf>
    <xf numFmtId="0" fontId="59" fillId="22" borderId="18" xfId="0" applyFont="1" applyFill="1" applyBorder="1" applyAlignment="1">
      <alignment horizontal="center" vertical="center" wrapText="1"/>
    </xf>
    <xf numFmtId="0" fontId="43" fillId="22" borderId="18" xfId="0" applyFont="1" applyFill="1" applyBorder="1" applyAlignment="1">
      <alignment vertical="center" wrapText="1"/>
    </xf>
    <xf numFmtId="165" fontId="43" fillId="22" borderId="18" xfId="29" applyNumberFormat="1" applyFont="1" applyFill="1" applyBorder="1" applyAlignment="1" applyProtection="1">
      <alignment horizontal="right" vertical="center" wrapText="1"/>
    </xf>
    <xf numFmtId="0" fontId="59" fillId="0" borderId="18" xfId="0" applyFont="1" applyFill="1" applyBorder="1" applyAlignment="1">
      <alignment horizontal="center" vertical="center" wrapText="1"/>
    </xf>
    <xf numFmtId="0" fontId="59" fillId="0" borderId="18" xfId="0" applyFont="1" applyBorder="1" applyAlignment="1">
      <alignment vertical="center" wrapText="1"/>
    </xf>
    <xf numFmtId="165" fontId="59" fillId="0" borderId="18" xfId="29" applyNumberFormat="1" applyFont="1" applyFill="1" applyBorder="1" applyAlignment="1" applyProtection="1">
      <alignment horizontal="right" vertical="center" wrapText="1"/>
    </xf>
    <xf numFmtId="0" fontId="43" fillId="0" borderId="18" xfId="0" applyFont="1" applyFill="1" applyBorder="1" applyAlignment="1">
      <alignment horizontal="center" vertical="center" wrapText="1"/>
    </xf>
    <xf numFmtId="0" fontId="43" fillId="22" borderId="18" xfId="0" applyFont="1" applyFill="1" applyBorder="1" applyAlignment="1">
      <alignment horizontal="center" vertical="center" wrapText="1"/>
    </xf>
    <xf numFmtId="0" fontId="59" fillId="0" borderId="18" xfId="0" applyFont="1" applyFill="1" applyBorder="1" applyAlignment="1">
      <alignment vertical="center" wrapText="1"/>
    </xf>
    <xf numFmtId="49" fontId="59" fillId="0" borderId="18" xfId="0" applyNumberFormat="1" applyFont="1" applyFill="1" applyBorder="1" applyAlignment="1">
      <alignment horizontal="center" vertical="center" wrapText="1"/>
    </xf>
    <xf numFmtId="49" fontId="43" fillId="22" borderId="18" xfId="0" applyNumberFormat="1" applyFont="1" applyFill="1" applyBorder="1" applyAlignment="1">
      <alignment horizontal="right" vertical="center" wrapText="1"/>
    </xf>
    <xf numFmtId="49" fontId="59" fillId="22" borderId="18" xfId="0" applyNumberFormat="1" applyFont="1" applyFill="1" applyBorder="1" applyAlignment="1">
      <alignment horizontal="center" vertical="center" wrapText="1"/>
    </xf>
    <xf numFmtId="49" fontId="43" fillId="22" borderId="18" xfId="0" applyNumberFormat="1" applyFont="1" applyFill="1" applyBorder="1" applyAlignment="1">
      <alignment vertical="center" wrapText="1"/>
    </xf>
    <xf numFmtId="49" fontId="43" fillId="27" borderId="18" xfId="0" applyNumberFormat="1" applyFont="1" applyFill="1" applyBorder="1" applyAlignment="1">
      <alignment horizontal="center" vertical="center" wrapText="1"/>
    </xf>
    <xf numFmtId="49" fontId="59" fillId="27" borderId="18" xfId="0" applyNumberFormat="1" applyFont="1" applyFill="1" applyBorder="1" applyAlignment="1">
      <alignment horizontal="center" vertical="center" wrapText="1"/>
    </xf>
    <xf numFmtId="49" fontId="43" fillId="27" borderId="18" xfId="0" applyNumberFormat="1" applyFont="1" applyFill="1" applyBorder="1" applyAlignment="1">
      <alignment vertical="center" wrapText="1"/>
    </xf>
    <xf numFmtId="49" fontId="59" fillId="0" borderId="18" xfId="0" applyNumberFormat="1" applyFont="1" applyFill="1" applyBorder="1" applyAlignment="1">
      <alignment vertical="center" wrapText="1"/>
    </xf>
    <xf numFmtId="49" fontId="43" fillId="0" borderId="18" xfId="0" applyNumberFormat="1" applyFont="1" applyFill="1" applyBorder="1" applyAlignment="1">
      <alignment horizontal="center" vertical="center" wrapText="1"/>
    </xf>
    <xf numFmtId="0" fontId="59" fillId="0" borderId="18" xfId="0" applyFont="1" applyBorder="1" applyAlignment="1">
      <alignment horizontal="center"/>
    </xf>
    <xf numFmtId="0" fontId="59" fillId="0" borderId="18" xfId="0" applyFont="1" applyBorder="1"/>
    <xf numFmtId="49" fontId="43" fillId="28" borderId="18" xfId="0" applyNumberFormat="1" applyFont="1" applyFill="1" applyBorder="1" applyAlignment="1">
      <alignment horizontal="center" vertical="center" wrapText="1"/>
    </xf>
    <xf numFmtId="49" fontId="59" fillId="28" borderId="18" xfId="0" applyNumberFormat="1" applyFont="1" applyFill="1" applyBorder="1" applyAlignment="1">
      <alignment horizontal="center" vertical="center" wrapText="1"/>
    </xf>
    <xf numFmtId="49" fontId="43" fillId="28" borderId="18" xfId="0" applyNumberFormat="1" applyFont="1" applyFill="1" applyBorder="1" applyAlignment="1">
      <alignment vertical="center" wrapText="1"/>
    </xf>
    <xf numFmtId="165" fontId="43" fillId="28" borderId="18" xfId="29" applyNumberFormat="1" applyFont="1" applyFill="1" applyBorder="1" applyAlignment="1" applyProtection="1">
      <alignment horizontal="right" vertical="center" wrapText="1"/>
    </xf>
    <xf numFmtId="49" fontId="43" fillId="20" borderId="18" xfId="0" applyNumberFormat="1" applyFont="1" applyFill="1" applyBorder="1" applyAlignment="1">
      <alignment horizontal="left" vertical="center" wrapText="1"/>
    </xf>
    <xf numFmtId="49" fontId="59" fillId="20" borderId="18" xfId="0" applyNumberFormat="1" applyFont="1" applyFill="1" applyBorder="1" applyAlignment="1">
      <alignment horizontal="center" vertical="center" wrapText="1"/>
    </xf>
    <xf numFmtId="49" fontId="43" fillId="20" borderId="18" xfId="0" applyNumberFormat="1" applyFont="1" applyFill="1" applyBorder="1" applyAlignment="1">
      <alignment vertical="center" wrapText="1"/>
    </xf>
    <xf numFmtId="165" fontId="43" fillId="20" borderId="18" xfId="29" applyNumberFormat="1" applyFont="1" applyFill="1" applyBorder="1" applyAlignment="1" applyProtection="1">
      <alignment horizontal="right" vertical="center" wrapText="1"/>
    </xf>
    <xf numFmtId="0" fontId="43" fillId="28" borderId="18" xfId="0" applyFont="1" applyFill="1" applyBorder="1" applyAlignment="1">
      <alignment horizontal="center" vertical="center" wrapText="1"/>
    </xf>
    <xf numFmtId="0" fontId="43" fillId="28" borderId="18" xfId="0" applyFont="1" applyFill="1" applyBorder="1"/>
    <xf numFmtId="0" fontId="43" fillId="28" borderId="18" xfId="0" applyFont="1" applyFill="1" applyBorder="1" applyAlignment="1">
      <alignment horizontal="center" vertical="top" wrapText="1"/>
    </xf>
    <xf numFmtId="0" fontId="43" fillId="28" borderId="18" xfId="0" applyFont="1" applyFill="1" applyBorder="1" applyAlignment="1">
      <alignment wrapText="1"/>
    </xf>
    <xf numFmtId="165" fontId="43" fillId="28" borderId="18" xfId="0" applyNumberFormat="1" applyFont="1" applyFill="1" applyBorder="1" applyAlignment="1">
      <alignment horizontal="right" vertical="top" wrapText="1"/>
    </xf>
    <xf numFmtId="0" fontId="59" fillId="20" borderId="18" xfId="0" applyFont="1" applyFill="1" applyBorder="1"/>
    <xf numFmtId="0" fontId="43" fillId="20" borderId="18" xfId="0" applyFont="1" applyFill="1" applyBorder="1"/>
    <xf numFmtId="49" fontId="43" fillId="25" borderId="18" xfId="0" applyNumberFormat="1" applyFont="1" applyFill="1" applyBorder="1" applyAlignment="1">
      <alignment horizontal="center" vertical="center" wrapText="1"/>
    </xf>
    <xf numFmtId="49" fontId="43" fillId="25" borderId="18" xfId="0" applyNumberFormat="1" applyFont="1" applyFill="1" applyBorder="1" applyAlignment="1">
      <alignment vertical="center" wrapText="1"/>
    </xf>
    <xf numFmtId="0" fontId="46" fillId="0" borderId="0" xfId="0" applyFont="1" applyAlignment="1">
      <alignment horizontal="center"/>
    </xf>
    <xf numFmtId="0" fontId="46" fillId="0" borderId="0" xfId="0" applyFont="1" applyAlignment="1">
      <alignment vertical="center" wrapText="1"/>
    </xf>
    <xf numFmtId="165" fontId="43" fillId="25" borderId="25" xfId="29" applyNumberFormat="1" applyFont="1" applyFill="1" applyBorder="1" applyAlignment="1" applyProtection="1">
      <alignment horizontal="right" vertical="center" wrapText="1"/>
    </xf>
    <xf numFmtId="165" fontId="43" fillId="26" borderId="25" xfId="29" applyNumberFormat="1" applyFont="1" applyFill="1" applyBorder="1" applyAlignment="1" applyProtection="1">
      <alignment horizontal="right" vertical="center" wrapText="1"/>
    </xf>
    <xf numFmtId="165" fontId="43" fillId="27" borderId="25" xfId="29" applyNumberFormat="1" applyFont="1" applyFill="1" applyBorder="1" applyAlignment="1" applyProtection="1">
      <alignment horizontal="right" vertical="center" wrapText="1"/>
    </xf>
    <xf numFmtId="165" fontId="43" fillId="22" borderId="25" xfId="29" applyNumberFormat="1" applyFont="1" applyFill="1" applyBorder="1" applyAlignment="1" applyProtection="1">
      <alignment horizontal="right" vertical="center" wrapText="1"/>
    </xf>
    <xf numFmtId="165" fontId="59" fillId="0" borderId="25" xfId="29" applyNumberFormat="1" applyFont="1" applyFill="1" applyBorder="1" applyAlignment="1" applyProtection="1">
      <alignment horizontal="right" vertical="center" wrapText="1"/>
    </xf>
    <xf numFmtId="165" fontId="43" fillId="28" borderId="25" xfId="29" applyNumberFormat="1" applyFont="1" applyFill="1" applyBorder="1" applyAlignment="1" applyProtection="1">
      <alignment horizontal="right" vertical="center" wrapText="1"/>
    </xf>
    <xf numFmtId="165" fontId="43" fillId="20" borderId="25" xfId="29" applyNumberFormat="1" applyFont="1" applyFill="1" applyBorder="1" applyAlignment="1" applyProtection="1">
      <alignment horizontal="right" vertical="center" wrapText="1"/>
    </xf>
    <xf numFmtId="165" fontId="43" fillId="28" borderId="25" xfId="0" applyNumberFormat="1" applyFont="1" applyFill="1" applyBorder="1" applyAlignment="1">
      <alignment horizontal="right" vertical="top" wrapText="1"/>
    </xf>
    <xf numFmtId="0" fontId="43" fillId="6" borderId="22" xfId="0" applyFont="1" applyFill="1" applyBorder="1" applyAlignment="1">
      <alignment horizontal="center" vertical="center" wrapText="1"/>
    </xf>
    <xf numFmtId="165" fontId="46" fillId="30" borderId="0" xfId="0" applyNumberFormat="1" applyFont="1" applyFill="1" applyAlignment="1">
      <alignment horizontal="right"/>
    </xf>
    <xf numFmtId="0" fontId="46" fillId="30" borderId="0" xfId="0" applyFont="1" applyFill="1" applyBorder="1"/>
    <xf numFmtId="0" fontId="59" fillId="32" borderId="18" xfId="0" applyFont="1" applyFill="1" applyBorder="1" applyAlignment="1">
      <alignment horizontal="center"/>
    </xf>
    <xf numFmtId="0" fontId="43" fillId="32" borderId="18" xfId="0" applyFont="1" applyFill="1" applyBorder="1" applyAlignment="1">
      <alignment horizontal="center" vertical="center" wrapText="1"/>
    </xf>
    <xf numFmtId="0" fontId="43" fillId="32" borderId="18" xfId="0" applyFont="1" applyFill="1" applyBorder="1" applyAlignment="1">
      <alignment vertical="center" wrapText="1"/>
    </xf>
    <xf numFmtId="165" fontId="43" fillId="32" borderId="18" xfId="0" applyNumberFormat="1" applyFont="1" applyFill="1" applyBorder="1" applyAlignment="1">
      <alignment horizontal="right" vertical="center" wrapText="1"/>
    </xf>
    <xf numFmtId="165" fontId="43" fillId="32" borderId="25" xfId="0" applyNumberFormat="1" applyFont="1" applyFill="1" applyBorder="1" applyAlignment="1">
      <alignment horizontal="right" vertical="center" wrapText="1"/>
    </xf>
    <xf numFmtId="169" fontId="43" fillId="25" borderId="18" xfId="48" applyNumberFormat="1" applyFont="1" applyFill="1" applyBorder="1" applyAlignment="1" applyProtection="1">
      <alignment horizontal="center" vertical="center" wrapText="1"/>
    </xf>
    <xf numFmtId="169" fontId="43" fillId="26" borderId="18" xfId="48" applyNumberFormat="1" applyFont="1" applyFill="1" applyBorder="1" applyAlignment="1">
      <alignment horizontal="center" vertical="center" wrapText="1"/>
    </xf>
    <xf numFmtId="169" fontId="43" fillId="27" borderId="18" xfId="48" applyNumberFormat="1" applyFont="1" applyFill="1" applyBorder="1" applyAlignment="1" applyProtection="1">
      <alignment horizontal="center" vertical="center" wrapText="1"/>
    </xf>
    <xf numFmtId="169" fontId="43" fillId="22" borderId="18" xfId="48" applyNumberFormat="1" applyFont="1" applyFill="1" applyBorder="1" applyAlignment="1" applyProtection="1">
      <alignment horizontal="center" vertical="center" wrapText="1"/>
    </xf>
    <xf numFmtId="169" fontId="59" fillId="0" borderId="18" xfId="48" applyNumberFormat="1" applyFont="1" applyFill="1" applyBorder="1" applyAlignment="1" applyProtection="1">
      <alignment horizontal="center" vertical="center" wrapText="1"/>
    </xf>
    <xf numFmtId="169" fontId="43" fillId="28" borderId="18" xfId="48" applyNumberFormat="1" applyFont="1" applyFill="1" applyBorder="1" applyAlignment="1" applyProtection="1">
      <alignment horizontal="center" vertical="center" wrapText="1"/>
    </xf>
    <xf numFmtId="169" fontId="43" fillId="20" borderId="18" xfId="48" applyNumberFormat="1" applyFont="1" applyFill="1" applyBorder="1" applyAlignment="1" applyProtection="1">
      <alignment horizontal="center" vertical="center" wrapText="1"/>
    </xf>
    <xf numFmtId="169" fontId="43" fillId="28" borderId="18" xfId="48" applyNumberFormat="1" applyFont="1" applyFill="1" applyBorder="1" applyAlignment="1">
      <alignment horizontal="center" vertical="top" wrapText="1"/>
    </xf>
    <xf numFmtId="169" fontId="43" fillId="32" borderId="18" xfId="48" applyNumberFormat="1" applyFont="1" applyFill="1" applyBorder="1" applyAlignment="1">
      <alignment horizontal="center" vertical="center" wrapText="1"/>
    </xf>
    <xf numFmtId="0" fontId="23" fillId="0" borderId="26" xfId="1" applyFont="1" applyFill="1" applyBorder="1" applyAlignment="1">
      <alignment horizontal="center" vertical="center" wrapText="1"/>
    </xf>
    <xf numFmtId="0" fontId="45" fillId="0" borderId="27" xfId="0" applyFont="1" applyFill="1" applyBorder="1" applyAlignment="1">
      <alignment horizontal="center" vertical="center" wrapText="1"/>
    </xf>
    <xf numFmtId="3" fontId="42" fillId="0" borderId="11" xfId="49" applyNumberFormat="1" applyFont="1" applyBorder="1" applyAlignment="1">
      <alignment horizontal="center" vertical="center" textRotation="90" wrapText="1"/>
    </xf>
    <xf numFmtId="0" fontId="42" fillId="0" borderId="11" xfId="49" applyFont="1" applyBorder="1" applyAlignment="1">
      <alignment horizontal="center" vertical="center" textRotation="90" wrapText="1"/>
    </xf>
    <xf numFmtId="3" fontId="42" fillId="0" borderId="11" xfId="49" applyNumberFormat="1" applyFont="1" applyBorder="1" applyAlignment="1">
      <alignment horizontal="center" vertical="center" wrapText="1"/>
    </xf>
    <xf numFmtId="49" fontId="42" fillId="0" borderId="13" xfId="49" applyNumberFormat="1" applyFont="1" applyBorder="1" applyAlignment="1">
      <alignment horizontal="center" vertical="center" textRotation="90" wrapText="1"/>
    </xf>
    <xf numFmtId="0" fontId="48" fillId="29" borderId="0" xfId="0" applyFont="1" applyFill="1" applyAlignment="1">
      <alignment horizontal="center" vertical="center"/>
    </xf>
    <xf numFmtId="0" fontId="48"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center" vertical="center"/>
    </xf>
    <xf numFmtId="49" fontId="48" fillId="29" borderId="0" xfId="0" applyNumberFormat="1" applyFont="1" applyFill="1" applyAlignment="1">
      <alignment horizontal="left" vertical="center"/>
    </xf>
    <xf numFmtId="49" fontId="48" fillId="0" borderId="0" xfId="0" applyNumberFormat="1" applyFont="1" applyAlignment="1">
      <alignment horizontal="left" vertical="center"/>
    </xf>
    <xf numFmtId="0" fontId="48" fillId="0" borderId="0" xfId="0" applyFont="1" applyBorder="1" applyAlignment="1">
      <alignment horizontal="center" vertical="center"/>
    </xf>
    <xf numFmtId="0" fontId="48" fillId="0" borderId="0" xfId="0" applyFont="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49" fontId="49" fillId="0" borderId="0" xfId="0" applyNumberFormat="1" applyFont="1" applyAlignment="1">
      <alignment horizontal="left" vertical="center"/>
    </xf>
    <xf numFmtId="0" fontId="49" fillId="0" borderId="21" xfId="0" applyFont="1" applyBorder="1" applyAlignment="1">
      <alignment vertical="center" wrapText="1"/>
    </xf>
    <xf numFmtId="0" fontId="48" fillId="0" borderId="0" xfId="0" applyFont="1" applyAlignment="1">
      <alignment vertical="center" wrapText="1"/>
    </xf>
    <xf numFmtId="3" fontId="22" fillId="0" borderId="32" xfId="1" applyNumberFormat="1" applyFont="1" applyFill="1" applyBorder="1" applyAlignment="1">
      <alignment horizontal="left" vertical="center" wrapText="1"/>
    </xf>
    <xf numFmtId="0" fontId="49" fillId="29" borderId="0" xfId="0" applyFont="1" applyFill="1" applyAlignment="1">
      <alignment vertical="center" wrapText="1"/>
    </xf>
    <xf numFmtId="0" fontId="21" fillId="0" borderId="0" xfId="1"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2" fillId="29" borderId="0" xfId="49" applyNumberFormat="1" applyFont="1" applyFill="1" applyBorder="1" applyAlignment="1">
      <alignment horizontal="left"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49" fillId="29" borderId="0" xfId="0" applyFont="1" applyFill="1" applyAlignment="1">
      <alignment horizontal="center" vertical="center"/>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48" fillId="0" borderId="0" xfId="0" applyFont="1" applyFill="1" applyBorder="1" applyAlignment="1">
      <alignment horizontal="center" vertical="center"/>
    </xf>
    <xf numFmtId="0" fontId="21" fillId="0" borderId="0" xfId="1" applyNumberFormat="1" applyFont="1" applyBorder="1" applyAlignment="1">
      <alignment horizontal="center" vertical="center" wrapText="1"/>
    </xf>
    <xf numFmtId="3" fontId="22" fillId="0" borderId="0" xfId="1" applyNumberFormat="1" applyFont="1" applyFill="1" applyBorder="1" applyAlignment="1">
      <alignment horizontal="left" vertical="center" wrapText="1"/>
    </xf>
    <xf numFmtId="3" fontId="22" fillId="0" borderId="0" xfId="49" applyNumberFormat="1" applyFont="1" applyFill="1" applyBorder="1" applyAlignment="1">
      <alignment horizontal="center" vertical="center"/>
    </xf>
    <xf numFmtId="3" fontId="21" fillId="0" borderId="0" xfId="1" applyNumberFormat="1" applyFont="1" applyFill="1" applyBorder="1" applyAlignment="1">
      <alignment horizontal="left" vertical="center" wrapText="1"/>
    </xf>
    <xf numFmtId="3" fontId="42" fillId="26" borderId="0" xfId="49" applyNumberFormat="1" applyFont="1" applyFill="1" applyBorder="1" applyAlignment="1">
      <alignment horizontal="center" vertical="center"/>
    </xf>
    <xf numFmtId="0" fontId="42" fillId="26" borderId="0" xfId="49" applyNumberFormat="1" applyFont="1" applyFill="1" applyBorder="1" applyAlignment="1">
      <alignment horizontal="center" vertical="center"/>
    </xf>
    <xf numFmtId="3" fontId="22" fillId="26" borderId="0" xfId="49" applyNumberFormat="1" applyFont="1" applyFill="1" applyBorder="1" applyAlignment="1">
      <alignment horizontal="center" vertical="center"/>
    </xf>
    <xf numFmtId="0" fontId="42" fillId="0" borderId="0" xfId="49" applyNumberFormat="1" applyFont="1" applyFill="1" applyBorder="1" applyAlignment="1">
      <alignment horizontal="center" vertical="center"/>
    </xf>
    <xf numFmtId="3" fontId="39" fillId="0" borderId="0" xfId="49" applyNumberFormat="1" applyFont="1" applyFill="1" applyBorder="1" applyAlignment="1">
      <alignment horizontal="center" vertical="center"/>
    </xf>
    <xf numFmtId="3" fontId="22" fillId="26" borderId="0" xfId="49" applyNumberFormat="1" applyFont="1" applyFill="1" applyBorder="1" applyAlignment="1">
      <alignment horizontal="left" vertical="center" wrapText="1"/>
    </xf>
    <xf numFmtId="3" fontId="39" fillId="26" borderId="0" xfId="49" applyNumberFormat="1" applyFont="1" applyFill="1" applyBorder="1" applyAlignment="1">
      <alignment horizontal="center" vertical="center"/>
    </xf>
    <xf numFmtId="3" fontId="21" fillId="0" borderId="0" xfId="0" applyNumberFormat="1" applyFont="1" applyBorder="1" applyAlignment="1">
      <alignment horizontal="center" vertical="center" wrapText="1"/>
    </xf>
    <xf numFmtId="3" fontId="42" fillId="0" borderId="0" xfId="49" applyNumberFormat="1" applyFont="1" applyFill="1" applyBorder="1" applyAlignment="1">
      <alignment horizontal="center" vertical="center"/>
    </xf>
    <xf numFmtId="3" fontId="42" fillId="0" borderId="0" xfId="49" applyNumberFormat="1" applyFont="1" applyFill="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49" fontId="49" fillId="0" borderId="0" xfId="0" applyNumberFormat="1" applyFont="1" applyFill="1" applyBorder="1" applyAlignment="1" applyProtection="1">
      <alignment horizontal="left" vertical="top"/>
    </xf>
    <xf numFmtId="0" fontId="48" fillId="0" borderId="0" xfId="0" applyFont="1" applyFill="1" applyAlignment="1">
      <alignment horizontal="center" vertical="center"/>
    </xf>
    <xf numFmtId="0" fontId="48" fillId="0" borderId="0" xfId="0" applyFont="1" applyFill="1" applyBorder="1" applyAlignment="1">
      <alignment vertical="center" wrapText="1"/>
    </xf>
    <xf numFmtId="0" fontId="51" fillId="0" borderId="0" xfId="0" applyFont="1" applyFill="1" applyBorder="1" applyAlignment="1" applyProtection="1">
      <alignment vertical="top"/>
    </xf>
    <xf numFmtId="0" fontId="52" fillId="0" borderId="0" xfId="0" applyFont="1" applyFill="1" applyBorder="1" applyAlignment="1" applyProtection="1"/>
    <xf numFmtId="0" fontId="53" fillId="0" borderId="0" xfId="0" applyFont="1" applyFill="1" applyBorder="1"/>
    <xf numFmtId="0" fontId="52" fillId="0" borderId="0" xfId="0" applyFont="1" applyFill="1" applyBorder="1" applyAlignment="1" applyProtection="1">
      <alignment horizontal="left" vertical="top"/>
    </xf>
    <xf numFmtId="49" fontId="48" fillId="0" borderId="0" xfId="0" applyNumberFormat="1" applyFont="1" applyFill="1" applyBorder="1" applyAlignment="1" applyProtection="1">
      <alignment horizontal="left" vertical="top"/>
    </xf>
    <xf numFmtId="0" fontId="53" fillId="0" borderId="0" xfId="0" applyFont="1" applyBorder="1"/>
    <xf numFmtId="0" fontId="49" fillId="0" borderId="0" xfId="0" applyFont="1" applyBorder="1" applyAlignment="1">
      <alignment horizontal="center" vertical="center"/>
    </xf>
    <xf numFmtId="0" fontId="48" fillId="0" borderId="0" xfId="0" applyFont="1" applyFill="1" applyAlignment="1">
      <alignment vertical="center"/>
    </xf>
    <xf numFmtId="0" fontId="49" fillId="0" borderId="0" xfId="0" applyFont="1" applyFill="1" applyBorder="1" applyAlignment="1">
      <alignment horizontal="left"/>
    </xf>
    <xf numFmtId="0" fontId="49" fillId="0" borderId="0" xfId="0" applyFont="1" applyBorder="1" applyAlignment="1">
      <alignment horizontal="center"/>
    </xf>
    <xf numFmtId="0" fontId="44" fillId="0" borderId="0" xfId="0" applyFont="1" applyFill="1" applyBorder="1" applyAlignment="1" applyProtection="1"/>
    <xf numFmtId="3" fontId="42" fillId="29" borderId="0" xfId="49" applyNumberFormat="1" applyFont="1" applyFill="1" applyBorder="1" applyAlignment="1">
      <alignment horizontal="center" vertical="center"/>
    </xf>
    <xf numFmtId="0" fontId="42" fillId="29" borderId="0" xfId="49" applyFont="1" applyFill="1" applyBorder="1" applyAlignment="1">
      <alignment horizontal="center" vertical="center"/>
    </xf>
    <xf numFmtId="49" fontId="22" fillId="29" borderId="0" xfId="49" applyNumberFormat="1" applyFont="1" applyFill="1" applyBorder="1" applyAlignment="1">
      <alignment horizontal="center" vertical="center"/>
    </xf>
    <xf numFmtId="49" fontId="40" fillId="29" borderId="0" xfId="49" applyNumberFormat="1" applyFont="1" applyFill="1" applyBorder="1" applyAlignment="1">
      <alignment horizontal="center" vertical="center"/>
    </xf>
    <xf numFmtId="3" fontId="22" fillId="29" borderId="0" xfId="49" applyNumberFormat="1" applyFont="1" applyFill="1" applyBorder="1" applyAlignment="1">
      <alignment horizontal="left" vertical="center"/>
    </xf>
    <xf numFmtId="3" fontId="42" fillId="29" borderId="0" xfId="0" applyNumberFormat="1" applyFont="1" applyFill="1" applyAlignment="1">
      <alignment horizontal="left" vertical="center" wrapText="1"/>
    </xf>
    <xf numFmtId="0" fontId="48" fillId="0" borderId="0" xfId="0" applyFont="1" applyBorder="1"/>
    <xf numFmtId="0" fontId="49" fillId="0" borderId="0" xfId="0" applyFont="1" applyBorder="1" applyAlignment="1">
      <alignment vertical="center" wrapText="1"/>
    </xf>
    <xf numFmtId="0" fontId="49" fillId="0" borderId="0" xfId="0" applyFont="1" applyBorder="1" applyAlignment="1">
      <alignment vertical="center"/>
    </xf>
    <xf numFmtId="3" fontId="21" fillId="0" borderId="0" xfId="0" applyNumberFormat="1" applyFont="1" applyBorder="1" applyAlignment="1">
      <alignment horizontal="center" vertical="center" wrapText="1"/>
    </xf>
    <xf numFmtId="3" fontId="42" fillId="0" borderId="0" xfId="49" applyNumberFormat="1"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41" fillId="0" borderId="0" xfId="0" applyNumberFormat="1" applyFont="1" applyAlignment="1">
      <alignment horizontal="left" vertical="center" wrapText="1"/>
    </xf>
    <xf numFmtId="3" fontId="44" fillId="0" borderId="0" xfId="0" applyNumberFormat="1" applyFont="1" applyBorder="1" applyAlignment="1">
      <alignment horizontal="left" vertical="center" wrapText="1"/>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42" fillId="0" borderId="33" xfId="49" applyNumberFormat="1" applyFont="1" applyBorder="1" applyAlignment="1">
      <alignment horizontal="center" vertical="center" wrapText="1"/>
    </xf>
    <xf numFmtId="0" fontId="42" fillId="0" borderId="33" xfId="49" applyFont="1" applyBorder="1" applyAlignment="1">
      <alignment horizontal="center" vertical="center" wrapText="1"/>
    </xf>
    <xf numFmtId="49" fontId="42" fillId="0" borderId="34" xfId="49" applyNumberFormat="1" applyFont="1" applyBorder="1" applyAlignment="1">
      <alignment horizontal="center" vertical="center" wrapText="1"/>
    </xf>
    <xf numFmtId="0" fontId="60" fillId="0" borderId="0" xfId="0" applyFont="1" applyAlignment="1">
      <alignment horizontal="center" vertical="center"/>
    </xf>
    <xf numFmtId="0" fontId="49" fillId="0" borderId="0" xfId="0" applyFont="1" applyFill="1" applyAlignment="1">
      <alignment vertical="center"/>
    </xf>
    <xf numFmtId="0" fontId="44" fillId="0" borderId="0" xfId="0" applyFont="1" applyFill="1" applyBorder="1" applyAlignment="1" applyProtection="1">
      <alignment vertical="center"/>
    </xf>
    <xf numFmtId="0" fontId="53" fillId="0" borderId="0" xfId="0" applyFont="1" applyBorder="1" applyAlignment="1">
      <alignment vertical="center"/>
    </xf>
    <xf numFmtId="0" fontId="51" fillId="0" borderId="0" xfId="0" applyFont="1" applyFill="1" applyBorder="1" applyAlignment="1" applyProtection="1">
      <alignment vertical="center"/>
    </xf>
    <xf numFmtId="0" fontId="53" fillId="0" borderId="0" xfId="0" applyFont="1" applyFill="1" applyBorder="1" applyAlignment="1">
      <alignment vertical="center"/>
    </xf>
    <xf numFmtId="0" fontId="52" fillId="0" borderId="0" xfId="0" applyFont="1" applyFill="1" applyBorder="1" applyAlignment="1" applyProtection="1">
      <alignment vertical="center"/>
    </xf>
    <xf numFmtId="0" fontId="61" fillId="0" borderId="0" xfId="0" applyFont="1" applyAlignment="1">
      <alignment horizontal="center" vertical="center"/>
    </xf>
    <xf numFmtId="0" fontId="62" fillId="0" borderId="0" xfId="0" applyFont="1" applyFill="1" applyBorder="1" applyAlignment="1">
      <alignment horizontal="left" vertical="center" wrapText="1"/>
    </xf>
    <xf numFmtId="3" fontId="62" fillId="0" borderId="0" xfId="49" applyNumberFormat="1" applyFont="1" applyFill="1" applyBorder="1" applyAlignment="1">
      <alignment horizontal="left" vertical="center" wrapText="1"/>
    </xf>
    <xf numFmtId="3" fontId="42" fillId="26" borderId="0" xfId="49" applyNumberFormat="1" applyFont="1" applyFill="1" applyBorder="1" applyAlignment="1">
      <alignment horizontal="left" vertical="center"/>
    </xf>
    <xf numFmtId="3" fontId="42" fillId="0" borderId="0" xfId="49" applyNumberFormat="1" applyFont="1" applyFill="1" applyBorder="1" applyAlignment="1">
      <alignment horizontal="left" vertical="center"/>
    </xf>
    <xf numFmtId="0" fontId="48" fillId="0" borderId="0" xfId="0" applyFont="1" applyBorder="1" applyAlignment="1">
      <alignment horizontal="left"/>
    </xf>
    <xf numFmtId="0" fontId="48" fillId="0" borderId="0" xfId="0" applyFont="1" applyFill="1" applyAlignment="1">
      <alignment horizontal="left"/>
    </xf>
    <xf numFmtId="49" fontId="48" fillId="0" borderId="0" xfId="0" applyNumberFormat="1" applyFont="1" applyFill="1" applyBorder="1" applyAlignment="1" applyProtection="1">
      <alignment horizontal="left" vertical="center"/>
    </xf>
    <xf numFmtId="0" fontId="48" fillId="0" borderId="0" xfId="0" applyFont="1" applyAlignment="1">
      <alignment horizontal="left"/>
    </xf>
    <xf numFmtId="0" fontId="53" fillId="0" borderId="0" xfId="0" applyFont="1" applyBorder="1" applyAlignment="1">
      <alignment horizontal="left" vertical="center"/>
    </xf>
    <xf numFmtId="3" fontId="42" fillId="29" borderId="0" xfId="49" applyNumberFormat="1" applyFont="1" applyFill="1" applyBorder="1" applyAlignment="1">
      <alignment horizontal="left" vertical="center"/>
    </xf>
    <xf numFmtId="0" fontId="49" fillId="0" borderId="0" xfId="0" applyFont="1" applyBorder="1" applyAlignment="1">
      <alignment horizontal="left" vertical="center"/>
    </xf>
    <xf numFmtId="0" fontId="61" fillId="0" borderId="0" xfId="0" applyFont="1" applyAlignment="1">
      <alignment vertical="center"/>
    </xf>
    <xf numFmtId="0" fontId="61" fillId="0" borderId="0" xfId="0" applyFont="1" applyFill="1" applyAlignment="1">
      <alignment vertical="center"/>
    </xf>
    <xf numFmtId="3" fontId="22" fillId="0" borderId="35" xfId="1" applyNumberFormat="1" applyFont="1" applyFill="1" applyBorder="1" applyAlignment="1">
      <alignment horizontal="left" vertical="center" wrapText="1"/>
    </xf>
    <xf numFmtId="3" fontId="42" fillId="0" borderId="35" xfId="1" applyNumberFormat="1" applyFont="1" applyFill="1" applyBorder="1" applyAlignment="1">
      <alignment horizontal="left" vertical="center" wrapText="1"/>
    </xf>
    <xf numFmtId="0" fontId="61" fillId="0" borderId="0" xfId="0" applyNumberFormat="1" applyFont="1" applyFill="1" applyBorder="1" applyAlignment="1" applyProtection="1">
      <alignment horizontal="center" vertical="top"/>
    </xf>
    <xf numFmtId="0" fontId="61" fillId="0" borderId="0" xfId="0" applyFont="1" applyFill="1" applyBorder="1" applyAlignment="1">
      <alignment horizontal="center" vertical="center"/>
    </xf>
    <xf numFmtId="0" fontId="63" fillId="0" borderId="0" xfId="0" applyFont="1" applyFill="1" applyBorder="1" applyAlignment="1" applyProtection="1">
      <alignment vertical="center"/>
    </xf>
    <xf numFmtId="3" fontId="23" fillId="0" borderId="0" xfId="49" applyNumberFormat="1" applyFont="1" applyFill="1" applyBorder="1" applyAlignment="1">
      <alignment horizontal="center" vertical="center"/>
    </xf>
    <xf numFmtId="0" fontId="23" fillId="0" borderId="0" xfId="49" applyNumberFormat="1" applyFont="1" applyFill="1" applyBorder="1" applyAlignment="1">
      <alignment horizontal="center" vertical="center"/>
    </xf>
    <xf numFmtId="0" fontId="62" fillId="0" borderId="0" xfId="0" applyFont="1" applyFill="1" applyBorder="1" applyAlignment="1">
      <alignment horizontal="left" wrapText="1"/>
    </xf>
    <xf numFmtId="49" fontId="61" fillId="0" borderId="0" xfId="0" applyNumberFormat="1" applyFont="1" applyFill="1" applyBorder="1" applyAlignment="1" applyProtection="1">
      <alignment horizontal="center" vertical="top"/>
    </xf>
    <xf numFmtId="3" fontId="64" fillId="0" borderId="0" xfId="49" applyNumberFormat="1" applyFont="1" applyFill="1" applyBorder="1" applyAlignment="1">
      <alignment horizontal="center" vertical="center"/>
    </xf>
    <xf numFmtId="49" fontId="62" fillId="0" borderId="0" xfId="49" applyNumberFormat="1" applyFont="1" applyFill="1" applyBorder="1" applyAlignment="1">
      <alignment horizontal="center" vertical="center"/>
    </xf>
    <xf numFmtId="3" fontId="62" fillId="0" borderId="0" xfId="49" applyNumberFormat="1" applyFont="1" applyFill="1" applyBorder="1" applyAlignment="1">
      <alignment horizontal="center" vertical="center"/>
    </xf>
    <xf numFmtId="0" fontId="61" fillId="0" borderId="0" xfId="0" applyFont="1" applyAlignment="1">
      <alignment vertical="center" wrapText="1"/>
    </xf>
    <xf numFmtId="0" fontId="60" fillId="0" borderId="0" xfId="0" applyFont="1"/>
    <xf numFmtId="0" fontId="61" fillId="0" borderId="0" xfId="0" applyFont="1"/>
    <xf numFmtId="0" fontId="60" fillId="0" borderId="0" xfId="0" applyFont="1" applyAlignment="1">
      <alignment horizontal="left"/>
    </xf>
    <xf numFmtId="0" fontId="61" fillId="0" borderId="0" xfId="0" applyFont="1" applyAlignment="1">
      <alignment horizontal="center"/>
    </xf>
    <xf numFmtId="49" fontId="61" fillId="0" borderId="0" xfId="0" applyNumberFormat="1" applyFont="1" applyAlignment="1">
      <alignment horizontal="center" vertical="center"/>
    </xf>
    <xf numFmtId="49" fontId="61" fillId="0" borderId="0" xfId="0" applyNumberFormat="1" applyFont="1" applyAlignment="1">
      <alignment horizontal="left"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41" fillId="0" borderId="0" xfId="0" applyNumberFormat="1" applyFont="1" applyAlignment="1">
      <alignment horizontal="left" vertical="center" wrapText="1"/>
    </xf>
    <xf numFmtId="3" fontId="44" fillId="0" borderId="0" xfId="0" applyNumberFormat="1" applyFont="1" applyBorder="1" applyAlignment="1">
      <alignment horizontal="left" vertical="center" wrapText="1"/>
    </xf>
    <xf numFmtId="3" fontId="42" fillId="26" borderId="0" xfId="49" applyNumberFormat="1" applyFont="1" applyFill="1" applyBorder="1" applyAlignment="1">
      <alignment horizontal="center" vertical="center"/>
    </xf>
    <xf numFmtId="49" fontId="22" fillId="26" borderId="0" xfId="49" applyNumberFormat="1" applyFont="1" applyFill="1" applyBorder="1" applyAlignment="1">
      <alignment horizontal="center" vertical="center"/>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49" fontId="40" fillId="26" borderId="0" xfId="49" applyNumberFormat="1" applyFont="1" applyFill="1" applyBorder="1" applyAlignment="1">
      <alignment horizontal="center" vertical="center"/>
    </xf>
    <xf numFmtId="3" fontId="22" fillId="26" borderId="0" xfId="49" applyNumberFormat="1" applyFont="1" applyFill="1" applyBorder="1" applyAlignment="1">
      <alignment horizontal="left" vertical="center"/>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42" fillId="26" borderId="0" xfId="49" applyFont="1" applyFill="1" applyBorder="1" applyAlignment="1">
      <alignment horizontal="center"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41" fillId="0" borderId="0" xfId="0" applyNumberFormat="1" applyFont="1" applyAlignment="1">
      <alignment horizontal="left" vertical="center" wrapText="1"/>
    </xf>
    <xf numFmtId="3" fontId="42" fillId="26" borderId="0" xfId="49" applyNumberFormat="1" applyFont="1" applyFill="1" applyBorder="1" applyAlignment="1">
      <alignment horizontal="center" vertical="center"/>
    </xf>
    <xf numFmtId="49" fontId="22" fillId="26" borderId="0" xfId="49" applyNumberFormat="1" applyFont="1" applyFill="1" applyBorder="1" applyAlignment="1">
      <alignment horizontal="center" vertical="center"/>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49" fontId="40" fillId="26" borderId="0" xfId="49" applyNumberFormat="1" applyFont="1" applyFill="1" applyBorder="1" applyAlignment="1">
      <alignment horizontal="center" vertical="center"/>
    </xf>
    <xf numFmtId="3" fontId="22" fillId="26" borderId="0" xfId="49" applyNumberFormat="1" applyFont="1" applyFill="1" applyBorder="1" applyAlignment="1">
      <alignment horizontal="left" vertical="center"/>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42" fillId="26" borderId="0" xfId="49" applyFont="1" applyFill="1" applyBorder="1" applyAlignment="1">
      <alignment horizontal="center"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41" fillId="0" borderId="0" xfId="0" applyNumberFormat="1" applyFont="1" applyAlignment="1">
      <alignment horizontal="left" vertical="center" wrapText="1"/>
    </xf>
    <xf numFmtId="3" fontId="22" fillId="0" borderId="0" xfId="0" applyNumberFormat="1" applyFont="1" applyBorder="1" applyAlignment="1">
      <alignment horizontal="left" vertical="center"/>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41" fillId="0" borderId="0" xfId="0" applyNumberFormat="1" applyFont="1" applyAlignment="1">
      <alignment horizontal="left" vertical="center" wrapText="1"/>
    </xf>
    <xf numFmtId="3" fontId="22" fillId="0" borderId="0" xfId="0" applyNumberFormat="1" applyFont="1" applyBorder="1" applyAlignment="1">
      <alignment horizontal="left" vertical="center"/>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41" fillId="0" borderId="0" xfId="0" applyNumberFormat="1" applyFont="1" applyAlignment="1">
      <alignment horizontal="left" vertical="center" wrapText="1"/>
    </xf>
    <xf numFmtId="3" fontId="44" fillId="0" borderId="0" xfId="0" applyNumberFormat="1" applyFont="1" applyBorder="1" applyAlignment="1">
      <alignment horizontal="left" vertical="center" wrapText="1"/>
    </xf>
    <xf numFmtId="3" fontId="42" fillId="26" borderId="0" xfId="49" applyNumberFormat="1" applyFont="1" applyFill="1" applyBorder="1" applyAlignment="1">
      <alignment horizontal="center" vertical="center"/>
    </xf>
    <xf numFmtId="49" fontId="22" fillId="26" borderId="0" xfId="49" applyNumberFormat="1" applyFont="1" applyFill="1" applyBorder="1" applyAlignment="1">
      <alignment horizontal="center" vertical="center"/>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3" fontId="42" fillId="0" borderId="0" xfId="0" applyNumberFormat="1" applyFont="1" applyAlignment="1">
      <alignment horizontal="left" vertical="center" wrapText="1"/>
    </xf>
    <xf numFmtId="49" fontId="40" fillId="26" borderId="0" xfId="49" applyNumberFormat="1" applyFont="1" applyFill="1" applyBorder="1" applyAlignment="1">
      <alignment horizontal="center" vertical="center"/>
    </xf>
    <xf numFmtId="3" fontId="22" fillId="26" borderId="0" xfId="49" applyNumberFormat="1" applyFont="1" applyFill="1" applyBorder="1" applyAlignment="1">
      <alignment horizontal="left" vertical="center"/>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42" fillId="26" borderId="0" xfId="49" applyFont="1" applyFill="1" applyBorder="1" applyAlignment="1">
      <alignment horizontal="center"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41" fillId="0" borderId="0" xfId="0" applyNumberFormat="1" applyFont="1" applyAlignment="1">
      <alignment horizontal="left" vertical="center" wrapText="1"/>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41" fillId="0" borderId="0" xfId="0" applyNumberFormat="1" applyFont="1" applyAlignment="1">
      <alignment horizontal="left" vertical="center" wrapText="1"/>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41" fillId="0" borderId="0" xfId="0" applyNumberFormat="1" applyFont="1" applyAlignment="1">
      <alignment horizontal="left" vertical="center" wrapText="1"/>
    </xf>
    <xf numFmtId="3" fontId="41"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41" fillId="0" borderId="0" xfId="0" applyNumberFormat="1" applyFont="1" applyAlignment="1">
      <alignment horizontal="left" vertical="center" wrapText="1"/>
    </xf>
    <xf numFmtId="3" fontId="44" fillId="0" borderId="0" xfId="0" applyNumberFormat="1" applyFont="1" applyBorder="1" applyAlignment="1">
      <alignment horizontal="left" vertical="center" wrapText="1"/>
    </xf>
    <xf numFmtId="3" fontId="41"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42"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40" fillId="33" borderId="0" xfId="49" applyNumberFormat="1" applyFont="1" applyFill="1" applyBorder="1" applyAlignment="1">
      <alignment horizontal="center" vertical="center"/>
    </xf>
    <xf numFmtId="3" fontId="42" fillId="33" borderId="0" xfId="49" applyNumberFormat="1" applyFont="1" applyFill="1" applyBorder="1" applyAlignment="1">
      <alignment horizontal="center" vertical="center"/>
    </xf>
    <xf numFmtId="49" fontId="42"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40"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42" fillId="33" borderId="0" xfId="49" applyNumberFormat="1" applyFont="1" applyFill="1" applyBorder="1" applyAlignment="1">
      <alignment horizontal="center" vertical="center"/>
    </xf>
    <xf numFmtId="49" fontId="42"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40"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42" fillId="33" borderId="0" xfId="49" applyNumberFormat="1" applyFont="1" applyFill="1" applyBorder="1" applyAlignment="1">
      <alignment horizontal="center" vertical="center"/>
    </xf>
    <xf numFmtId="49" fontId="42"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40"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42" fillId="33" borderId="0" xfId="49" applyNumberFormat="1" applyFont="1" applyFill="1" applyBorder="1" applyAlignment="1">
      <alignment horizontal="center" vertical="center"/>
    </xf>
    <xf numFmtId="49" fontId="42"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40"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42" fillId="33" borderId="0" xfId="49" applyNumberFormat="1" applyFont="1" applyFill="1" applyBorder="1" applyAlignment="1">
      <alignment horizontal="center" vertical="center"/>
    </xf>
    <xf numFmtId="49" fontId="42"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40"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41" fillId="0" borderId="0" xfId="0" applyNumberFormat="1" applyFont="1" applyAlignment="1">
      <alignment horizontal="left" vertical="center" wrapText="1"/>
    </xf>
    <xf numFmtId="3" fontId="44" fillId="0" borderId="0" xfId="0" applyNumberFormat="1" applyFont="1" applyBorder="1" applyAlignment="1">
      <alignment horizontal="left" vertical="center" wrapText="1"/>
    </xf>
    <xf numFmtId="3" fontId="41" fillId="0" borderId="0" xfId="0" applyNumberFormat="1" applyFont="1" applyBorder="1" applyAlignment="1">
      <alignment horizontal="left" vertical="center" wrapText="1"/>
    </xf>
    <xf numFmtId="3" fontId="42" fillId="33" borderId="0" xfId="49" applyNumberFormat="1" applyFont="1" applyFill="1" applyBorder="1" applyAlignment="1">
      <alignment horizontal="center" vertical="center"/>
    </xf>
    <xf numFmtId="49" fontId="42"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40"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49" fontId="42" fillId="29" borderId="0" xfId="49" applyNumberFormat="1" applyFont="1" applyFill="1" applyBorder="1" applyAlignment="1">
      <alignment horizontal="center" vertical="center"/>
    </xf>
    <xf numFmtId="3" fontId="42" fillId="26" borderId="0" xfId="0" applyNumberFormat="1" applyFont="1" applyFill="1" applyBorder="1" applyAlignment="1">
      <alignment wrapText="1"/>
    </xf>
    <xf numFmtId="0" fontId="42" fillId="26" borderId="0" xfId="0" applyNumberFormat="1" applyFont="1" applyFill="1" applyBorder="1" applyAlignment="1">
      <alignment horizontal="center" vertical="center" wrapText="1"/>
    </xf>
    <xf numFmtId="3" fontId="42" fillId="26" borderId="0" xfId="0" applyNumberFormat="1" applyFont="1" applyFill="1" applyBorder="1" applyAlignment="1">
      <alignment horizontal="center" vertical="center" wrapText="1"/>
    </xf>
    <xf numFmtId="49" fontId="22" fillId="26" borderId="0" xfId="0" applyNumberFormat="1" applyFont="1" applyFill="1" applyBorder="1" applyAlignment="1">
      <alignment horizontal="center" wrapText="1"/>
    </xf>
    <xf numFmtId="49" fontId="40" fillId="26" borderId="0" xfId="0" applyNumberFormat="1" applyFont="1" applyFill="1" applyBorder="1" applyAlignment="1">
      <alignment horizontal="center" wrapText="1"/>
    </xf>
    <xf numFmtId="3" fontId="22" fillId="26" borderId="0" xfId="0" applyNumberFormat="1" applyFont="1" applyFill="1" applyBorder="1" applyAlignment="1">
      <alignment horizontal="left" vertical="center"/>
    </xf>
    <xf numFmtId="0" fontId="42" fillId="26" borderId="0" xfId="0" applyNumberFormat="1" applyFont="1" applyFill="1" applyBorder="1" applyAlignment="1">
      <alignment horizontal="center" vertical="center" wrapText="1"/>
    </xf>
    <xf numFmtId="3" fontId="42" fillId="26" borderId="0" xfId="0" applyNumberFormat="1" applyFont="1" applyFill="1" applyBorder="1" applyAlignment="1">
      <alignment horizontal="center" vertical="center" wrapText="1"/>
    </xf>
    <xf numFmtId="49" fontId="21" fillId="26" borderId="0" xfId="0" applyNumberFormat="1" applyFont="1" applyFill="1" applyAlignment="1">
      <alignment horizontal="center" vertical="center" wrapText="1"/>
    </xf>
    <xf numFmtId="49" fontId="40" fillId="26" borderId="0" xfId="0" applyNumberFormat="1" applyFont="1" applyFill="1" applyBorder="1" applyAlignment="1">
      <alignment horizontal="center" vertical="center" wrapText="1"/>
    </xf>
    <xf numFmtId="3" fontId="22" fillId="26" borderId="0" xfId="0" applyNumberFormat="1" applyFont="1" applyFill="1" applyBorder="1" applyAlignment="1">
      <alignment vertical="center" wrapText="1"/>
    </xf>
    <xf numFmtId="49" fontId="48" fillId="0" borderId="0" xfId="0" applyNumberFormat="1" applyFont="1" applyBorder="1" applyAlignment="1" applyProtection="1">
      <alignment horizontal="center" vertical="top"/>
    </xf>
    <xf numFmtId="0" fontId="42" fillId="26" borderId="0" xfId="0" applyNumberFormat="1" applyFont="1" applyFill="1" applyBorder="1" applyAlignment="1">
      <alignment horizontal="center" vertical="center" wrapText="1"/>
    </xf>
    <xf numFmtId="3" fontId="42" fillId="26" borderId="0" xfId="0" applyNumberFormat="1" applyFont="1" applyFill="1" applyBorder="1" applyAlignment="1">
      <alignment horizontal="center" vertical="center" wrapText="1"/>
    </xf>
    <xf numFmtId="49" fontId="65" fillId="26" borderId="0" xfId="0" applyNumberFormat="1" applyFont="1" applyFill="1" applyBorder="1" applyAlignment="1">
      <alignment horizontal="center" vertical="center" wrapText="1"/>
    </xf>
    <xf numFmtId="49" fontId="66" fillId="26" borderId="0" xfId="0" applyNumberFormat="1" applyFont="1" applyFill="1" applyBorder="1" applyAlignment="1">
      <alignment horizontal="center" vertical="center" wrapText="1"/>
    </xf>
    <xf numFmtId="3" fontId="22" fillId="26" borderId="0" xfId="0" applyNumberFormat="1" applyFont="1" applyFill="1" applyBorder="1" applyAlignment="1">
      <alignment horizontal="left"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41" fillId="0" borderId="0" xfId="0" applyNumberFormat="1" applyFont="1" applyAlignment="1">
      <alignment horizontal="left" vertical="center" wrapText="1"/>
    </xf>
    <xf numFmtId="3" fontId="42" fillId="0" borderId="0" xfId="49" applyNumberFormat="1" applyFont="1" applyFill="1" applyBorder="1" applyAlignment="1">
      <alignment horizontal="center" vertical="center"/>
    </xf>
    <xf numFmtId="3" fontId="41" fillId="0" borderId="0" xfId="0" applyNumberFormat="1" applyFont="1" applyBorder="1" applyAlignment="1">
      <alignment horizontal="left" vertical="center" wrapText="1"/>
    </xf>
    <xf numFmtId="3" fontId="42" fillId="0" borderId="0" xfId="49" applyNumberFormat="1" applyFont="1" applyFill="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49" fontId="48" fillId="0" borderId="0" xfId="0" applyNumberFormat="1" applyFont="1" applyFill="1" applyAlignment="1">
      <alignment horizontal="left"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21" fillId="0" borderId="0" xfId="51" applyNumberFormat="1" applyFont="1" applyFill="1" applyBorder="1" applyAlignment="1">
      <alignment horizontal="right" vertical="center" wrapText="1"/>
    </xf>
    <xf numFmtId="3" fontId="41" fillId="0" borderId="0" xfId="0" applyNumberFormat="1" applyFont="1" applyAlignment="1">
      <alignment horizontal="left" vertical="center" wrapText="1"/>
    </xf>
    <xf numFmtId="3" fontId="44" fillId="0" borderId="0" xfId="0" applyNumberFormat="1" applyFont="1" applyBorder="1" applyAlignment="1">
      <alignment horizontal="left" vertical="center" wrapText="1"/>
    </xf>
    <xf numFmtId="3" fontId="21" fillId="0" borderId="0" xfId="50"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wrapText="1"/>
    </xf>
    <xf numFmtId="3" fontId="41" fillId="0" borderId="0" xfId="0" applyNumberFormat="1" applyFont="1" applyBorder="1" applyAlignment="1">
      <alignment horizontal="left" vertical="center" wrapText="1"/>
    </xf>
    <xf numFmtId="3" fontId="42" fillId="0" borderId="0" xfId="0" applyNumberFormat="1" applyFont="1" applyFill="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2" fillId="0" borderId="0" xfId="0" applyNumberFormat="1" applyFont="1" applyFill="1" applyBorder="1" applyAlignment="1">
      <alignment horizontal="right" vertical="center" wrapText="1"/>
    </xf>
    <xf numFmtId="0" fontId="52" fillId="0" borderId="0" xfId="0" applyFont="1" applyFill="1" applyBorder="1" applyAlignment="1" applyProtection="1">
      <alignment vertical="top"/>
    </xf>
    <xf numFmtId="49" fontId="48" fillId="0" borderId="0" xfId="0" applyNumberFormat="1" applyFont="1" applyBorder="1" applyAlignment="1" applyProtection="1">
      <alignment horizontal="center" vertical="center"/>
    </xf>
    <xf numFmtId="49" fontId="48" fillId="0" borderId="0" xfId="0" applyNumberFormat="1" applyFont="1" applyFill="1" applyBorder="1" applyAlignment="1" applyProtection="1">
      <alignment horizontal="center" vertical="top"/>
    </xf>
    <xf numFmtId="0" fontId="48" fillId="0" borderId="0" xfId="0" applyFont="1" applyFill="1" applyBorder="1"/>
    <xf numFmtId="49" fontId="48" fillId="0" borderId="0" xfId="0" applyNumberFormat="1" applyFont="1" applyFill="1" applyBorder="1" applyAlignment="1" applyProtection="1">
      <alignment horizontal="center" vertical="center"/>
    </xf>
    <xf numFmtId="0" fontId="48" fillId="29" borderId="0" xfId="0" applyFont="1" applyFill="1" applyAlignment="1">
      <alignment vertical="center" wrapText="1"/>
    </xf>
    <xf numFmtId="0" fontId="48" fillId="0" borderId="0" xfId="0" applyFont="1" applyBorder="1" applyAlignment="1">
      <alignment horizontal="center"/>
    </xf>
    <xf numFmtId="0" fontId="60" fillId="0" borderId="0" xfId="0" applyFont="1" applyBorder="1"/>
    <xf numFmtId="0" fontId="48" fillId="0" borderId="0" xfId="0" applyFont="1" applyBorder="1" applyAlignment="1">
      <alignment vertical="center" wrapText="1"/>
    </xf>
    <xf numFmtId="0" fontId="49" fillId="0" borderId="0" xfId="0" applyFont="1" applyBorder="1"/>
    <xf numFmtId="0" fontId="52" fillId="0" borderId="20" xfId="0" applyFont="1" applyFill="1" applyBorder="1" applyAlignment="1" applyProtection="1">
      <alignment horizontal="center" vertical="top"/>
    </xf>
    <xf numFmtId="0" fontId="52" fillId="0" borderId="20" xfId="0" applyFont="1" applyFill="1" applyBorder="1" applyAlignment="1" applyProtection="1">
      <alignment horizontal="center"/>
    </xf>
    <xf numFmtId="0" fontId="53" fillId="0" borderId="20" xfId="0" applyFont="1" applyBorder="1" applyAlignment="1">
      <alignment horizontal="center" vertical="center"/>
    </xf>
    <xf numFmtId="0" fontId="47" fillId="34" borderId="0" xfId="0" applyFont="1" applyFill="1" applyBorder="1" applyAlignment="1">
      <alignment horizontal="left" vertical="center"/>
    </xf>
    <xf numFmtId="49" fontId="47" fillId="34" borderId="0" xfId="0" applyNumberFormat="1" applyFont="1" applyFill="1" applyBorder="1" applyAlignment="1">
      <alignment horizontal="center" vertical="center"/>
    </xf>
    <xf numFmtId="169" fontId="45" fillId="34" borderId="0" xfId="48" applyNumberFormat="1" applyFont="1" applyFill="1" applyBorder="1" applyAlignment="1" applyProtection="1">
      <alignment horizontal="right" vertical="center" wrapText="1"/>
    </xf>
    <xf numFmtId="49" fontId="47" fillId="34" borderId="0" xfId="0" applyNumberFormat="1" applyFont="1" applyFill="1" applyBorder="1" applyAlignment="1">
      <alignment horizontal="center"/>
    </xf>
    <xf numFmtId="0" fontId="47" fillId="34" borderId="0" xfId="0" applyFont="1" applyFill="1" applyBorder="1" applyAlignment="1">
      <alignment horizontal="left"/>
    </xf>
    <xf numFmtId="165" fontId="47" fillId="34" borderId="0" xfId="29" applyNumberFormat="1" applyFont="1" applyFill="1" applyBorder="1" applyAlignment="1" applyProtection="1">
      <alignment horizontal="right" vertical="center" wrapText="1"/>
    </xf>
    <xf numFmtId="169" fontId="45" fillId="34" borderId="0" xfId="0" applyNumberFormat="1" applyFont="1" applyFill="1" applyBorder="1" applyAlignment="1">
      <alignment horizontal="right" vertical="center" wrapText="1"/>
    </xf>
    <xf numFmtId="165" fontId="45" fillId="34" borderId="0" xfId="0" applyNumberFormat="1" applyFont="1" applyFill="1" applyBorder="1" applyAlignment="1">
      <alignment horizontal="right" vertical="center" wrapText="1"/>
    </xf>
    <xf numFmtId="169" fontId="43" fillId="35" borderId="18" xfId="48" applyNumberFormat="1" applyFont="1" applyFill="1" applyBorder="1" applyAlignment="1" applyProtection="1">
      <alignment horizontal="center" vertical="center" wrapText="1"/>
    </xf>
    <xf numFmtId="0" fontId="59" fillId="36" borderId="18" xfId="0" applyFont="1" applyFill="1" applyBorder="1" applyAlignment="1">
      <alignment horizontal="center" vertical="center" wrapText="1"/>
    </xf>
    <xf numFmtId="49" fontId="59" fillId="36" borderId="18" xfId="0" applyNumberFormat="1" applyFont="1" applyFill="1" applyBorder="1" applyAlignment="1">
      <alignment horizontal="center" vertical="center" wrapText="1"/>
    </xf>
    <xf numFmtId="0" fontId="59" fillId="37" borderId="18" xfId="0" applyFont="1" applyFill="1" applyBorder="1" applyAlignment="1">
      <alignment horizontal="center" vertical="center" wrapText="1"/>
    </xf>
    <xf numFmtId="49" fontId="59" fillId="37" borderId="18" xfId="0" applyNumberFormat="1" applyFont="1" applyFill="1" applyBorder="1" applyAlignment="1">
      <alignment horizontal="center" vertical="center" wrapText="1"/>
    </xf>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31" borderId="10" xfId="1" applyNumberFormat="1" applyFont="1" applyFill="1" applyBorder="1" applyAlignment="1">
      <alignment horizontal="center" vertical="center"/>
    </xf>
    <xf numFmtId="0" fontId="1" fillId="31" borderId="10" xfId="1" applyFont="1" applyFill="1" applyBorder="1" applyAlignment="1">
      <alignment horizontal="center" vertical="center" wrapText="1"/>
    </xf>
    <xf numFmtId="49" fontId="45" fillId="0" borderId="27" xfId="0" applyNumberFormat="1" applyFont="1" applyFill="1" applyBorder="1" applyAlignment="1">
      <alignment horizontal="center" vertical="center"/>
    </xf>
    <xf numFmtId="0" fontId="45" fillId="0" borderId="27" xfId="0" applyFont="1" applyFill="1" applyBorder="1" applyAlignment="1">
      <alignment horizontal="center" vertical="center"/>
    </xf>
    <xf numFmtId="49" fontId="47" fillId="6" borderId="11" xfId="0" applyNumberFormat="1" applyFont="1" applyFill="1" applyBorder="1" applyAlignment="1">
      <alignment horizontal="center" vertical="center" wrapText="1"/>
    </xf>
    <xf numFmtId="0" fontId="47" fillId="6" borderId="11" xfId="0" applyFont="1" applyFill="1" applyBorder="1" applyAlignment="1">
      <alignment horizontal="center" vertical="center" wrapText="1" shrinkToFit="1"/>
    </xf>
    <xf numFmtId="169" fontId="47" fillId="20" borderId="23" xfId="48" applyNumberFormat="1" applyFont="1" applyFill="1" applyBorder="1" applyAlignment="1">
      <alignment horizontal="center" vertical="center" wrapText="1"/>
    </xf>
    <xf numFmtId="49" fontId="47" fillId="0" borderId="0" xfId="0" applyNumberFormat="1" applyFont="1" applyBorder="1" applyAlignment="1">
      <alignment vertical="center" wrapText="1"/>
    </xf>
    <xf numFmtId="0" fontId="51" fillId="31" borderId="11" xfId="0" applyFont="1" applyFill="1" applyBorder="1" applyAlignment="1" applyProtection="1">
      <alignment horizontal="left" vertical="top"/>
    </xf>
    <xf numFmtId="0" fontId="52" fillId="0" borderId="20" xfId="0" applyFont="1" applyFill="1" applyBorder="1" applyAlignment="1" applyProtection="1">
      <alignment horizontal="left"/>
    </xf>
    <xf numFmtId="0" fontId="52" fillId="0" borderId="18" xfId="0" applyFont="1" applyFill="1" applyBorder="1" applyAlignment="1" applyProtection="1">
      <alignment horizontal="left"/>
    </xf>
    <xf numFmtId="0" fontId="53" fillId="0" borderId="20" xfId="0" applyFont="1" applyBorder="1" applyAlignment="1">
      <alignment horizontal="left"/>
    </xf>
    <xf numFmtId="0" fontId="53" fillId="0" borderId="18" xfId="0" applyFont="1" applyBorder="1" applyAlignment="1">
      <alignment horizontal="left"/>
    </xf>
    <xf numFmtId="0" fontId="53" fillId="0" borderId="39" xfId="0" applyFont="1" applyBorder="1" applyAlignment="1">
      <alignment horizontal="left"/>
    </xf>
    <xf numFmtId="0" fontId="52" fillId="0" borderId="20" xfId="0" applyFont="1" applyFill="1" applyBorder="1" applyAlignment="1" applyProtection="1">
      <alignment horizontal="left" vertical="top"/>
    </xf>
    <xf numFmtId="0" fontId="52" fillId="0" borderId="18" xfId="0" applyFont="1" applyFill="1" applyBorder="1" applyAlignment="1" applyProtection="1">
      <alignment horizontal="left" vertical="top"/>
    </xf>
    <xf numFmtId="0" fontId="52" fillId="0" borderId="20" xfId="0" applyFont="1" applyBorder="1" applyAlignment="1" applyProtection="1">
      <alignment horizontal="left" vertical="top"/>
    </xf>
    <xf numFmtId="0" fontId="52" fillId="0" borderId="18" xfId="0" applyFont="1" applyBorder="1" applyAlignment="1" applyProtection="1">
      <alignment horizontal="left" vertical="top"/>
    </xf>
    <xf numFmtId="0" fontId="57" fillId="0" borderId="11" xfId="0" applyFont="1" applyBorder="1" applyAlignment="1">
      <alignment horizontal="center"/>
    </xf>
    <xf numFmtId="0" fontId="67" fillId="0" borderId="0" xfId="0" applyFont="1" applyFill="1" applyAlignment="1">
      <alignment horizontal="center" vertical="center"/>
    </xf>
    <xf numFmtId="49" fontId="67" fillId="0" borderId="0" xfId="0" applyNumberFormat="1" applyFont="1" applyFill="1" applyAlignment="1">
      <alignment horizontal="left" vertical="center"/>
    </xf>
    <xf numFmtId="0" fontId="68" fillId="0" borderId="0" xfId="0" applyFont="1" applyFill="1" applyBorder="1" applyAlignment="1">
      <alignment vertical="center" wrapText="1"/>
    </xf>
    <xf numFmtId="49" fontId="58" fillId="0" borderId="11" xfId="0" applyNumberFormat="1" applyFont="1" applyBorder="1" applyAlignment="1">
      <alignment horizontal="center"/>
    </xf>
    <xf numFmtId="49" fontId="57" fillId="0" borderId="11" xfId="0" applyNumberFormat="1" applyFont="1" applyBorder="1"/>
    <xf numFmtId="49" fontId="58" fillId="0" borderId="11" xfId="0" applyNumberFormat="1" applyFont="1" applyBorder="1" applyAlignment="1">
      <alignment vertical="top"/>
    </xf>
    <xf numFmtId="49" fontId="48" fillId="0" borderId="0" xfId="0" applyNumberFormat="1" applyFont="1"/>
    <xf numFmtId="49" fontId="58" fillId="0" borderId="11" xfId="0" applyNumberFormat="1" applyFont="1" applyBorder="1"/>
    <xf numFmtId="49" fontId="48" fillId="0" borderId="11" xfId="0" applyNumberFormat="1" applyFont="1" applyBorder="1"/>
    <xf numFmtId="3" fontId="42" fillId="0" borderId="11" xfId="47" applyNumberFormat="1" applyFont="1" applyBorder="1" applyAlignment="1">
      <alignment horizontal="center" vertical="center" wrapText="1"/>
    </xf>
    <xf numFmtId="3" fontId="42" fillId="0" borderId="37" xfId="47" applyNumberFormat="1" applyFont="1" applyFill="1" applyBorder="1" applyAlignment="1">
      <alignment horizontal="center" vertical="center" wrapText="1"/>
    </xf>
    <xf numFmtId="3" fontId="42" fillId="0" borderId="33" xfId="47" applyNumberFormat="1" applyFont="1" applyBorder="1" applyAlignment="1">
      <alignment horizontal="center" vertical="center" wrapText="1"/>
    </xf>
    <xf numFmtId="3" fontId="42" fillId="0" borderId="38" xfId="47" applyNumberFormat="1" applyFont="1" applyFill="1" applyBorder="1" applyAlignment="1">
      <alignment horizontal="center" vertical="center" wrapText="1"/>
    </xf>
    <xf numFmtId="3" fontId="48" fillId="29" borderId="0" xfId="47" applyNumberFormat="1" applyFont="1" applyFill="1" applyAlignment="1">
      <alignment horizontal="right" vertical="center"/>
    </xf>
    <xf numFmtId="3" fontId="48" fillId="29" borderId="0" xfId="47" applyNumberFormat="1" applyFont="1" applyFill="1" applyAlignment="1">
      <alignment vertical="center"/>
    </xf>
    <xf numFmtId="3" fontId="48" fillId="0" borderId="0" xfId="47" applyNumberFormat="1" applyFont="1" applyAlignment="1">
      <alignment horizontal="right" vertical="center"/>
    </xf>
    <xf numFmtId="3" fontId="48" fillId="0" borderId="0" xfId="47" applyNumberFormat="1" applyFont="1" applyAlignment="1">
      <alignment vertical="center"/>
    </xf>
    <xf numFmtId="3" fontId="42" fillId="0" borderId="35" xfId="47" applyNumberFormat="1" applyFont="1" applyFill="1" applyBorder="1" applyAlignment="1">
      <alignment horizontal="right" vertical="center" wrapText="1"/>
    </xf>
    <xf numFmtId="3" fontId="42" fillId="0" borderId="35" xfId="47" applyNumberFormat="1" applyFont="1" applyBorder="1" applyAlignment="1">
      <alignment horizontal="right" vertical="center" wrapText="1"/>
    </xf>
    <xf numFmtId="3" fontId="48" fillId="0" borderId="0" xfId="47" applyNumberFormat="1" applyFont="1" applyBorder="1" applyAlignment="1">
      <alignment horizontal="right" vertical="center"/>
    </xf>
    <xf numFmtId="3" fontId="48" fillId="0" borderId="0" xfId="47" applyNumberFormat="1" applyFont="1" applyBorder="1" applyAlignment="1">
      <alignment vertical="center"/>
    </xf>
    <xf numFmtId="3" fontId="49" fillId="0" borderId="21" xfId="47" applyNumberFormat="1" applyFont="1" applyBorder="1" applyAlignment="1">
      <alignment horizontal="right" vertical="center"/>
    </xf>
    <xf numFmtId="3" fontId="49" fillId="0" borderId="21" xfId="47" applyNumberFormat="1" applyFont="1" applyBorder="1" applyAlignment="1">
      <alignment vertical="center"/>
    </xf>
    <xf numFmtId="3" fontId="42" fillId="0" borderId="32" xfId="47" applyNumberFormat="1" applyFont="1" applyFill="1" applyBorder="1" applyAlignment="1">
      <alignment horizontal="right" vertical="center" wrapText="1"/>
    </xf>
    <xf numFmtId="3" fontId="42" fillId="0" borderId="36" xfId="47" applyNumberFormat="1" applyFont="1" applyBorder="1" applyAlignment="1">
      <alignment horizontal="right" vertical="center" wrapText="1"/>
    </xf>
    <xf numFmtId="3" fontId="49" fillId="0" borderId="0" xfId="47" applyNumberFormat="1" applyFont="1" applyBorder="1" applyAlignment="1">
      <alignment horizontal="right" vertical="center"/>
    </xf>
    <xf numFmtId="3" fontId="49" fillId="0" borderId="0" xfId="47" applyNumberFormat="1" applyFont="1" applyBorder="1" applyAlignment="1">
      <alignment vertical="center"/>
    </xf>
    <xf numFmtId="3" fontId="42" fillId="0" borderId="0" xfId="47" applyNumberFormat="1" applyFont="1" applyFill="1" applyBorder="1" applyAlignment="1">
      <alignment horizontal="right" vertical="center" wrapText="1"/>
    </xf>
    <xf numFmtId="3" fontId="42" fillId="0" borderId="0" xfId="47" applyNumberFormat="1" applyFont="1" applyBorder="1" applyAlignment="1">
      <alignment horizontal="right" vertical="center" wrapText="1"/>
    </xf>
    <xf numFmtId="3" fontId="61" fillId="0" borderId="0" xfId="47" applyNumberFormat="1" applyFont="1" applyAlignment="1">
      <alignment horizontal="right" vertical="center"/>
    </xf>
    <xf numFmtId="3" fontId="61" fillId="0" borderId="0" xfId="47" applyNumberFormat="1" applyFont="1" applyAlignment="1">
      <alignment vertical="center"/>
    </xf>
    <xf numFmtId="3" fontId="48" fillId="0" borderId="0" xfId="47" applyNumberFormat="1" applyFont="1" applyFill="1" applyAlignment="1">
      <alignment vertical="center"/>
    </xf>
    <xf numFmtId="3" fontId="48" fillId="0" borderId="0" xfId="47" applyNumberFormat="1" applyFont="1" applyAlignment="1">
      <alignment horizontal="right"/>
    </xf>
    <xf numFmtId="3" fontId="48" fillId="0" borderId="0" xfId="47" applyNumberFormat="1" applyFont="1"/>
    <xf numFmtId="3" fontId="60" fillId="0" borderId="0" xfId="47" applyNumberFormat="1" applyFont="1" applyAlignment="1">
      <alignment horizontal="right" vertical="center"/>
    </xf>
    <xf numFmtId="3" fontId="60" fillId="0" borderId="0" xfId="47" applyNumberFormat="1" applyFont="1" applyAlignment="1">
      <alignment vertical="center"/>
    </xf>
    <xf numFmtId="3" fontId="48" fillId="0" borderId="0" xfId="47" applyNumberFormat="1" applyFont="1" applyFill="1" applyAlignment="1">
      <alignment horizontal="right"/>
    </xf>
    <xf numFmtId="3" fontId="48" fillId="0" borderId="0" xfId="47" applyNumberFormat="1" applyFont="1" applyFill="1"/>
    <xf numFmtId="3" fontId="48" fillId="29" borderId="0" xfId="47" applyNumberFormat="1" applyFont="1" applyFill="1"/>
    <xf numFmtId="3" fontId="48" fillId="33" borderId="0" xfId="47" applyNumberFormat="1" applyFont="1" applyFill="1" applyAlignment="1">
      <alignment vertical="center"/>
    </xf>
    <xf numFmtId="3" fontId="48" fillId="0" borderId="0" xfId="47" applyNumberFormat="1" applyFont="1" applyFill="1" applyAlignment="1">
      <alignment horizontal="right" vertical="center"/>
    </xf>
    <xf numFmtId="3" fontId="68" fillId="0" borderId="0" xfId="47" applyNumberFormat="1" applyFont="1" applyFill="1" applyBorder="1" applyAlignment="1">
      <alignment horizontal="right" vertical="center"/>
    </xf>
    <xf numFmtId="3" fontId="68" fillId="0" borderId="0" xfId="47" applyNumberFormat="1" applyFont="1" applyFill="1" applyBorder="1" applyAlignment="1">
      <alignment vertical="center"/>
    </xf>
    <xf numFmtId="3" fontId="23" fillId="0" borderId="35" xfId="47" applyNumberFormat="1" applyFont="1" applyBorder="1" applyAlignment="1">
      <alignment horizontal="right" vertical="center" wrapText="1"/>
    </xf>
    <xf numFmtId="3" fontId="23" fillId="0" borderId="32" xfId="47" applyNumberFormat="1" applyFont="1" applyBorder="1" applyAlignment="1">
      <alignment horizontal="right" vertical="center" wrapText="1"/>
    </xf>
    <xf numFmtId="3" fontId="23" fillId="0" borderId="0" xfId="47" applyNumberFormat="1" applyFont="1" applyBorder="1" applyAlignment="1">
      <alignment horizontal="right" vertical="center" wrapText="1"/>
    </xf>
    <xf numFmtId="3" fontId="23" fillId="26" borderId="0" xfId="47" applyNumberFormat="1" applyFont="1" applyFill="1" applyBorder="1" applyAlignment="1">
      <alignment horizontal="right" vertical="center"/>
    </xf>
    <xf numFmtId="3" fontId="23" fillId="26" borderId="0" xfId="47" applyNumberFormat="1" applyFont="1" applyFill="1" applyBorder="1" applyAlignment="1">
      <alignment horizontal="right" vertical="center" wrapText="1"/>
    </xf>
    <xf numFmtId="3" fontId="23" fillId="0" borderId="0" xfId="47" applyNumberFormat="1" applyFont="1" applyFill="1" applyBorder="1" applyAlignment="1">
      <alignment horizontal="right" vertical="center"/>
    </xf>
    <xf numFmtId="3" fontId="23" fillId="0" borderId="0" xfId="47" applyNumberFormat="1" applyFont="1" applyFill="1" applyBorder="1" applyAlignment="1">
      <alignment horizontal="right" vertical="center" wrapText="1"/>
    </xf>
    <xf numFmtId="3" fontId="23" fillId="29" borderId="0" xfId="47" applyNumberFormat="1" applyFont="1" applyFill="1" applyBorder="1" applyAlignment="1">
      <alignment horizontal="right" vertical="center"/>
    </xf>
    <xf numFmtId="3" fontId="23" fillId="29" borderId="0" xfId="47" applyNumberFormat="1" applyFont="1" applyFill="1" applyBorder="1" applyAlignment="1">
      <alignment horizontal="center" vertical="center"/>
    </xf>
    <xf numFmtId="3" fontId="23" fillId="26" borderId="0" xfId="47" applyNumberFormat="1" applyFont="1" applyFill="1" applyBorder="1" applyAlignment="1">
      <alignment horizontal="center" vertical="center"/>
    </xf>
    <xf numFmtId="3" fontId="23" fillId="33" borderId="0" xfId="47" applyNumberFormat="1" applyFont="1" applyFill="1" applyBorder="1" applyAlignment="1">
      <alignment horizontal="right" vertical="center"/>
    </xf>
    <xf numFmtId="3" fontId="23" fillId="33" borderId="0" xfId="47" applyNumberFormat="1" applyFont="1" applyFill="1" applyBorder="1" applyAlignment="1">
      <alignment horizontal="center" vertical="center"/>
    </xf>
    <xf numFmtId="3" fontId="23" fillId="26" borderId="0" xfId="47" applyNumberFormat="1" applyFont="1" applyFill="1" applyBorder="1" applyAlignment="1">
      <alignment horizontal="right" wrapText="1"/>
    </xf>
    <xf numFmtId="3" fontId="23" fillId="26" borderId="0" xfId="47" applyNumberFormat="1" applyFont="1" applyFill="1" applyBorder="1" applyAlignment="1">
      <alignment wrapText="1"/>
    </xf>
    <xf numFmtId="3" fontId="69" fillId="26" borderId="0" xfId="47" applyNumberFormat="1" applyFont="1" applyFill="1" applyBorder="1" applyAlignment="1">
      <alignment horizontal="right" vertical="center" wrapText="1"/>
    </xf>
    <xf numFmtId="3" fontId="69" fillId="26" borderId="0" xfId="47" applyNumberFormat="1" applyFont="1" applyFill="1" applyBorder="1" applyAlignment="1">
      <alignment horizontal="center" vertical="center" wrapText="1"/>
    </xf>
    <xf numFmtId="0" fontId="42" fillId="29" borderId="0" xfId="49" applyNumberFormat="1" applyFont="1" applyFill="1" applyBorder="1" applyAlignment="1">
      <alignment horizontal="center" vertical="center"/>
    </xf>
    <xf numFmtId="3" fontId="22" fillId="29" borderId="0" xfId="49" applyNumberFormat="1" applyFont="1" applyFill="1" applyBorder="1" applyAlignment="1">
      <alignment horizontal="center" vertical="center"/>
    </xf>
    <xf numFmtId="3" fontId="39" fillId="29" borderId="0" xfId="49" applyNumberFormat="1" applyFont="1" applyFill="1" applyBorder="1" applyAlignment="1">
      <alignment horizontal="center" vertical="center"/>
    </xf>
    <xf numFmtId="3" fontId="23" fillId="29" borderId="0" xfId="47" applyNumberFormat="1" applyFont="1" applyFill="1" applyBorder="1" applyAlignment="1">
      <alignment horizontal="right" vertical="center" wrapText="1"/>
    </xf>
    <xf numFmtId="0" fontId="21" fillId="0" borderId="0" xfId="1" applyNumberFormat="1" applyFont="1" applyBorder="1" applyAlignment="1">
      <alignment horizontal="center" vertical="center" wrapText="1"/>
    </xf>
    <xf numFmtId="3" fontId="21" fillId="0" borderId="0" xfId="1" applyNumberFormat="1" applyFont="1" applyFill="1" applyBorder="1" applyAlignment="1">
      <alignment horizontal="left" vertical="center" wrapText="1"/>
    </xf>
    <xf numFmtId="0" fontId="53" fillId="0" borderId="0" xfId="0" applyFont="1"/>
    <xf numFmtId="0" fontId="46" fillId="6" borderId="11" xfId="1" applyFont="1" applyFill="1" applyBorder="1" applyAlignment="1">
      <alignment horizontal="center" vertical="center" wrapText="1"/>
    </xf>
    <xf numFmtId="0" fontId="53" fillId="0" borderId="11" xfId="0" applyFont="1" applyBorder="1" applyAlignment="1">
      <alignment horizontal="center"/>
    </xf>
    <xf numFmtId="49" fontId="72" fillId="31" borderId="11" xfId="0" applyNumberFormat="1" applyFont="1" applyFill="1" applyBorder="1" applyAlignment="1" applyProtection="1">
      <alignment horizontal="center" vertical="top"/>
    </xf>
    <xf numFmtId="49" fontId="72" fillId="31" borderId="11" xfId="0" applyNumberFormat="1" applyFont="1" applyFill="1" applyBorder="1" applyAlignment="1" applyProtection="1">
      <alignment horizontal="left" vertical="top"/>
    </xf>
    <xf numFmtId="0" fontId="53" fillId="0" borderId="20" xfId="0" applyFont="1" applyBorder="1" applyAlignment="1">
      <alignment horizontal="center"/>
    </xf>
    <xf numFmtId="0" fontId="53" fillId="0" borderId="20" xfId="0" applyFont="1" applyBorder="1"/>
    <xf numFmtId="0" fontId="53" fillId="0" borderId="18" xfId="0" applyFont="1" applyBorder="1" applyAlignment="1">
      <alignment horizontal="center"/>
    </xf>
    <xf numFmtId="0" fontId="53" fillId="0" borderId="18" xfId="0" applyFont="1" applyBorder="1"/>
    <xf numFmtId="0" fontId="53" fillId="0" borderId="39" xfId="0" applyFont="1" applyBorder="1" applyAlignment="1">
      <alignment horizontal="center"/>
    </xf>
    <xf numFmtId="0" fontId="72" fillId="0" borderId="0" xfId="0" applyFont="1"/>
    <xf numFmtId="49" fontId="53" fillId="0" borderId="20" xfId="0" applyNumberFormat="1" applyFont="1" applyBorder="1" applyAlignment="1" applyProtection="1">
      <alignment horizontal="center" vertical="center"/>
    </xf>
    <xf numFmtId="49" fontId="53" fillId="0" borderId="18" xfId="0" applyNumberFormat="1" applyFont="1" applyBorder="1" applyAlignment="1" applyProtection="1">
      <alignment horizontal="center" vertical="top"/>
    </xf>
    <xf numFmtId="49" fontId="53" fillId="0" borderId="39" xfId="0" applyNumberFormat="1" applyFont="1" applyBorder="1" applyAlignment="1" applyProtection="1">
      <alignment horizontal="center" vertical="top"/>
    </xf>
    <xf numFmtId="49" fontId="53" fillId="0" borderId="20" xfId="0" applyNumberFormat="1" applyFont="1" applyBorder="1" applyAlignment="1" applyProtection="1">
      <alignment horizontal="center" vertical="top"/>
    </xf>
    <xf numFmtId="49" fontId="53" fillId="0" borderId="18" xfId="0" applyNumberFormat="1" applyFont="1" applyBorder="1" applyAlignment="1" applyProtection="1">
      <alignment horizontal="center" vertical="center"/>
    </xf>
    <xf numFmtId="0" fontId="53" fillId="0" borderId="19" xfId="0" applyFont="1" applyBorder="1"/>
    <xf numFmtId="0" fontId="46" fillId="6" borderId="11" xfId="1" applyFont="1" applyFill="1" applyBorder="1" applyAlignment="1">
      <alignment horizontal="left" vertical="center" wrapText="1"/>
    </xf>
    <xf numFmtId="0" fontId="53" fillId="0" borderId="0" xfId="0" applyFont="1" applyAlignment="1">
      <alignment horizontal="left"/>
    </xf>
    <xf numFmtId="165" fontId="53" fillId="0" borderId="0" xfId="0" applyNumberFormat="1" applyFont="1"/>
    <xf numFmtId="4" fontId="53" fillId="0" borderId="0" xfId="47" applyNumberFormat="1" applyFont="1"/>
    <xf numFmtId="0" fontId="53" fillId="0" borderId="19" xfId="0" applyFont="1" applyBorder="1" applyAlignment="1">
      <alignment horizontal="center"/>
    </xf>
    <xf numFmtId="0" fontId="52" fillId="0" borderId="19" xfId="0" applyFont="1" applyFill="1" applyBorder="1" applyAlignment="1" applyProtection="1">
      <alignment horizontal="left"/>
    </xf>
    <xf numFmtId="49" fontId="2" fillId="0" borderId="44" xfId="1" applyNumberFormat="1" applyFont="1" applyFill="1" applyBorder="1" applyAlignment="1">
      <alignment horizontal="center" vertical="center"/>
    </xf>
    <xf numFmtId="0" fontId="2" fillId="0" borderId="44" xfId="1" applyNumberFormat="1" applyFont="1" applyFill="1" applyBorder="1" applyAlignment="1">
      <alignment horizontal="center" vertical="center"/>
    </xf>
    <xf numFmtId="0" fontId="1" fillId="31" borderId="10" xfId="1" applyNumberFormat="1" applyFont="1" applyFill="1" applyBorder="1" applyAlignment="1">
      <alignment horizontal="center" vertical="center"/>
    </xf>
    <xf numFmtId="165" fontId="53" fillId="0" borderId="0" xfId="47" applyNumberFormat="1" applyFont="1" applyAlignment="1">
      <alignment horizontal="right"/>
    </xf>
    <xf numFmtId="165" fontId="53" fillId="0" borderId="0" xfId="47" applyNumberFormat="1" applyFont="1"/>
    <xf numFmtId="0" fontId="50" fillId="0" borderId="11" xfId="47" applyNumberFormat="1" applyFont="1" applyFill="1" applyBorder="1" applyAlignment="1">
      <alignment horizontal="center" vertical="center" wrapText="1"/>
    </xf>
    <xf numFmtId="0" fontId="50" fillId="0" borderId="11" xfId="1" applyNumberFormat="1" applyFont="1" applyFill="1" applyBorder="1" applyAlignment="1">
      <alignment horizontal="center" vertical="center" wrapText="1"/>
    </xf>
    <xf numFmtId="3" fontId="72" fillId="31" borderId="11" xfId="47" applyNumberFormat="1" applyFont="1" applyFill="1" applyBorder="1" applyAlignment="1">
      <alignment vertical="center"/>
    </xf>
    <xf numFmtId="169" fontId="53" fillId="31" borderId="11" xfId="48" applyNumberFormat="1" applyFont="1" applyFill="1" applyBorder="1" applyAlignment="1">
      <alignment vertical="center"/>
    </xf>
    <xf numFmtId="3" fontId="72" fillId="31" borderId="11" xfId="0" applyNumberFormat="1" applyFont="1" applyFill="1" applyBorder="1" applyAlignment="1">
      <alignment vertical="center"/>
    </xf>
    <xf numFmtId="0" fontId="53" fillId="31" borderId="11" xfId="0" applyFont="1" applyFill="1" applyBorder="1" applyAlignment="1">
      <alignment vertical="center"/>
    </xf>
    <xf numFmtId="3" fontId="53" fillId="0" borderId="20" xfId="47" applyNumberFormat="1" applyFont="1" applyBorder="1" applyAlignment="1">
      <alignment vertical="center"/>
    </xf>
    <xf numFmtId="169" fontId="53" fillId="0" borderId="20" xfId="48" applyNumberFormat="1" applyFont="1" applyBorder="1" applyAlignment="1">
      <alignment vertical="center"/>
    </xf>
    <xf numFmtId="3" fontId="53" fillId="0" borderId="20" xfId="0" applyNumberFormat="1" applyFont="1" applyBorder="1" applyAlignment="1">
      <alignment vertical="center"/>
    </xf>
    <xf numFmtId="0" fontId="53" fillId="0" borderId="20" xfId="0" applyFont="1" applyBorder="1" applyAlignment="1">
      <alignment vertical="center"/>
    </xf>
    <xf numFmtId="3" fontId="53" fillId="0" borderId="18" xfId="47" applyNumberFormat="1" applyFont="1" applyBorder="1" applyAlignment="1">
      <alignment vertical="center"/>
    </xf>
    <xf numFmtId="169" fontId="53" fillId="0" borderId="18" xfId="48" applyNumberFormat="1" applyFont="1" applyBorder="1" applyAlignment="1">
      <alignment vertical="center"/>
    </xf>
    <xf numFmtId="3" fontId="53" fillId="0" borderId="18" xfId="0" applyNumberFormat="1" applyFont="1" applyBorder="1" applyAlignment="1">
      <alignment vertical="center"/>
    </xf>
    <xf numFmtId="0" fontId="53" fillId="0" borderId="25" xfId="0" applyFont="1" applyBorder="1" applyAlignment="1">
      <alignment vertical="center"/>
    </xf>
    <xf numFmtId="3" fontId="52" fillId="0" borderId="18" xfId="47" applyNumberFormat="1" applyFont="1" applyFill="1" applyBorder="1" applyAlignment="1" applyProtection="1">
      <alignment vertical="center"/>
    </xf>
    <xf numFmtId="3" fontId="52" fillId="0" borderId="18" xfId="0" applyNumberFormat="1" applyFont="1" applyFill="1" applyBorder="1" applyAlignment="1" applyProtection="1">
      <alignment vertical="center"/>
    </xf>
    <xf numFmtId="0" fontId="53" fillId="0" borderId="18" xfId="0" applyFont="1" applyBorder="1" applyAlignment="1">
      <alignment vertical="center"/>
    </xf>
    <xf numFmtId="3" fontId="52" fillId="0" borderId="19" xfId="47" applyNumberFormat="1" applyFont="1" applyFill="1" applyBorder="1" applyAlignment="1" applyProtection="1">
      <alignment vertical="center"/>
    </xf>
    <xf numFmtId="169" fontId="53" fillId="0" borderId="19" xfId="48" applyNumberFormat="1" applyFont="1" applyBorder="1" applyAlignment="1">
      <alignment vertical="center"/>
    </xf>
    <xf numFmtId="3" fontId="52" fillId="0" borderId="19" xfId="0" applyNumberFormat="1" applyFont="1" applyFill="1" applyBorder="1" applyAlignment="1" applyProtection="1">
      <alignment vertical="center"/>
    </xf>
    <xf numFmtId="3" fontId="53" fillId="0" borderId="19" xfId="47" applyNumberFormat="1" applyFont="1" applyBorder="1" applyAlignment="1">
      <alignment vertical="center"/>
    </xf>
    <xf numFmtId="0" fontId="53" fillId="0" borderId="19" xfId="0" applyFont="1" applyBorder="1" applyAlignment="1">
      <alignment vertical="center"/>
    </xf>
    <xf numFmtId="0" fontId="53" fillId="0" borderId="39" xfId="0" applyFont="1" applyBorder="1" applyAlignment="1">
      <alignment vertical="center"/>
    </xf>
    <xf numFmtId="0" fontId="72" fillId="31" borderId="11" xfId="0" applyFont="1" applyFill="1" applyBorder="1" applyAlignment="1">
      <alignment vertical="center"/>
    </xf>
    <xf numFmtId="3" fontId="51" fillId="31" borderId="11" xfId="47" applyNumberFormat="1" applyFont="1" applyFill="1" applyBorder="1" applyAlignment="1" applyProtection="1">
      <alignment vertical="center"/>
    </xf>
    <xf numFmtId="0" fontId="53" fillId="0" borderId="25" xfId="0" applyFont="1" applyFill="1" applyBorder="1" applyAlignment="1">
      <alignment vertical="center"/>
    </xf>
    <xf numFmtId="0" fontId="53" fillId="0" borderId="39" xfId="0" applyFont="1" applyFill="1" applyBorder="1" applyAlignment="1">
      <alignment vertical="center"/>
    </xf>
    <xf numFmtId="0" fontId="52" fillId="0" borderId="20" xfId="0" applyFont="1" applyFill="1" applyBorder="1" applyAlignment="1" applyProtection="1">
      <alignment vertical="center"/>
    </xf>
    <xf numFmtId="0" fontId="52" fillId="0" borderId="25" xfId="0" applyFont="1" applyFill="1" applyBorder="1" applyAlignment="1" applyProtection="1">
      <alignment vertical="center"/>
    </xf>
    <xf numFmtId="0" fontId="52" fillId="0" borderId="18" xfId="0" applyFont="1" applyFill="1" applyBorder="1" applyAlignment="1" applyProtection="1">
      <alignment vertical="center"/>
    </xf>
    <xf numFmtId="3" fontId="53" fillId="0" borderId="20" xfId="47" applyNumberFormat="1" applyFont="1" applyFill="1" applyBorder="1" applyAlignment="1">
      <alignment vertical="center"/>
    </xf>
    <xf numFmtId="3" fontId="53" fillId="0" borderId="18" xfId="47" applyNumberFormat="1" applyFont="1" applyFill="1" applyBorder="1" applyAlignment="1">
      <alignment vertical="center"/>
    </xf>
    <xf numFmtId="4" fontId="53" fillId="0" borderId="18" xfId="47" applyNumberFormat="1" applyFont="1" applyFill="1" applyBorder="1" applyAlignment="1">
      <alignment vertical="center"/>
    </xf>
    <xf numFmtId="3" fontId="46" fillId="6" borderId="11" xfId="47" applyNumberFormat="1" applyFont="1" applyFill="1" applyBorder="1" applyAlignment="1">
      <alignment vertical="center" wrapText="1"/>
    </xf>
    <xf numFmtId="169" fontId="46" fillId="6" borderId="11" xfId="48" applyNumberFormat="1" applyFont="1" applyFill="1" applyBorder="1" applyAlignment="1">
      <alignment vertical="center" wrapText="1"/>
    </xf>
    <xf numFmtId="3" fontId="46" fillId="6" borderId="11" xfId="1" applyNumberFormat="1" applyFont="1" applyFill="1" applyBorder="1" applyAlignment="1">
      <alignment vertical="center" wrapText="1"/>
    </xf>
    <xf numFmtId="0" fontId="46" fillId="6" borderId="11" xfId="1" applyFont="1" applyFill="1" applyBorder="1" applyAlignment="1">
      <alignment vertical="center" wrapText="1"/>
    </xf>
    <xf numFmtId="3" fontId="48" fillId="0" borderId="21" xfId="47" applyNumberFormat="1" applyFont="1" applyBorder="1" applyAlignment="1">
      <alignment horizontal="right" vertical="center"/>
    </xf>
    <xf numFmtId="3" fontId="48" fillId="0" borderId="21" xfId="47" applyNumberFormat="1" applyFont="1" applyBorder="1" applyAlignment="1">
      <alignment vertical="center"/>
    </xf>
    <xf numFmtId="3" fontId="48" fillId="0" borderId="35" xfId="47" applyNumberFormat="1" applyFont="1" applyBorder="1" applyAlignment="1">
      <alignment horizontal="right" vertical="center"/>
    </xf>
    <xf numFmtId="3" fontId="48" fillId="0" borderId="35" xfId="47" applyNumberFormat="1" applyFont="1" applyBorder="1" applyAlignment="1">
      <alignment vertical="center"/>
    </xf>
    <xf numFmtId="3" fontId="48" fillId="0" borderId="0" xfId="0" applyNumberFormat="1" applyFont="1" applyAlignment="1">
      <alignment horizontal="right"/>
    </xf>
    <xf numFmtId="0" fontId="73" fillId="0" borderId="0" xfId="0" applyFont="1" applyAlignment="1">
      <alignment vertical="top"/>
    </xf>
    <xf numFmtId="0" fontId="73" fillId="0" borderId="0" xfId="0" applyFont="1" applyAlignment="1">
      <alignment horizontal="left" vertical="top" wrapText="1"/>
    </xf>
    <xf numFmtId="0" fontId="75" fillId="0" borderId="0" xfId="0" applyFont="1" applyAlignment="1">
      <alignment horizontal="center" vertical="center" wrapText="1"/>
    </xf>
    <xf numFmtId="0" fontId="77" fillId="0" borderId="0" xfId="0" applyFont="1"/>
    <xf numFmtId="0" fontId="77" fillId="0" borderId="0" xfId="0" applyFont="1" applyAlignment="1">
      <alignment horizontal="left"/>
    </xf>
    <xf numFmtId="0" fontId="1" fillId="31" borderId="45" xfId="1" applyFont="1" applyFill="1" applyBorder="1" applyAlignment="1">
      <alignment horizontal="center" vertical="center" wrapText="1"/>
    </xf>
    <xf numFmtId="3" fontId="2" fillId="0" borderId="45" xfId="29" applyNumberFormat="1" applyFont="1" applyFill="1" applyBorder="1" applyAlignment="1" applyProtection="1">
      <alignment horizontal="right" vertical="center"/>
    </xf>
    <xf numFmtId="3" fontId="1" fillId="0" borderId="45" xfId="29" applyNumberFormat="1" applyFont="1" applyFill="1" applyBorder="1" applyAlignment="1" applyProtection="1">
      <alignment horizontal="right" vertical="center"/>
    </xf>
    <xf numFmtId="3" fontId="2" fillId="0" borderId="45" xfId="29" applyNumberFormat="1" applyFont="1" applyFill="1" applyBorder="1" applyAlignment="1" applyProtection="1">
      <alignment horizontal="right" vertical="center" wrapText="1"/>
    </xf>
    <xf numFmtId="3" fontId="1" fillId="31" borderId="45" xfId="29" applyNumberFormat="1" applyFont="1" applyFill="1" applyBorder="1" applyAlignment="1" applyProtection="1">
      <alignment horizontal="right" vertical="center"/>
    </xf>
    <xf numFmtId="0" fontId="78" fillId="31" borderId="11" xfId="0" applyFont="1" applyFill="1" applyBorder="1" applyAlignment="1">
      <alignment horizontal="center" vertical="center" wrapText="1"/>
    </xf>
    <xf numFmtId="0" fontId="48" fillId="0" borderId="0" xfId="0" applyFont="1" applyAlignment="1">
      <alignment horizontal="center" vertical="center" wrapText="1"/>
    </xf>
    <xf numFmtId="49" fontId="48" fillId="0" borderId="0" xfId="0" applyNumberFormat="1" applyFont="1" applyAlignment="1">
      <alignment horizontal="left" vertical="center" wrapText="1"/>
    </xf>
    <xf numFmtId="3" fontId="21" fillId="29" borderId="0" xfId="0" applyNumberFormat="1" applyFont="1" applyFill="1" applyBorder="1" applyAlignment="1">
      <alignment horizontal="center" vertical="center" wrapText="1"/>
    </xf>
    <xf numFmtId="0" fontId="21" fillId="29" borderId="0" xfId="0" applyFont="1" applyFill="1" applyBorder="1" applyAlignment="1">
      <alignment horizontal="center" vertical="center" wrapText="1"/>
    </xf>
    <xf numFmtId="3" fontId="22" fillId="29" borderId="0" xfId="1" applyNumberFormat="1" applyFont="1" applyFill="1" applyBorder="1" applyAlignment="1">
      <alignment horizontal="left" vertical="center" wrapText="1"/>
    </xf>
    <xf numFmtId="3" fontId="42" fillId="29" borderId="0" xfId="47" applyNumberFormat="1" applyFont="1" applyFill="1" applyBorder="1" applyAlignment="1">
      <alignment horizontal="right" vertical="center" wrapText="1"/>
    </xf>
    <xf numFmtId="49" fontId="21" fillId="0" borderId="0" xfId="1" applyNumberFormat="1" applyFont="1" applyBorder="1" applyAlignment="1">
      <alignment horizontal="center" vertical="center" wrapText="1"/>
    </xf>
    <xf numFmtId="3" fontId="82" fillId="0" borderId="48" xfId="47" applyNumberFormat="1" applyFont="1" applyBorder="1" applyAlignment="1">
      <alignment vertical="center"/>
    </xf>
    <xf numFmtId="3" fontId="48" fillId="0" borderId="12" xfId="47" applyNumberFormat="1" applyFont="1" applyBorder="1" applyAlignment="1">
      <alignment vertical="center"/>
    </xf>
    <xf numFmtId="3" fontId="82" fillId="0" borderId="49" xfId="47" applyNumberFormat="1" applyFont="1" applyBorder="1" applyAlignment="1">
      <alignment vertical="center"/>
    </xf>
    <xf numFmtId="3" fontId="48" fillId="0" borderId="0" xfId="0" applyNumberFormat="1" applyFont="1" applyBorder="1"/>
    <xf numFmtId="3" fontId="41" fillId="0" borderId="11" xfId="0" applyNumberFormat="1" applyFont="1" applyBorder="1" applyAlignment="1">
      <alignment horizontal="left" vertical="top" wrapText="1"/>
    </xf>
    <xf numFmtId="3" fontId="41" fillId="0" borderId="11" xfId="0" applyNumberFormat="1" applyFont="1" applyBorder="1" applyAlignment="1">
      <alignment horizontal="left" vertical="center" wrapText="1"/>
    </xf>
    <xf numFmtId="0" fontId="48" fillId="0" borderId="11" xfId="0" applyFont="1" applyBorder="1" applyAlignment="1">
      <alignment horizontal="left" vertical="center" wrapText="1"/>
    </xf>
    <xf numFmtId="0" fontId="48" fillId="0" borderId="0" xfId="0" applyFont="1" applyAlignment="1">
      <alignment horizontal="left" vertical="top" wrapText="1"/>
    </xf>
    <xf numFmtId="0" fontId="57" fillId="0" borderId="11" xfId="0" applyFont="1" applyBorder="1" applyAlignment="1">
      <alignment horizontal="center" wrapText="1"/>
    </xf>
    <xf numFmtId="49" fontId="48" fillId="0" borderId="0" xfId="0" applyNumberFormat="1" applyFont="1" applyAlignment="1">
      <alignment horizontal="center" vertical="center"/>
    </xf>
    <xf numFmtId="0" fontId="77" fillId="0" borderId="0" xfId="0" applyFont="1" applyAlignment="1">
      <alignment horizontal="center" vertical="center"/>
    </xf>
    <xf numFmtId="3" fontId="79" fillId="0" borderId="0" xfId="49" applyNumberFormat="1" applyFont="1" applyFill="1" applyBorder="1" applyAlignment="1">
      <alignment horizontal="center" vertical="center"/>
    </xf>
    <xf numFmtId="3" fontId="83" fillId="0" borderId="11" xfId="0" applyNumberFormat="1" applyFont="1" applyBorder="1"/>
    <xf numFmtId="3" fontId="83" fillId="0" borderId="11" xfId="0" applyNumberFormat="1" applyFont="1" applyBorder="1" applyAlignment="1">
      <alignment horizontal="right" vertical="center"/>
    </xf>
    <xf numFmtId="3" fontId="83" fillId="31" borderId="11" xfId="0" applyNumberFormat="1" applyFont="1" applyFill="1" applyBorder="1"/>
    <xf numFmtId="0" fontId="21" fillId="0" borderId="0" xfId="0" applyFont="1" applyAlignment="1">
      <alignment horizontal="center" vertical="top" wrapText="1"/>
    </xf>
    <xf numFmtId="0" fontId="81" fillId="0" borderId="0" xfId="0" applyFont="1" applyAlignment="1">
      <alignment horizontal="center" vertical="center"/>
    </xf>
    <xf numFmtId="49" fontId="81" fillId="0" borderId="0" xfId="0" applyNumberFormat="1" applyFont="1" applyAlignment="1">
      <alignment horizontal="left" vertical="center"/>
    </xf>
    <xf numFmtId="3" fontId="81" fillId="0" borderId="0" xfId="47" applyNumberFormat="1" applyFont="1" applyAlignment="1">
      <alignment vertical="center"/>
    </xf>
    <xf numFmtId="0" fontId="81" fillId="0" borderId="0" xfId="0" applyFont="1" applyAlignment="1">
      <alignment vertical="center" wrapText="1"/>
    </xf>
    <xf numFmtId="3" fontId="81" fillId="0" borderId="0" xfId="47" applyNumberFormat="1" applyFont="1" applyAlignment="1">
      <alignment horizontal="right" vertical="center"/>
    </xf>
    <xf numFmtId="0" fontId="84" fillId="0" borderId="0" xfId="0" applyFont="1" applyAlignment="1">
      <alignment horizontal="center" vertical="center" wrapText="1"/>
    </xf>
    <xf numFmtId="0" fontId="81" fillId="0" borderId="0" xfId="0" applyFont="1" applyAlignment="1">
      <alignment horizontal="left" vertical="center" wrapText="1"/>
    </xf>
    <xf numFmtId="0" fontId="2" fillId="0" borderId="0" xfId="0" applyFont="1" applyBorder="1" applyAlignment="1">
      <alignment horizontal="left" vertical="top" wrapText="1"/>
    </xf>
    <xf numFmtId="0" fontId="85" fillId="0" borderId="0" xfId="0" applyFont="1" applyAlignment="1">
      <alignment horizontal="center" vertical="center"/>
    </xf>
    <xf numFmtId="49" fontId="85" fillId="0" borderId="0" xfId="0" applyNumberFormat="1" applyFont="1" applyAlignment="1">
      <alignment horizontal="left" vertical="center"/>
    </xf>
    <xf numFmtId="0" fontId="85" fillId="0" borderId="0" xfId="0" applyFont="1" applyAlignment="1">
      <alignment vertical="center" wrapText="1"/>
    </xf>
    <xf numFmtId="3" fontId="85" fillId="0" borderId="0" xfId="47" applyNumberFormat="1" applyFont="1" applyAlignment="1">
      <alignment horizontal="right" vertical="center"/>
    </xf>
    <xf numFmtId="3" fontId="85" fillId="0" borderId="0" xfId="47" applyNumberFormat="1" applyFont="1" applyAlignment="1">
      <alignment vertical="center"/>
    </xf>
    <xf numFmtId="49" fontId="58" fillId="0" borderId="11" xfId="0" applyNumberFormat="1" applyFont="1" applyBorder="1" applyAlignment="1">
      <alignment horizontal="left" vertical="top" wrapText="1"/>
    </xf>
    <xf numFmtId="49" fontId="57" fillId="0" borderId="11" xfId="0" applyNumberFormat="1" applyFont="1" applyBorder="1" applyAlignment="1">
      <alignment wrapText="1"/>
    </xf>
    <xf numFmtId="49" fontId="57" fillId="0" borderId="11" xfId="0" applyNumberFormat="1" applyFont="1" applyBorder="1" applyAlignment="1">
      <alignment horizontal="left" wrapText="1"/>
    </xf>
    <xf numFmtId="49" fontId="58" fillId="0" borderId="11" xfId="0" applyNumberFormat="1" applyFont="1" applyBorder="1" applyAlignment="1">
      <alignment wrapText="1"/>
    </xf>
    <xf numFmtId="49" fontId="58" fillId="0" borderId="11" xfId="0" applyNumberFormat="1" applyFont="1" applyBorder="1" applyAlignment="1">
      <alignment horizontal="left" wrapText="1"/>
    </xf>
    <xf numFmtId="49" fontId="57" fillId="0" borderId="11" xfId="0" applyNumberFormat="1" applyFont="1" applyBorder="1" applyAlignment="1">
      <alignment horizontal="left" vertical="center" wrapText="1"/>
    </xf>
    <xf numFmtId="49" fontId="57" fillId="0" borderId="11" xfId="0" applyNumberFormat="1" applyFont="1" applyBorder="1" applyAlignment="1">
      <alignment horizontal="left" vertical="top" wrapText="1"/>
    </xf>
    <xf numFmtId="165" fontId="87" fillId="0" borderId="11" xfId="0" applyNumberFormat="1" applyFont="1" applyBorder="1" applyAlignment="1">
      <alignment horizontal="right" wrapText="1"/>
    </xf>
    <xf numFmtId="0" fontId="58" fillId="0" borderId="0" xfId="0" applyFont="1" applyBorder="1"/>
    <xf numFmtId="0" fontId="57" fillId="0" borderId="0" xfId="0" applyFont="1" applyBorder="1" applyAlignment="1">
      <alignment horizontal="center"/>
    </xf>
    <xf numFmtId="49" fontId="57" fillId="0" borderId="0" xfId="0" applyNumberFormat="1" applyFont="1" applyBorder="1"/>
    <xf numFmtId="165" fontId="57" fillId="0" borderId="0" xfId="0" applyNumberFormat="1" applyFont="1" applyBorder="1" applyAlignment="1">
      <alignment horizontal="right" wrapText="1"/>
    </xf>
    <xf numFmtId="0" fontId="58" fillId="0" borderId="0" xfId="0" applyFont="1" applyBorder="1" applyAlignment="1">
      <alignment horizontal="center"/>
    </xf>
    <xf numFmtId="49" fontId="58" fillId="0" borderId="0" xfId="0" applyNumberFormat="1" applyFont="1" applyBorder="1"/>
    <xf numFmtId="165" fontId="58" fillId="0" borderId="0" xfId="0" applyNumberFormat="1" applyFont="1" applyBorder="1" applyAlignment="1">
      <alignment horizontal="right" wrapText="1"/>
    </xf>
    <xf numFmtId="49" fontId="48" fillId="0" borderId="0" xfId="0" applyNumberFormat="1" applyFont="1" applyBorder="1"/>
    <xf numFmtId="0" fontId="83" fillId="0" borderId="0" xfId="0" applyFont="1"/>
    <xf numFmtId="0" fontId="83" fillId="0" borderId="0" xfId="0" applyFont="1" applyAlignment="1">
      <alignment horizontal="left" vertical="top" wrapText="1"/>
    </xf>
    <xf numFmtId="0" fontId="48" fillId="0" borderId="0" xfId="0" applyFont="1" applyBorder="1" applyAlignment="1">
      <alignment horizontal="center" vertical="center" wrapText="1"/>
    </xf>
    <xf numFmtId="171" fontId="48" fillId="0" borderId="0" xfId="0" applyNumberFormat="1" applyFont="1" applyBorder="1"/>
    <xf numFmtId="3" fontId="48" fillId="0" borderId="0" xfId="0" applyNumberFormat="1" applyFont="1" applyBorder="1" applyAlignment="1">
      <alignment horizontal="right"/>
    </xf>
    <xf numFmtId="3" fontId="49" fillId="0" borderId="0" xfId="0" applyNumberFormat="1" applyFont="1" applyBorder="1" applyAlignment="1">
      <alignment vertical="center"/>
    </xf>
    <xf numFmtId="165" fontId="48" fillId="0" borderId="0" xfId="0" applyNumberFormat="1" applyFont="1" applyBorder="1"/>
    <xf numFmtId="0" fontId="88" fillId="30" borderId="0" xfId="0" applyFont="1" applyFill="1" applyBorder="1"/>
    <xf numFmtId="0" fontId="89" fillId="30" borderId="0" xfId="0" applyFont="1" applyFill="1" applyBorder="1" applyAlignment="1" applyProtection="1">
      <alignment vertical="top"/>
    </xf>
    <xf numFmtId="0" fontId="89" fillId="30" borderId="0" xfId="0" applyFont="1" applyFill="1" applyBorder="1"/>
    <xf numFmtId="0" fontId="85" fillId="0" borderId="0" xfId="0" applyFont="1" applyAlignment="1">
      <alignment horizontal="left" vertical="top" wrapText="1"/>
    </xf>
    <xf numFmtId="0" fontId="83" fillId="0" borderId="0" xfId="0" applyFont="1" applyAlignment="1">
      <alignment horizontal="center" wrapText="1"/>
    </xf>
    <xf numFmtId="0" fontId="85" fillId="0" borderId="0" xfId="0" applyFont="1" applyAlignment="1">
      <alignment horizontal="left" vertical="top"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3" fontId="1" fillId="31" borderId="10" xfId="1" applyNumberFormat="1" applyFont="1" applyFill="1" applyBorder="1" applyAlignment="1">
      <alignment vertical="center" wrapText="1"/>
    </xf>
    <xf numFmtId="3" fontId="2" fillId="0" borderId="45" xfId="1" applyNumberFormat="1" applyFont="1" applyFill="1" applyBorder="1" applyAlignment="1">
      <alignment horizontal="left" vertical="center" wrapText="1"/>
    </xf>
    <xf numFmtId="3" fontId="2" fillId="0" borderId="46" xfId="1" applyNumberFormat="1" applyFont="1" applyFill="1" applyBorder="1" applyAlignment="1">
      <alignment horizontal="left" vertical="center" wrapText="1"/>
    </xf>
    <xf numFmtId="3" fontId="2" fillId="0" borderId="47" xfId="1" applyNumberFormat="1" applyFont="1" applyFill="1" applyBorder="1" applyAlignment="1">
      <alignment horizontal="left" vertical="center" wrapText="1"/>
    </xf>
    <xf numFmtId="3" fontId="2" fillId="0" borderId="45" xfId="1" applyNumberFormat="1" applyFont="1" applyFill="1" applyBorder="1" applyAlignment="1">
      <alignment vertical="center" wrapText="1"/>
    </xf>
    <xf numFmtId="3" fontId="2" fillId="0" borderId="46" xfId="1" applyNumberFormat="1" applyFont="1" applyFill="1" applyBorder="1" applyAlignment="1">
      <alignment vertical="center" wrapText="1"/>
    </xf>
    <xf numFmtId="3" fontId="2" fillId="0" borderId="47"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31" borderId="10" xfId="1" applyFont="1" applyFill="1" applyBorder="1" applyAlignment="1">
      <alignment horizontal="left" vertical="center" wrapText="1"/>
    </xf>
    <xf numFmtId="3" fontId="2" fillId="0" borderId="10" xfId="1" applyNumberFormat="1" applyFont="1" applyFill="1" applyBorder="1" applyAlignment="1">
      <alignment vertical="center" wrapText="1"/>
    </xf>
    <xf numFmtId="3" fontId="1" fillId="31" borderId="10" xfId="1" applyNumberFormat="1" applyFont="1" applyFill="1" applyBorder="1" applyAlignment="1">
      <alignment horizontal="left" vertical="center" wrapText="1"/>
    </xf>
    <xf numFmtId="3" fontId="1" fillId="31" borderId="45" xfId="1" applyNumberFormat="1" applyFont="1" applyFill="1" applyBorder="1" applyAlignment="1">
      <alignment horizontal="left" vertical="center" wrapText="1"/>
    </xf>
    <xf numFmtId="0" fontId="77" fillId="0" borderId="0" xfId="0" applyFont="1" applyAlignment="1">
      <alignment horizontal="left" wrapText="1"/>
    </xf>
    <xf numFmtId="0" fontId="77" fillId="0" borderId="0" xfId="0" applyFont="1" applyAlignment="1">
      <alignment horizontal="center" vertical="center" wrapText="1"/>
    </xf>
    <xf numFmtId="0" fontId="74" fillId="0" borderId="0" xfId="0" applyFont="1" applyAlignment="1">
      <alignment horizontal="center" vertical="center" wrapText="1"/>
    </xf>
    <xf numFmtId="0" fontId="85" fillId="0" borderId="0" xfId="0" applyFont="1" applyAlignment="1">
      <alignment horizontal="center" vertical="top" wrapText="1"/>
    </xf>
    <xf numFmtId="0" fontId="85" fillId="0" borderId="0" xfId="0" applyFont="1" applyBorder="1" applyAlignment="1">
      <alignment horizontal="center" vertical="center"/>
    </xf>
    <xf numFmtId="0" fontId="83" fillId="0" borderId="0" xfId="0" applyFont="1" applyAlignment="1">
      <alignment horizontal="center" vertical="center" wrapText="1"/>
    </xf>
    <xf numFmtId="0" fontId="83" fillId="0" borderId="0" xfId="0" applyFont="1" applyAlignment="1">
      <alignment horizontal="left" vertical="top" wrapText="1"/>
    </xf>
    <xf numFmtId="0" fontId="83" fillId="0" borderId="0" xfId="0" applyFont="1" applyAlignment="1">
      <alignment horizontal="left" vertical="center" wrapText="1"/>
    </xf>
    <xf numFmtId="0" fontId="48" fillId="0" borderId="0" xfId="0" applyFont="1" applyAlignment="1">
      <alignment horizontal="left" vertical="top" wrapText="1"/>
    </xf>
    <xf numFmtId="0" fontId="48" fillId="0" borderId="0" xfId="0" applyFont="1" applyAlignment="1">
      <alignment horizontal="center" wrapText="1"/>
    </xf>
    <xf numFmtId="168" fontId="43" fillId="6" borderId="37" xfId="0" applyNumberFormat="1" applyFont="1" applyFill="1" applyBorder="1" applyAlignment="1">
      <alignment horizontal="center" vertical="center" wrapText="1" shrinkToFit="1"/>
    </xf>
    <xf numFmtId="168" fontId="43" fillId="6" borderId="49" xfId="0" applyNumberFormat="1" applyFont="1" applyFill="1" applyBorder="1" applyAlignment="1">
      <alignment horizontal="center" vertical="center" wrapText="1" shrinkToFit="1"/>
    </xf>
    <xf numFmtId="168" fontId="43" fillId="6" borderId="51" xfId="0" applyNumberFormat="1" applyFont="1" applyFill="1" applyBorder="1" applyAlignment="1">
      <alignment horizontal="center" vertical="center" wrapText="1" shrinkToFit="1"/>
    </xf>
    <xf numFmtId="168" fontId="43" fillId="6" borderId="22" xfId="0" applyNumberFormat="1" applyFont="1" applyFill="1" applyBorder="1" applyAlignment="1">
      <alignment horizontal="center" vertical="center" wrapText="1" shrinkToFit="1"/>
    </xf>
    <xf numFmtId="168" fontId="43" fillId="6" borderId="20" xfId="0" applyNumberFormat="1" applyFont="1" applyFill="1" applyBorder="1" applyAlignment="1">
      <alignment horizontal="center" vertical="center" wrapText="1" shrinkToFit="1"/>
    </xf>
    <xf numFmtId="49" fontId="43" fillId="6" borderId="17" xfId="0" applyNumberFormat="1" applyFont="1" applyFill="1" applyBorder="1" applyAlignment="1">
      <alignment horizontal="center" vertical="center" wrapText="1"/>
    </xf>
    <xf numFmtId="49" fontId="43" fillId="6" borderId="18" xfId="0" applyNumberFormat="1" applyFont="1" applyFill="1" applyBorder="1" applyAlignment="1">
      <alignment horizontal="center" vertical="center" wrapText="1"/>
    </xf>
    <xf numFmtId="49" fontId="79" fillId="0" borderId="0" xfId="0" applyNumberFormat="1" applyFont="1" applyBorder="1" applyAlignment="1">
      <alignment horizontal="center" vertical="center" wrapText="1"/>
    </xf>
    <xf numFmtId="0" fontId="57" fillId="0" borderId="22" xfId="0" applyFont="1" applyBorder="1" applyAlignment="1">
      <alignment horizontal="center" wrapText="1"/>
    </xf>
    <xf numFmtId="0" fontId="57" fillId="0" borderId="50" xfId="0" applyFont="1" applyBorder="1" applyAlignment="1">
      <alignment horizontal="center" wrapText="1"/>
    </xf>
    <xf numFmtId="49" fontId="57" fillId="0" borderId="11" xfId="0" applyNumberFormat="1" applyFont="1" applyBorder="1" applyAlignment="1">
      <alignment horizontal="center"/>
    </xf>
    <xf numFmtId="165" fontId="57" fillId="0" borderId="11" xfId="0" applyNumberFormat="1" applyFont="1" applyBorder="1" applyAlignment="1">
      <alignment horizontal="center" wrapText="1"/>
    </xf>
    <xf numFmtId="49" fontId="21" fillId="0" borderId="0" xfId="0" applyNumberFormat="1" applyFont="1" applyBorder="1" applyAlignment="1">
      <alignment horizontal="left" vertical="center" wrapText="1"/>
    </xf>
    <xf numFmtId="49" fontId="21" fillId="0" borderId="0" xfId="0" applyNumberFormat="1" applyFont="1" applyBorder="1" applyAlignment="1">
      <alignment horizontal="left" vertical="top" wrapText="1"/>
    </xf>
    <xf numFmtId="0" fontId="46" fillId="6" borderId="13" xfId="1" applyFont="1" applyFill="1" applyBorder="1" applyAlignment="1">
      <alignment horizontal="center" vertical="center" wrapText="1"/>
    </xf>
    <xf numFmtId="0" fontId="46" fillId="6" borderId="14" xfId="1" applyFont="1" applyFill="1" applyBorder="1" applyAlignment="1">
      <alignment horizontal="center" vertical="center" wrapText="1"/>
    </xf>
    <xf numFmtId="0" fontId="46" fillId="6" borderId="11" xfId="1" applyFont="1" applyFill="1" applyBorder="1" applyAlignment="1">
      <alignment horizontal="center" vertical="center" wrapText="1"/>
    </xf>
    <xf numFmtId="4" fontId="46" fillId="6" borderId="11" xfId="47" applyNumberFormat="1" applyFont="1" applyFill="1" applyBorder="1" applyAlignment="1">
      <alignment horizontal="center" vertical="center" wrapText="1"/>
    </xf>
    <xf numFmtId="0" fontId="48" fillId="0" borderId="12" xfId="0" applyFont="1" applyBorder="1" applyAlignment="1">
      <alignment horizontal="left" vertical="top" wrapText="1"/>
    </xf>
    <xf numFmtId="0" fontId="86" fillId="0" borderId="0" xfId="0" applyFont="1" applyAlignment="1">
      <alignment horizontal="center" vertical="center" wrapText="1"/>
    </xf>
    <xf numFmtId="0" fontId="48" fillId="0" borderId="0" xfId="0" applyFont="1" applyAlignment="1">
      <alignment horizontal="left" vertical="center" wrapText="1"/>
    </xf>
    <xf numFmtId="3" fontId="48" fillId="0" borderId="0" xfId="47" applyNumberFormat="1" applyFont="1" applyAlignment="1">
      <alignment horizontal="center" vertical="center" wrapText="1"/>
    </xf>
    <xf numFmtId="0" fontId="81" fillId="0" borderId="0" xfId="0" applyFont="1" applyAlignment="1">
      <alignment horizontal="left" vertical="center" wrapText="1"/>
    </xf>
    <xf numFmtId="0" fontId="2" fillId="0" borderId="0" xfId="0" applyFont="1" applyBorder="1" applyAlignment="1">
      <alignment horizontal="left" vertical="top" wrapText="1"/>
    </xf>
    <xf numFmtId="0" fontId="85" fillId="0" borderId="0" xfId="0" applyFont="1" applyAlignment="1">
      <alignment horizontal="left" vertical="center" wrapText="1"/>
    </xf>
    <xf numFmtId="0" fontId="81" fillId="0" borderId="0" xfId="0" applyFont="1" applyAlignment="1">
      <alignment horizontal="left" vertical="top" wrapText="1"/>
    </xf>
    <xf numFmtId="0" fontId="80" fillId="0" borderId="0" xfId="0" applyFont="1" applyAlignment="1">
      <alignment vertical="center" wrapText="1"/>
    </xf>
    <xf numFmtId="0" fontId="67" fillId="0" borderId="0" xfId="0" applyFont="1" applyBorder="1" applyAlignment="1">
      <alignment horizontal="left" vertical="center" wrapText="1"/>
    </xf>
    <xf numFmtId="0" fontId="48" fillId="0" borderId="0" xfId="0" applyFont="1" applyBorder="1" applyAlignment="1">
      <alignment horizontal="left" vertical="top" wrapText="1"/>
    </xf>
    <xf numFmtId="0" fontId="80" fillId="0" borderId="0" xfId="0" applyFont="1" applyAlignment="1">
      <alignment horizontal="left" vertical="center" wrapText="1"/>
    </xf>
    <xf numFmtId="0" fontId="81" fillId="0" borderId="0" xfId="0" applyFont="1" applyAlignment="1">
      <alignment horizontal="center" vertical="center" wrapText="1"/>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cellXfs>
  <cellStyles count="6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3"/>
    <cellStyle name="Calculation 4" xfId="58"/>
    <cellStyle name="Check Cell 2" xfId="28"/>
    <cellStyle name="Comma" xfId="47" builtinId="3"/>
    <cellStyle name="Comma 2" xfId="29"/>
    <cellStyle name="Comma 3" xfId="50"/>
    <cellStyle name="Comma_Расходи по корисницима 2" xfId="51"/>
    <cellStyle name="Explanatory Text 2" xfId="30"/>
    <cellStyle name="Good 2" xfId="31"/>
    <cellStyle name="Heading 1 2" xfId="32"/>
    <cellStyle name="Heading 2 2" xfId="33"/>
    <cellStyle name="Heading 3 2" xfId="34"/>
    <cellStyle name="Heading 4 2" xfId="35"/>
    <cellStyle name="Input 2" xfId="36"/>
    <cellStyle name="Input 3" xfId="54"/>
    <cellStyle name="Input 4" xfId="59"/>
    <cellStyle name="Linked Cell 2" xfId="37"/>
    <cellStyle name="Neutral 2" xfId="38"/>
    <cellStyle name="Normal" xfId="0" builtinId="0"/>
    <cellStyle name="Normal 2" xfId="1"/>
    <cellStyle name="Normal 2 2" xfId="52"/>
    <cellStyle name="Normal 3" xfId="46"/>
    <cellStyle name="Normal_Расходи по корисницима" xfId="49"/>
    <cellStyle name="Note 2" xfId="39"/>
    <cellStyle name="Note 3" xfId="55"/>
    <cellStyle name="Note 4" xfId="60"/>
    <cellStyle name="Output 2" xfId="40"/>
    <cellStyle name="Output 3" xfId="56"/>
    <cellStyle name="Output 4" xfId="61"/>
    <cellStyle name="Percent" xfId="48" builtinId="5"/>
    <cellStyle name="Percent 2" xfId="41"/>
    <cellStyle name="Percent 3" xfId="45"/>
    <cellStyle name="Title 2" xfId="42"/>
    <cellStyle name="Total 2" xfId="43"/>
    <cellStyle name="Total 3" xfId="57"/>
    <cellStyle name="Total 4" xfId="62"/>
    <cellStyle name="Warning Text 2" xfId="44"/>
  </cellStyles>
  <dxfs count="9">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lor rgb="FFFF0000"/>
      </font>
      <fill>
        <patternFill>
          <bgColor theme="5" tint="0.39994506668294322"/>
        </patternFill>
      </fill>
    </dxf>
    <dxf>
      <font>
        <condense val="0"/>
        <extend val="0"/>
        <color rgb="FF9C0006"/>
      </font>
      <fill>
        <patternFill>
          <bgColor rgb="FFFFC7CE"/>
        </patternFill>
      </fill>
    </dxf>
    <dxf>
      <font>
        <color rgb="FFFF0000"/>
      </font>
      <fill>
        <patternFill>
          <bgColor theme="5" tint="0.39994506668294322"/>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1"/>
  </sheetPr>
  <dimension ref="A1:K128"/>
  <sheetViews>
    <sheetView tabSelected="1" topLeftCell="A28" workbookViewId="0">
      <selection activeCell="B14" sqref="B14:I14"/>
    </sheetView>
  </sheetViews>
  <sheetFormatPr defaultRowHeight="15"/>
  <cols>
    <col min="1" max="1" width="5.28515625" customWidth="1"/>
    <col min="7" max="7" width="8.5703125" customWidth="1"/>
    <col min="8" max="8" width="23.5703125" customWidth="1"/>
    <col min="9" max="9" width="19.140625" customWidth="1"/>
    <col min="10" max="10" width="15.7109375" customWidth="1"/>
  </cols>
  <sheetData>
    <row r="1" spans="1:11" ht="75.75" customHeight="1">
      <c r="A1" s="829" t="s">
        <v>5404</v>
      </c>
      <c r="B1" s="829"/>
      <c r="C1" s="829"/>
      <c r="D1" s="829"/>
      <c r="E1" s="829"/>
      <c r="F1" s="829"/>
      <c r="G1" s="829"/>
      <c r="H1" s="829"/>
      <c r="I1" s="829"/>
      <c r="J1" s="829"/>
      <c r="K1" s="754"/>
    </row>
    <row r="2" spans="1:11" ht="21" customHeight="1">
      <c r="A2" s="755"/>
      <c r="B2" s="755"/>
      <c r="C2" s="755"/>
      <c r="D2" s="830" t="s">
        <v>5134</v>
      </c>
      <c r="E2" s="831"/>
      <c r="F2" s="831"/>
      <c r="G2" s="831"/>
      <c r="H2" s="831"/>
      <c r="I2" s="755"/>
      <c r="J2" s="755"/>
      <c r="K2" s="754"/>
    </row>
    <row r="3" spans="1:11" ht="43.5" customHeight="1">
      <c r="A3" s="755"/>
      <c r="B3" s="755"/>
      <c r="C3" s="830" t="s">
        <v>5135</v>
      </c>
      <c r="D3" s="830"/>
      <c r="E3" s="830"/>
      <c r="F3" s="830"/>
      <c r="G3" s="830"/>
      <c r="H3" s="830"/>
      <c r="I3" s="830"/>
      <c r="J3" s="755"/>
      <c r="K3" s="754"/>
    </row>
    <row r="4" spans="1:11" ht="11.25" customHeight="1">
      <c r="A4" s="755"/>
      <c r="B4" s="755"/>
      <c r="C4" s="755"/>
      <c r="D4" s="756"/>
      <c r="E4" s="756"/>
      <c r="F4" s="756"/>
      <c r="G4" s="756"/>
      <c r="H4" s="756"/>
      <c r="I4" s="755"/>
      <c r="J4" s="755"/>
      <c r="K4" s="754"/>
    </row>
    <row r="5" spans="1:11" ht="27.75" customHeight="1">
      <c r="A5" s="755"/>
      <c r="B5" s="755"/>
      <c r="C5" s="846" t="s">
        <v>5136</v>
      </c>
      <c r="D5" s="846"/>
      <c r="E5" s="846"/>
      <c r="F5" s="846"/>
      <c r="G5" s="846"/>
      <c r="H5" s="846"/>
      <c r="I5" s="846"/>
      <c r="J5" s="755"/>
      <c r="K5" s="754"/>
    </row>
    <row r="6" spans="1:11" ht="24" customHeight="1">
      <c r="A6" s="827"/>
      <c r="B6" s="827"/>
      <c r="C6" s="847" t="s">
        <v>5127</v>
      </c>
      <c r="D6" s="847"/>
      <c r="E6" s="847"/>
      <c r="F6" s="847"/>
      <c r="G6" s="847"/>
      <c r="H6" s="847"/>
      <c r="I6" s="847"/>
      <c r="J6" s="827"/>
      <c r="K6" s="754"/>
    </row>
    <row r="7" spans="1:11" ht="24" customHeight="1">
      <c r="A7" s="848" t="s">
        <v>5128</v>
      </c>
      <c r="B7" s="848"/>
      <c r="C7" s="848"/>
      <c r="D7" s="848"/>
      <c r="E7" s="848"/>
      <c r="F7" s="848"/>
      <c r="G7" s="848"/>
      <c r="H7" s="848"/>
      <c r="I7" s="848"/>
      <c r="J7" s="848"/>
    </row>
    <row r="8" spans="1:11" ht="45" customHeight="1">
      <c r="A8" s="600" t="s">
        <v>0</v>
      </c>
      <c r="B8" s="840" t="s">
        <v>1</v>
      </c>
      <c r="C8" s="840"/>
      <c r="D8" s="840"/>
      <c r="E8" s="840"/>
      <c r="F8" s="840"/>
      <c r="G8" s="840"/>
      <c r="H8" s="601" t="s">
        <v>2</v>
      </c>
      <c r="I8" s="759" t="s">
        <v>5133</v>
      </c>
      <c r="J8" s="764" t="s">
        <v>3760</v>
      </c>
    </row>
    <row r="9" spans="1:11" ht="30" customHeight="1">
      <c r="A9" s="2" t="s">
        <v>15</v>
      </c>
      <c r="B9" s="841" t="s">
        <v>3</v>
      </c>
      <c r="C9" s="841"/>
      <c r="D9" s="841"/>
      <c r="E9" s="841"/>
      <c r="F9" s="841"/>
      <c r="G9" s="841"/>
      <c r="H9" s="3" t="s">
        <v>4</v>
      </c>
      <c r="I9" s="760">
        <v>474383900</v>
      </c>
      <c r="J9" s="785">
        <v>13773771</v>
      </c>
    </row>
    <row r="10" spans="1:11" ht="30" customHeight="1">
      <c r="A10" s="2" t="s">
        <v>16</v>
      </c>
      <c r="B10" s="841" t="s">
        <v>5</v>
      </c>
      <c r="C10" s="841"/>
      <c r="D10" s="841"/>
      <c r="E10" s="841"/>
      <c r="F10" s="841"/>
      <c r="G10" s="841"/>
      <c r="H10" s="3" t="s">
        <v>6</v>
      </c>
      <c r="I10" s="760">
        <v>474383900</v>
      </c>
      <c r="J10" s="785">
        <v>13773771</v>
      </c>
    </row>
    <row r="11" spans="1:11" ht="28.5" customHeight="1">
      <c r="A11" s="1" t="s">
        <v>17</v>
      </c>
      <c r="B11" s="839" t="s">
        <v>7</v>
      </c>
      <c r="C11" s="839"/>
      <c r="D11" s="839"/>
      <c r="E11" s="839"/>
      <c r="F11" s="839"/>
      <c r="G11" s="839"/>
      <c r="H11" s="4" t="s">
        <v>8</v>
      </c>
      <c r="I11" s="761">
        <f>I9-I10</f>
        <v>0</v>
      </c>
      <c r="J11" s="784"/>
    </row>
    <row r="12" spans="1:11" ht="30" customHeight="1">
      <c r="A12" s="2" t="s">
        <v>18</v>
      </c>
      <c r="B12" s="836" t="s">
        <v>5122</v>
      </c>
      <c r="C12" s="837"/>
      <c r="D12" s="837"/>
      <c r="E12" s="837"/>
      <c r="F12" s="837"/>
      <c r="G12" s="838"/>
      <c r="H12" s="5">
        <v>62</v>
      </c>
      <c r="I12" s="762">
        <f>'По основ. нам.'!F85-'По основ. нам.'!F86</f>
        <v>0</v>
      </c>
      <c r="J12" s="784"/>
    </row>
    <row r="13" spans="1:11" ht="29.25" customHeight="1">
      <c r="A13" s="1" t="s">
        <v>20</v>
      </c>
      <c r="B13" s="839" t="s">
        <v>9</v>
      </c>
      <c r="C13" s="839"/>
      <c r="D13" s="839"/>
      <c r="E13" s="839"/>
      <c r="F13" s="839"/>
      <c r="G13" s="839"/>
      <c r="H13" s="4" t="s">
        <v>5123</v>
      </c>
      <c r="I13" s="761">
        <f>I11+I12</f>
        <v>0</v>
      </c>
      <c r="J13" s="784"/>
    </row>
    <row r="14" spans="1:11" ht="32.25" customHeight="1">
      <c r="A14" s="600" t="s">
        <v>10</v>
      </c>
      <c r="B14" s="842" t="s">
        <v>11</v>
      </c>
      <c r="C14" s="842"/>
      <c r="D14" s="842"/>
      <c r="E14" s="842"/>
      <c r="F14" s="842"/>
      <c r="G14" s="842"/>
      <c r="H14" s="842"/>
      <c r="I14" s="843"/>
      <c r="J14" s="786"/>
    </row>
    <row r="15" spans="1:11" ht="22.5" customHeight="1">
      <c r="A15" s="2" t="s">
        <v>15</v>
      </c>
      <c r="B15" s="841" t="s">
        <v>12</v>
      </c>
      <c r="C15" s="841"/>
      <c r="D15" s="841"/>
      <c r="E15" s="841"/>
      <c r="F15" s="841"/>
      <c r="G15" s="841"/>
      <c r="H15" s="3">
        <v>91</v>
      </c>
      <c r="I15" s="760">
        <f>'Оптшти део - (6)'!G92</f>
        <v>0</v>
      </c>
      <c r="J15" s="784"/>
    </row>
    <row r="16" spans="1:11" ht="30" customHeight="1">
      <c r="A16" s="2" t="s">
        <v>16</v>
      </c>
      <c r="B16" s="841" t="s">
        <v>5125</v>
      </c>
      <c r="C16" s="841"/>
      <c r="D16" s="841"/>
      <c r="E16" s="841"/>
      <c r="F16" s="841"/>
      <c r="G16" s="841"/>
      <c r="H16" s="3">
        <v>92</v>
      </c>
      <c r="I16" s="760">
        <f>'Оптшти део - (6)'!G95</f>
        <v>0</v>
      </c>
      <c r="J16" s="784"/>
    </row>
    <row r="17" spans="1:10" ht="20.25" customHeight="1">
      <c r="A17" s="707" t="s">
        <v>17</v>
      </c>
      <c r="B17" s="833" t="s">
        <v>5113</v>
      </c>
      <c r="C17" s="834"/>
      <c r="D17" s="834"/>
      <c r="E17" s="834"/>
      <c r="F17" s="834"/>
      <c r="G17" s="835"/>
      <c r="H17" s="708">
        <v>3</v>
      </c>
      <c r="I17" s="760"/>
      <c r="J17" s="784"/>
    </row>
    <row r="18" spans="1:10" ht="30" customHeight="1">
      <c r="A18" s="2" t="s">
        <v>18</v>
      </c>
      <c r="B18" s="841" t="s">
        <v>5126</v>
      </c>
      <c r="C18" s="841"/>
      <c r="D18" s="841"/>
      <c r="E18" s="841"/>
      <c r="F18" s="841"/>
      <c r="G18" s="841"/>
      <c r="H18" s="3">
        <v>6211</v>
      </c>
      <c r="I18" s="760">
        <f>'По основ. нам.'!F86</f>
        <v>0</v>
      </c>
      <c r="J18" s="784"/>
    </row>
    <row r="19" spans="1:10" ht="18" customHeight="1">
      <c r="A19" s="2" t="s">
        <v>19</v>
      </c>
      <c r="B19" s="841" t="s">
        <v>13</v>
      </c>
      <c r="C19" s="841"/>
      <c r="D19" s="841"/>
      <c r="E19" s="841"/>
      <c r="F19" s="841"/>
      <c r="G19" s="841"/>
      <c r="H19" s="3">
        <v>61</v>
      </c>
      <c r="I19" s="760">
        <f>'По основ. нам.'!F81</f>
        <v>0</v>
      </c>
      <c r="J19" s="784"/>
    </row>
    <row r="20" spans="1:10" ht="30" customHeight="1">
      <c r="A20" s="600" t="s">
        <v>5115</v>
      </c>
      <c r="B20" s="832" t="s">
        <v>14</v>
      </c>
      <c r="C20" s="832"/>
      <c r="D20" s="832"/>
      <c r="E20" s="832"/>
      <c r="F20" s="832"/>
      <c r="G20" s="832"/>
      <c r="H20" s="709" t="s">
        <v>5114</v>
      </c>
      <c r="I20" s="763">
        <f>I15+I16+I17-I18-I19</f>
        <v>0</v>
      </c>
      <c r="J20" s="786"/>
    </row>
    <row r="21" spans="1:10">
      <c r="A21" s="757"/>
      <c r="B21" s="757"/>
      <c r="C21" s="757"/>
      <c r="D21" s="757"/>
      <c r="E21" s="757"/>
      <c r="F21" s="757"/>
      <c r="G21" s="757"/>
      <c r="H21" s="757"/>
      <c r="I21" s="757"/>
      <c r="J21" s="757"/>
    </row>
    <row r="22" spans="1:10" ht="20.25" customHeight="1">
      <c r="A22" s="817"/>
      <c r="B22" s="817"/>
      <c r="C22" s="849" t="s">
        <v>5129</v>
      </c>
      <c r="D22" s="849"/>
      <c r="E22" s="849"/>
      <c r="F22" s="849"/>
      <c r="G22" s="849"/>
      <c r="H22" s="849"/>
      <c r="I22" s="849"/>
      <c r="J22" s="817"/>
    </row>
    <row r="23" spans="1:10" ht="15.75">
      <c r="A23" s="828" t="s">
        <v>5402</v>
      </c>
      <c r="B23" s="828"/>
      <c r="C23" s="828"/>
      <c r="D23" s="828"/>
      <c r="E23" s="828"/>
      <c r="F23" s="828"/>
      <c r="G23" s="828"/>
      <c r="H23" s="828"/>
      <c r="I23" s="828"/>
      <c r="J23" s="828"/>
    </row>
    <row r="24" spans="1:10" ht="15.75">
      <c r="A24" s="817"/>
      <c r="B24" s="828" t="s">
        <v>5275</v>
      </c>
      <c r="C24" s="828"/>
      <c r="D24" s="828"/>
      <c r="E24" s="828"/>
      <c r="F24" s="828"/>
      <c r="G24" s="828"/>
      <c r="H24" s="828"/>
      <c r="I24" s="828"/>
      <c r="J24" s="817"/>
    </row>
    <row r="25" spans="1:10" ht="15.75">
      <c r="A25" s="817"/>
      <c r="B25" s="828" t="s">
        <v>5276</v>
      </c>
      <c r="C25" s="828"/>
      <c r="D25" s="828"/>
      <c r="E25" s="828"/>
      <c r="F25" s="828"/>
      <c r="G25" s="828"/>
      <c r="H25" s="828"/>
      <c r="I25" s="828"/>
      <c r="J25" s="817"/>
    </row>
    <row r="26" spans="1:10" hidden="1">
      <c r="A26" s="757"/>
      <c r="B26" s="844"/>
      <c r="C26" s="844"/>
      <c r="D26" s="844"/>
      <c r="E26" s="844"/>
      <c r="F26" s="844"/>
      <c r="G26" s="844"/>
      <c r="H26" s="844"/>
      <c r="I26" s="758"/>
      <c r="J26" s="757"/>
    </row>
    <row r="27" spans="1:10" ht="23.25" hidden="1" customHeight="1">
      <c r="A27" s="845"/>
      <c r="B27" s="845"/>
      <c r="C27" s="845"/>
      <c r="D27" s="845"/>
      <c r="E27" s="845"/>
      <c r="F27" s="845"/>
      <c r="G27" s="845"/>
      <c r="H27" s="845"/>
      <c r="I27" s="845"/>
      <c r="J27" s="757"/>
    </row>
    <row r="28" spans="1:10" ht="15.75" customHeight="1">
      <c r="A28" s="757"/>
      <c r="B28" s="757"/>
      <c r="C28" s="757"/>
      <c r="D28" s="757"/>
      <c r="E28" s="757"/>
      <c r="F28" s="757"/>
      <c r="G28" s="757"/>
      <c r="H28" s="757"/>
      <c r="I28" s="757"/>
      <c r="J28" s="757"/>
    </row>
    <row r="29" spans="1:10" ht="15.75">
      <c r="A29" s="817"/>
      <c r="B29" s="817"/>
      <c r="C29" s="828" t="s">
        <v>5130</v>
      </c>
      <c r="D29" s="828"/>
      <c r="E29" s="828"/>
      <c r="F29" s="828"/>
      <c r="G29" s="828"/>
      <c r="H29" s="828"/>
      <c r="I29" s="828"/>
      <c r="J29" s="817"/>
    </row>
    <row r="30" spans="1:10" ht="24" customHeight="1">
      <c r="A30" s="850" t="s">
        <v>5277</v>
      </c>
      <c r="B30" s="850"/>
      <c r="C30" s="850"/>
      <c r="D30" s="850"/>
      <c r="E30" s="850"/>
      <c r="F30" s="850"/>
      <c r="G30" s="850"/>
      <c r="H30" s="850"/>
      <c r="I30" s="850"/>
      <c r="J30" s="850"/>
    </row>
    <row r="31" spans="1:10" ht="45" customHeight="1">
      <c r="A31" s="851" t="s">
        <v>5131</v>
      </c>
      <c r="B31" s="851"/>
      <c r="C31" s="851"/>
      <c r="D31" s="851"/>
      <c r="E31" s="851"/>
      <c r="F31" s="851"/>
      <c r="G31" s="851"/>
      <c r="H31" s="851"/>
      <c r="I31" s="851"/>
      <c r="J31" s="851"/>
    </row>
    <row r="32" spans="1:10" ht="15.75" hidden="1">
      <c r="A32" s="817"/>
      <c r="B32" s="817"/>
      <c r="C32" s="817"/>
      <c r="D32" s="817"/>
      <c r="E32" s="817"/>
      <c r="F32" s="817"/>
      <c r="G32" s="817"/>
      <c r="H32" s="817"/>
      <c r="I32" s="817"/>
      <c r="J32" s="817"/>
    </row>
    <row r="33" spans="1:10" ht="36.75" customHeight="1">
      <c r="A33" s="850" t="s">
        <v>5132</v>
      </c>
      <c r="B33" s="850"/>
      <c r="C33" s="850"/>
      <c r="D33" s="850"/>
      <c r="E33" s="850"/>
      <c r="F33" s="850"/>
      <c r="G33" s="850"/>
      <c r="H33" s="850"/>
      <c r="I33" s="850"/>
      <c r="J33" s="850"/>
    </row>
    <row r="34" spans="1:10" ht="16.5" customHeight="1">
      <c r="A34" s="818"/>
      <c r="B34" s="818"/>
      <c r="C34" s="818"/>
      <c r="D34" s="818"/>
      <c r="E34" s="818"/>
      <c r="F34" s="818"/>
      <c r="G34" s="818"/>
      <c r="H34" s="818"/>
      <c r="I34" s="818"/>
      <c r="J34" s="818"/>
    </row>
    <row r="35" spans="1:10" ht="15.75">
      <c r="A35" s="817"/>
      <c r="B35" s="817"/>
      <c r="C35" s="828" t="s">
        <v>5137</v>
      </c>
      <c r="D35" s="828"/>
      <c r="E35" s="828"/>
      <c r="F35" s="828"/>
      <c r="G35" s="828"/>
      <c r="H35" s="828"/>
      <c r="I35" s="828"/>
      <c r="J35" s="817"/>
    </row>
    <row r="36" spans="1:10" ht="33" customHeight="1">
      <c r="A36" s="850" t="s">
        <v>5278</v>
      </c>
      <c r="B36" s="850"/>
      <c r="C36" s="850"/>
      <c r="D36" s="850"/>
      <c r="E36" s="850"/>
      <c r="F36" s="850"/>
      <c r="G36" s="850"/>
      <c r="H36" s="850"/>
      <c r="I36" s="850"/>
      <c r="J36" s="850"/>
    </row>
    <row r="37" spans="1:10" ht="34.5" customHeight="1">
      <c r="A37" s="850" t="s">
        <v>5132</v>
      </c>
      <c r="B37" s="850"/>
      <c r="C37" s="850"/>
      <c r="D37" s="850"/>
      <c r="E37" s="850"/>
      <c r="F37" s="850"/>
      <c r="G37" s="850"/>
      <c r="H37" s="850"/>
      <c r="I37" s="850"/>
      <c r="J37" s="850"/>
    </row>
    <row r="38" spans="1:10">
      <c r="A38" s="757"/>
      <c r="B38" s="757"/>
      <c r="C38" s="757"/>
      <c r="D38" s="757"/>
      <c r="E38" s="757"/>
      <c r="F38" s="757"/>
      <c r="G38" s="757"/>
      <c r="H38" s="757"/>
      <c r="I38" s="757"/>
      <c r="J38" s="757"/>
    </row>
    <row r="39" spans="1:10">
      <c r="A39" s="757"/>
      <c r="B39" s="757"/>
      <c r="C39" s="757"/>
      <c r="D39" s="757"/>
      <c r="E39" s="757"/>
      <c r="F39" s="757"/>
      <c r="G39" s="757"/>
      <c r="H39" s="757"/>
      <c r="I39" s="757"/>
      <c r="J39" s="757"/>
    </row>
    <row r="40" spans="1:10">
      <c r="A40" s="757"/>
      <c r="B40" s="757"/>
      <c r="C40" s="757"/>
      <c r="D40" s="757"/>
      <c r="E40" s="757"/>
      <c r="F40" s="757"/>
      <c r="G40" s="757"/>
      <c r="H40" s="757"/>
      <c r="I40" s="757"/>
      <c r="J40" s="757"/>
    </row>
    <row r="41" spans="1:10">
      <c r="A41" s="757"/>
      <c r="B41" s="757"/>
      <c r="C41" s="757"/>
      <c r="D41" s="757"/>
      <c r="E41" s="757"/>
      <c r="F41" s="757"/>
      <c r="G41" s="757"/>
      <c r="H41" s="757"/>
      <c r="I41" s="757"/>
      <c r="J41" s="757"/>
    </row>
    <row r="42" spans="1:10">
      <c r="A42" s="757"/>
      <c r="B42" s="757"/>
      <c r="C42" s="757"/>
      <c r="D42" s="757"/>
      <c r="E42" s="757"/>
      <c r="F42" s="757"/>
      <c r="G42" s="757"/>
      <c r="H42" s="757"/>
      <c r="I42" s="757"/>
      <c r="J42" s="757"/>
    </row>
    <row r="43" spans="1:10">
      <c r="A43" s="757"/>
      <c r="B43" s="757"/>
      <c r="C43" s="757"/>
      <c r="D43" s="757"/>
      <c r="E43" s="757"/>
      <c r="F43" s="757"/>
      <c r="G43" s="757"/>
      <c r="H43" s="757"/>
      <c r="I43" s="757"/>
      <c r="J43" s="757"/>
    </row>
    <row r="44" spans="1:10">
      <c r="A44" s="757"/>
      <c r="B44" s="757"/>
      <c r="C44" s="757"/>
      <c r="D44" s="757"/>
      <c r="E44" s="757"/>
      <c r="F44" s="757"/>
      <c r="G44" s="757"/>
      <c r="H44" s="757"/>
      <c r="I44" s="757"/>
      <c r="J44" s="757"/>
    </row>
    <row r="45" spans="1:10">
      <c r="A45" s="757"/>
      <c r="B45" s="757"/>
      <c r="C45" s="757"/>
      <c r="D45" s="757"/>
      <c r="E45" s="757"/>
      <c r="F45" s="757"/>
      <c r="G45" s="757"/>
      <c r="H45" s="757"/>
      <c r="I45" s="757"/>
      <c r="J45" s="757"/>
    </row>
    <row r="46" spans="1:10">
      <c r="A46" s="757"/>
      <c r="B46" s="757"/>
      <c r="C46" s="757"/>
      <c r="D46" s="757"/>
      <c r="E46" s="757"/>
      <c r="F46" s="757"/>
      <c r="G46" s="757"/>
      <c r="H46" s="757"/>
      <c r="I46" s="757"/>
      <c r="J46" s="757"/>
    </row>
    <row r="47" spans="1:10">
      <c r="A47" s="757"/>
      <c r="B47" s="757"/>
      <c r="C47" s="757"/>
      <c r="D47" s="757"/>
      <c r="E47" s="757"/>
      <c r="F47" s="757"/>
      <c r="G47" s="757"/>
      <c r="H47" s="757"/>
      <c r="I47" s="757"/>
      <c r="J47" s="757"/>
    </row>
    <row r="48" spans="1:10">
      <c r="A48" s="757"/>
      <c r="B48" s="757"/>
      <c r="C48" s="757"/>
      <c r="D48" s="757"/>
      <c r="E48" s="757"/>
      <c r="F48" s="757"/>
      <c r="G48" s="757"/>
      <c r="H48" s="757"/>
      <c r="I48" s="757"/>
      <c r="J48" s="757"/>
    </row>
    <row r="49" spans="1:10">
      <c r="A49" s="757"/>
      <c r="B49" s="757"/>
      <c r="C49" s="757"/>
      <c r="D49" s="757"/>
      <c r="E49" s="757"/>
      <c r="F49" s="757"/>
      <c r="G49" s="757"/>
      <c r="H49" s="757"/>
      <c r="I49" s="757"/>
      <c r="J49" s="757"/>
    </row>
    <row r="50" spans="1:10">
      <c r="A50" s="757"/>
      <c r="B50" s="757"/>
      <c r="C50" s="757"/>
      <c r="D50" s="757"/>
      <c r="E50" s="757"/>
      <c r="F50" s="757"/>
      <c r="G50" s="757"/>
      <c r="H50" s="757"/>
      <c r="I50" s="757"/>
      <c r="J50" s="757"/>
    </row>
    <row r="51" spans="1:10">
      <c r="A51" s="757"/>
      <c r="B51" s="757"/>
      <c r="C51" s="757"/>
      <c r="D51" s="757"/>
      <c r="E51" s="757"/>
      <c r="F51" s="757"/>
      <c r="G51" s="757"/>
      <c r="H51" s="757"/>
      <c r="I51" s="757"/>
      <c r="J51" s="757"/>
    </row>
    <row r="52" spans="1:10">
      <c r="A52" s="757"/>
      <c r="B52" s="757"/>
      <c r="C52" s="757"/>
      <c r="D52" s="757"/>
      <c r="E52" s="757"/>
      <c r="F52" s="757"/>
      <c r="G52" s="757"/>
      <c r="H52" s="757"/>
      <c r="I52" s="757"/>
      <c r="J52" s="757"/>
    </row>
    <row r="53" spans="1:10">
      <c r="A53" s="757"/>
      <c r="B53" s="757"/>
      <c r="C53" s="757"/>
      <c r="D53" s="757"/>
      <c r="E53" s="757"/>
      <c r="F53" s="757"/>
      <c r="G53" s="757"/>
      <c r="H53" s="757"/>
      <c r="I53" s="757"/>
      <c r="J53" s="757"/>
    </row>
    <row r="54" spans="1:10">
      <c r="A54" s="757"/>
      <c r="B54" s="757"/>
      <c r="C54" s="757"/>
      <c r="D54" s="757"/>
      <c r="E54" s="757"/>
      <c r="F54" s="757"/>
      <c r="G54" s="757"/>
      <c r="H54" s="757"/>
      <c r="I54" s="757"/>
      <c r="J54" s="757"/>
    </row>
    <row r="55" spans="1:10">
      <c r="A55" s="757"/>
      <c r="B55" s="757"/>
      <c r="C55" s="757"/>
      <c r="D55" s="757"/>
      <c r="E55" s="757"/>
      <c r="F55" s="757"/>
      <c r="G55" s="757"/>
      <c r="H55" s="757"/>
      <c r="I55" s="757"/>
      <c r="J55" s="757"/>
    </row>
    <row r="56" spans="1:10">
      <c r="A56" s="757"/>
      <c r="B56" s="757"/>
      <c r="C56" s="757"/>
      <c r="D56" s="757"/>
      <c r="E56" s="757"/>
      <c r="F56" s="757"/>
      <c r="G56" s="757"/>
      <c r="H56" s="757"/>
      <c r="I56" s="757"/>
      <c r="J56" s="757"/>
    </row>
    <row r="57" spans="1:10">
      <c r="A57" s="757"/>
      <c r="B57" s="757"/>
      <c r="C57" s="757"/>
      <c r="D57" s="757"/>
      <c r="E57" s="757"/>
      <c r="F57" s="757"/>
      <c r="G57" s="757"/>
      <c r="H57" s="757"/>
      <c r="I57" s="757"/>
      <c r="J57" s="757"/>
    </row>
    <row r="58" spans="1:10">
      <c r="A58" s="757"/>
      <c r="B58" s="757"/>
      <c r="C58" s="757"/>
      <c r="D58" s="757"/>
      <c r="E58" s="757"/>
      <c r="F58" s="757"/>
      <c r="G58" s="757"/>
      <c r="H58" s="757"/>
      <c r="I58" s="757"/>
      <c r="J58" s="757"/>
    </row>
    <row r="59" spans="1:10">
      <c r="A59" s="757"/>
      <c r="B59" s="757"/>
      <c r="C59" s="757"/>
      <c r="D59" s="757"/>
      <c r="E59" s="757"/>
      <c r="F59" s="757"/>
      <c r="G59" s="757"/>
      <c r="H59" s="757"/>
      <c r="I59" s="757"/>
      <c r="J59" s="757"/>
    </row>
    <row r="60" spans="1:10">
      <c r="A60" s="757"/>
      <c r="B60" s="757"/>
      <c r="C60" s="757"/>
      <c r="D60" s="757"/>
      <c r="E60" s="757"/>
      <c r="F60" s="757"/>
      <c r="G60" s="757"/>
      <c r="H60" s="757"/>
      <c r="I60" s="757"/>
      <c r="J60" s="757"/>
    </row>
    <row r="61" spans="1:10">
      <c r="A61" s="757"/>
      <c r="B61" s="757"/>
      <c r="C61" s="757"/>
      <c r="D61" s="757"/>
      <c r="E61" s="757"/>
      <c r="F61" s="757"/>
      <c r="G61" s="757"/>
      <c r="H61" s="757"/>
      <c r="I61" s="757"/>
      <c r="J61" s="757"/>
    </row>
    <row r="62" spans="1:10">
      <c r="A62" s="757"/>
      <c r="B62" s="757"/>
      <c r="C62" s="757"/>
      <c r="D62" s="757"/>
      <c r="E62" s="757"/>
      <c r="F62" s="757"/>
      <c r="G62" s="757"/>
      <c r="H62" s="757"/>
      <c r="I62" s="757"/>
      <c r="J62" s="757"/>
    </row>
    <row r="63" spans="1:10">
      <c r="A63" s="757"/>
      <c r="B63" s="757"/>
      <c r="C63" s="757"/>
      <c r="D63" s="757"/>
      <c r="E63" s="757"/>
      <c r="F63" s="757"/>
      <c r="G63" s="757"/>
      <c r="H63" s="757"/>
      <c r="I63" s="757"/>
      <c r="J63" s="757"/>
    </row>
    <row r="64" spans="1:10">
      <c r="A64" s="757"/>
      <c r="B64" s="757"/>
      <c r="C64" s="757"/>
      <c r="D64" s="757"/>
      <c r="E64" s="757"/>
      <c r="F64" s="757"/>
      <c r="G64" s="757"/>
      <c r="H64" s="757"/>
      <c r="I64" s="757"/>
      <c r="J64" s="757"/>
    </row>
    <row r="65" spans="1:10">
      <c r="A65" s="757"/>
      <c r="B65" s="757"/>
      <c r="C65" s="757"/>
      <c r="D65" s="757"/>
      <c r="E65" s="757"/>
      <c r="F65" s="757"/>
      <c r="G65" s="757"/>
      <c r="H65" s="757"/>
      <c r="I65" s="757"/>
      <c r="J65" s="757"/>
    </row>
    <row r="66" spans="1:10">
      <c r="A66" s="757"/>
      <c r="B66" s="757"/>
      <c r="C66" s="757"/>
      <c r="D66" s="757"/>
      <c r="E66" s="757"/>
      <c r="F66" s="757"/>
      <c r="G66" s="757"/>
      <c r="H66" s="757"/>
      <c r="I66" s="757"/>
      <c r="J66" s="757"/>
    </row>
    <row r="67" spans="1:10">
      <c r="A67" s="757"/>
      <c r="B67" s="757"/>
      <c r="C67" s="757"/>
      <c r="D67" s="757"/>
      <c r="E67" s="757"/>
      <c r="F67" s="757"/>
      <c r="G67" s="757"/>
      <c r="H67" s="757"/>
      <c r="I67" s="757"/>
      <c r="J67" s="757"/>
    </row>
    <row r="68" spans="1:10">
      <c r="A68" s="757"/>
      <c r="B68" s="757"/>
      <c r="C68" s="757"/>
      <c r="D68" s="757"/>
      <c r="E68" s="757"/>
      <c r="F68" s="757"/>
      <c r="G68" s="757"/>
      <c r="H68" s="757"/>
      <c r="I68" s="757"/>
      <c r="J68" s="757"/>
    </row>
    <row r="69" spans="1:10">
      <c r="A69" s="757"/>
      <c r="B69" s="757"/>
      <c r="C69" s="757"/>
      <c r="D69" s="757"/>
      <c r="E69" s="757"/>
      <c r="F69" s="757"/>
      <c r="G69" s="757"/>
      <c r="H69" s="757"/>
      <c r="I69" s="757"/>
      <c r="J69" s="757"/>
    </row>
    <row r="70" spans="1:10">
      <c r="A70" s="757"/>
      <c r="B70" s="757"/>
      <c r="C70" s="757"/>
      <c r="D70" s="757"/>
      <c r="E70" s="757"/>
      <c r="F70" s="757"/>
      <c r="G70" s="757"/>
      <c r="H70" s="757"/>
      <c r="I70" s="757"/>
      <c r="J70" s="757"/>
    </row>
    <row r="71" spans="1:10">
      <c r="A71" s="757"/>
      <c r="B71" s="757"/>
      <c r="C71" s="757"/>
      <c r="D71" s="757"/>
      <c r="E71" s="757"/>
      <c r="F71" s="757"/>
      <c r="G71" s="757"/>
      <c r="H71" s="757"/>
      <c r="I71" s="757"/>
      <c r="J71" s="757"/>
    </row>
    <row r="72" spans="1:10">
      <c r="A72" s="757"/>
      <c r="B72" s="757"/>
      <c r="C72" s="757"/>
      <c r="D72" s="757"/>
      <c r="E72" s="757"/>
      <c r="F72" s="757"/>
      <c r="G72" s="757"/>
      <c r="H72" s="757"/>
      <c r="I72" s="757"/>
      <c r="J72" s="757"/>
    </row>
    <row r="73" spans="1:10">
      <c r="A73" s="757"/>
      <c r="B73" s="757"/>
      <c r="C73" s="757"/>
      <c r="D73" s="757"/>
      <c r="E73" s="757"/>
      <c r="F73" s="757"/>
      <c r="G73" s="757"/>
      <c r="H73" s="757"/>
      <c r="I73" s="757"/>
      <c r="J73" s="757"/>
    </row>
    <row r="74" spans="1:10">
      <c r="A74" s="757"/>
      <c r="B74" s="757"/>
      <c r="C74" s="757"/>
      <c r="D74" s="757"/>
      <c r="E74" s="757"/>
      <c r="F74" s="757"/>
      <c r="G74" s="757"/>
      <c r="H74" s="757"/>
      <c r="I74" s="757"/>
      <c r="J74" s="757"/>
    </row>
    <row r="75" spans="1:10">
      <c r="A75" s="757"/>
      <c r="B75" s="757"/>
      <c r="C75" s="757"/>
      <c r="D75" s="757"/>
      <c r="E75" s="757"/>
      <c r="F75" s="757"/>
      <c r="G75" s="757"/>
      <c r="H75" s="757"/>
      <c r="I75" s="757"/>
      <c r="J75" s="757"/>
    </row>
    <row r="76" spans="1:10">
      <c r="A76" s="757"/>
      <c r="B76" s="757"/>
      <c r="C76" s="757"/>
      <c r="D76" s="757"/>
      <c r="E76" s="757"/>
      <c r="F76" s="757"/>
      <c r="G76" s="757"/>
      <c r="H76" s="757"/>
      <c r="I76" s="757"/>
      <c r="J76" s="757"/>
    </row>
    <row r="77" spans="1:10">
      <c r="A77" s="757"/>
      <c r="B77" s="757"/>
      <c r="C77" s="757"/>
      <c r="D77" s="757"/>
      <c r="E77" s="757"/>
      <c r="F77" s="757"/>
      <c r="G77" s="757"/>
      <c r="H77" s="757"/>
      <c r="I77" s="757"/>
      <c r="J77" s="757"/>
    </row>
    <row r="78" spans="1:10">
      <c r="A78" s="757"/>
      <c r="B78" s="757"/>
      <c r="C78" s="757"/>
      <c r="D78" s="757"/>
      <c r="E78" s="757"/>
      <c r="F78" s="757"/>
      <c r="G78" s="757"/>
      <c r="H78" s="757"/>
      <c r="I78" s="757"/>
      <c r="J78" s="757"/>
    </row>
    <row r="79" spans="1:10">
      <c r="A79" s="757"/>
      <c r="B79" s="757"/>
      <c r="C79" s="757"/>
      <c r="D79" s="757"/>
      <c r="E79" s="757"/>
      <c r="F79" s="757"/>
      <c r="G79" s="757"/>
      <c r="H79" s="757"/>
      <c r="I79" s="757"/>
      <c r="J79" s="757"/>
    </row>
    <row r="80" spans="1:10">
      <c r="A80" s="757"/>
      <c r="B80" s="757"/>
      <c r="C80" s="757"/>
      <c r="D80" s="757"/>
      <c r="E80" s="757"/>
      <c r="F80" s="757"/>
      <c r="G80" s="757"/>
      <c r="H80" s="757"/>
      <c r="I80" s="757"/>
      <c r="J80" s="757"/>
    </row>
    <row r="81" spans="1:10">
      <c r="A81" s="757"/>
      <c r="B81" s="757"/>
      <c r="C81" s="757"/>
      <c r="D81" s="757"/>
      <c r="E81" s="757"/>
      <c r="F81" s="757"/>
      <c r="G81" s="757"/>
      <c r="H81" s="757"/>
      <c r="I81" s="757"/>
      <c r="J81" s="757"/>
    </row>
    <row r="82" spans="1:10">
      <c r="A82" s="757"/>
      <c r="B82" s="757"/>
      <c r="C82" s="757"/>
      <c r="D82" s="757"/>
      <c r="E82" s="757"/>
      <c r="F82" s="757"/>
      <c r="G82" s="757"/>
      <c r="H82" s="757"/>
      <c r="I82" s="757"/>
      <c r="J82" s="757"/>
    </row>
    <row r="83" spans="1:10">
      <c r="A83" s="757"/>
      <c r="B83" s="757"/>
      <c r="C83" s="757"/>
      <c r="D83" s="757"/>
      <c r="E83" s="757"/>
      <c r="F83" s="757"/>
      <c r="G83" s="757"/>
      <c r="H83" s="757"/>
      <c r="I83" s="757"/>
      <c r="J83" s="757"/>
    </row>
    <row r="84" spans="1:10">
      <c r="A84" s="757"/>
      <c r="B84" s="757"/>
      <c r="C84" s="757"/>
      <c r="D84" s="757"/>
      <c r="E84" s="757"/>
      <c r="F84" s="757"/>
      <c r="G84" s="757"/>
      <c r="H84" s="757"/>
      <c r="I84" s="757"/>
      <c r="J84" s="757"/>
    </row>
    <row r="85" spans="1:10">
      <c r="A85" s="757"/>
      <c r="B85" s="757"/>
      <c r="C85" s="757"/>
      <c r="D85" s="757"/>
      <c r="E85" s="757"/>
      <c r="F85" s="757"/>
      <c r="G85" s="757"/>
      <c r="H85" s="757"/>
      <c r="I85" s="757"/>
      <c r="J85" s="757"/>
    </row>
    <row r="86" spans="1:10">
      <c r="A86" s="757"/>
      <c r="B86" s="757"/>
      <c r="C86" s="757"/>
      <c r="D86" s="757"/>
      <c r="E86" s="757"/>
      <c r="F86" s="757"/>
      <c r="G86" s="757"/>
      <c r="H86" s="757"/>
      <c r="I86" s="757"/>
      <c r="J86" s="757"/>
    </row>
    <row r="87" spans="1:10">
      <c r="A87" s="757"/>
      <c r="B87" s="757"/>
      <c r="C87" s="757"/>
      <c r="D87" s="757"/>
      <c r="E87" s="757"/>
      <c r="F87" s="757"/>
      <c r="G87" s="757"/>
      <c r="H87" s="757"/>
      <c r="I87" s="757"/>
      <c r="J87" s="757"/>
    </row>
    <row r="88" spans="1:10">
      <c r="A88" s="757"/>
      <c r="B88" s="757"/>
      <c r="C88" s="757"/>
      <c r="D88" s="757"/>
      <c r="E88" s="757"/>
      <c r="F88" s="757"/>
      <c r="G88" s="757"/>
      <c r="H88" s="757"/>
      <c r="I88" s="757"/>
      <c r="J88" s="757"/>
    </row>
    <row r="89" spans="1:10">
      <c r="A89" s="757"/>
      <c r="B89" s="757"/>
      <c r="C89" s="757"/>
      <c r="D89" s="757"/>
      <c r="E89" s="757"/>
      <c r="F89" s="757"/>
      <c r="G89" s="757"/>
      <c r="H89" s="757"/>
      <c r="I89" s="757"/>
      <c r="J89" s="757"/>
    </row>
    <row r="90" spans="1:10">
      <c r="A90" s="757"/>
      <c r="B90" s="757"/>
      <c r="C90" s="757"/>
      <c r="D90" s="757"/>
      <c r="E90" s="757"/>
      <c r="F90" s="757"/>
      <c r="G90" s="757"/>
      <c r="H90" s="757"/>
      <c r="I90" s="757"/>
      <c r="J90" s="757"/>
    </row>
    <row r="91" spans="1:10">
      <c r="A91" s="757"/>
      <c r="B91" s="757"/>
      <c r="C91" s="757"/>
      <c r="D91" s="757"/>
      <c r="E91" s="757"/>
      <c r="F91" s="757"/>
      <c r="G91" s="757"/>
      <c r="H91" s="757"/>
      <c r="I91" s="757"/>
      <c r="J91" s="757"/>
    </row>
    <row r="92" spans="1:10">
      <c r="A92" s="757"/>
      <c r="B92" s="757"/>
      <c r="C92" s="757"/>
      <c r="D92" s="757"/>
      <c r="E92" s="757"/>
      <c r="F92" s="757"/>
      <c r="G92" s="757"/>
      <c r="H92" s="757"/>
      <c r="I92" s="757"/>
      <c r="J92" s="757"/>
    </row>
    <row r="93" spans="1:10">
      <c r="A93" s="757"/>
      <c r="B93" s="757"/>
      <c r="C93" s="757"/>
      <c r="D93" s="757"/>
      <c r="E93" s="757"/>
      <c r="F93" s="757"/>
      <c r="G93" s="757"/>
      <c r="H93" s="757"/>
      <c r="I93" s="757"/>
      <c r="J93" s="757"/>
    </row>
    <row r="94" spans="1:10">
      <c r="A94" s="757"/>
      <c r="B94" s="757"/>
      <c r="C94" s="757"/>
      <c r="D94" s="757"/>
      <c r="E94" s="757"/>
      <c r="F94" s="757"/>
      <c r="G94" s="757"/>
      <c r="H94" s="757"/>
      <c r="I94" s="757"/>
      <c r="J94" s="757"/>
    </row>
    <row r="95" spans="1:10">
      <c r="A95" s="757"/>
      <c r="B95" s="757"/>
      <c r="C95" s="757"/>
      <c r="D95" s="757"/>
      <c r="E95" s="757"/>
      <c r="F95" s="757"/>
      <c r="G95" s="757"/>
      <c r="H95" s="757"/>
      <c r="I95" s="757"/>
      <c r="J95" s="757"/>
    </row>
    <row r="96" spans="1:10">
      <c r="A96" s="757"/>
      <c r="B96" s="757"/>
      <c r="C96" s="757"/>
      <c r="D96" s="757"/>
      <c r="E96" s="757"/>
      <c r="F96" s="757"/>
      <c r="G96" s="757"/>
      <c r="H96" s="757"/>
      <c r="I96" s="757"/>
      <c r="J96" s="757"/>
    </row>
    <row r="97" spans="1:10">
      <c r="A97" s="757"/>
      <c r="B97" s="757"/>
      <c r="C97" s="757"/>
      <c r="D97" s="757"/>
      <c r="E97" s="757"/>
      <c r="F97" s="757"/>
      <c r="G97" s="757"/>
      <c r="H97" s="757"/>
      <c r="I97" s="757"/>
      <c r="J97" s="757"/>
    </row>
    <row r="98" spans="1:10">
      <c r="A98" s="757"/>
      <c r="B98" s="757"/>
      <c r="C98" s="757"/>
      <c r="D98" s="757"/>
      <c r="E98" s="757"/>
      <c r="F98" s="757"/>
      <c r="G98" s="757"/>
      <c r="H98" s="757"/>
      <c r="I98" s="757"/>
      <c r="J98" s="757"/>
    </row>
    <row r="99" spans="1:10">
      <c r="A99" s="757"/>
      <c r="B99" s="757"/>
      <c r="C99" s="757"/>
      <c r="D99" s="757"/>
      <c r="E99" s="757"/>
      <c r="F99" s="757"/>
      <c r="G99" s="757"/>
      <c r="H99" s="757"/>
      <c r="I99" s="757"/>
      <c r="J99" s="757"/>
    </row>
    <row r="100" spans="1:10">
      <c r="A100" s="757"/>
      <c r="B100" s="757"/>
      <c r="C100" s="757"/>
      <c r="D100" s="757"/>
      <c r="E100" s="757"/>
      <c r="F100" s="757"/>
      <c r="G100" s="757"/>
      <c r="H100" s="757"/>
      <c r="I100" s="757"/>
      <c r="J100" s="757"/>
    </row>
    <row r="101" spans="1:10">
      <c r="A101" s="757"/>
      <c r="B101" s="757"/>
      <c r="C101" s="757"/>
      <c r="D101" s="757"/>
      <c r="E101" s="757"/>
      <c r="F101" s="757"/>
      <c r="G101" s="757"/>
      <c r="H101" s="757"/>
      <c r="I101" s="757"/>
      <c r="J101" s="757"/>
    </row>
    <row r="102" spans="1:10">
      <c r="A102" s="757"/>
      <c r="B102" s="757"/>
      <c r="C102" s="757"/>
      <c r="D102" s="757"/>
      <c r="E102" s="757"/>
      <c r="F102" s="757"/>
      <c r="G102" s="757"/>
      <c r="H102" s="757"/>
      <c r="I102" s="757"/>
      <c r="J102" s="757"/>
    </row>
    <row r="103" spans="1:10">
      <c r="A103" s="757"/>
      <c r="B103" s="757"/>
      <c r="C103" s="757"/>
      <c r="D103" s="757"/>
      <c r="E103" s="757"/>
      <c r="F103" s="757"/>
      <c r="G103" s="757"/>
      <c r="H103" s="757"/>
      <c r="I103" s="757"/>
      <c r="J103" s="757"/>
    </row>
    <row r="104" spans="1:10">
      <c r="A104" s="757"/>
      <c r="B104" s="757"/>
      <c r="C104" s="757"/>
      <c r="D104" s="757"/>
      <c r="E104" s="757"/>
      <c r="F104" s="757"/>
      <c r="G104" s="757"/>
      <c r="H104" s="757"/>
      <c r="I104" s="757"/>
      <c r="J104" s="757"/>
    </row>
    <row r="105" spans="1:10">
      <c r="A105" s="757"/>
      <c r="B105" s="757"/>
      <c r="C105" s="757"/>
      <c r="D105" s="757"/>
      <c r="E105" s="757"/>
      <c r="F105" s="757"/>
      <c r="G105" s="757"/>
      <c r="H105" s="757"/>
      <c r="I105" s="757"/>
      <c r="J105" s="757"/>
    </row>
    <row r="106" spans="1:10">
      <c r="A106" s="757"/>
      <c r="B106" s="757"/>
      <c r="C106" s="757"/>
      <c r="D106" s="757"/>
      <c r="E106" s="757"/>
      <c r="F106" s="757"/>
      <c r="G106" s="757"/>
      <c r="H106" s="757"/>
      <c r="I106" s="757"/>
      <c r="J106" s="757"/>
    </row>
    <row r="107" spans="1:10">
      <c r="A107" s="757"/>
      <c r="B107" s="757"/>
      <c r="C107" s="757"/>
      <c r="D107" s="757"/>
      <c r="E107" s="757"/>
      <c r="F107" s="757"/>
      <c r="G107" s="757"/>
      <c r="H107" s="757"/>
      <c r="I107" s="757"/>
      <c r="J107" s="757"/>
    </row>
    <row r="108" spans="1:10">
      <c r="A108" s="757"/>
      <c r="B108" s="757"/>
      <c r="C108" s="757"/>
      <c r="D108" s="757"/>
      <c r="E108" s="757"/>
      <c r="F108" s="757"/>
      <c r="G108" s="757"/>
      <c r="H108" s="757"/>
      <c r="I108" s="757"/>
      <c r="J108" s="757"/>
    </row>
    <row r="109" spans="1:10">
      <c r="A109" s="757"/>
      <c r="B109" s="757"/>
      <c r="C109" s="757"/>
      <c r="D109" s="757"/>
      <c r="E109" s="757"/>
      <c r="F109" s="757"/>
      <c r="G109" s="757"/>
      <c r="H109" s="757"/>
      <c r="I109" s="757"/>
      <c r="J109" s="757"/>
    </row>
    <row r="110" spans="1:10">
      <c r="A110" s="757"/>
      <c r="B110" s="757"/>
      <c r="C110" s="757"/>
      <c r="D110" s="757"/>
      <c r="E110" s="757"/>
      <c r="F110" s="757"/>
      <c r="G110" s="757"/>
      <c r="H110" s="757"/>
      <c r="I110" s="757"/>
      <c r="J110" s="757"/>
    </row>
    <row r="111" spans="1:10">
      <c r="A111" s="757"/>
      <c r="B111" s="757"/>
      <c r="C111" s="757"/>
      <c r="D111" s="757"/>
      <c r="E111" s="757"/>
      <c r="F111" s="757"/>
      <c r="G111" s="757"/>
      <c r="H111" s="757"/>
      <c r="I111" s="757"/>
      <c r="J111" s="757"/>
    </row>
    <row r="112" spans="1:10">
      <c r="A112" s="757"/>
      <c r="B112" s="757"/>
      <c r="C112" s="757"/>
      <c r="D112" s="757"/>
      <c r="E112" s="757"/>
      <c r="F112" s="757"/>
      <c r="G112" s="757"/>
      <c r="H112" s="757"/>
      <c r="I112" s="757"/>
      <c r="J112" s="757"/>
    </row>
    <row r="113" spans="1:10">
      <c r="A113" s="757"/>
      <c r="B113" s="757"/>
      <c r="C113" s="757"/>
      <c r="D113" s="757"/>
      <c r="E113" s="757"/>
      <c r="F113" s="757"/>
      <c r="G113" s="757"/>
      <c r="H113" s="757"/>
      <c r="I113" s="757"/>
      <c r="J113" s="757"/>
    </row>
    <row r="114" spans="1:10">
      <c r="A114" s="757"/>
      <c r="B114" s="757"/>
      <c r="C114" s="757"/>
      <c r="D114" s="757"/>
      <c r="E114" s="757"/>
      <c r="F114" s="757"/>
      <c r="G114" s="757"/>
      <c r="H114" s="757"/>
      <c r="I114" s="757"/>
      <c r="J114" s="757"/>
    </row>
    <row r="115" spans="1:10">
      <c r="A115" s="757"/>
      <c r="B115" s="757"/>
      <c r="C115" s="757"/>
      <c r="D115" s="757"/>
      <c r="E115" s="757"/>
      <c r="F115" s="757"/>
      <c r="G115" s="757"/>
      <c r="H115" s="757"/>
      <c r="I115" s="757"/>
      <c r="J115" s="757"/>
    </row>
    <row r="116" spans="1:10">
      <c r="A116" s="757"/>
      <c r="B116" s="757"/>
      <c r="C116" s="757"/>
      <c r="D116" s="757"/>
      <c r="E116" s="757"/>
      <c r="F116" s="757"/>
      <c r="G116" s="757"/>
      <c r="H116" s="757"/>
      <c r="I116" s="757"/>
      <c r="J116" s="757"/>
    </row>
    <row r="117" spans="1:10">
      <c r="A117" s="757"/>
      <c r="B117" s="757"/>
      <c r="C117" s="757"/>
      <c r="D117" s="757"/>
      <c r="E117" s="757"/>
      <c r="F117" s="757"/>
      <c r="G117" s="757"/>
      <c r="H117" s="757"/>
      <c r="I117" s="757"/>
      <c r="J117" s="757"/>
    </row>
    <row r="118" spans="1:10">
      <c r="A118" s="757"/>
      <c r="B118" s="757"/>
      <c r="C118" s="757"/>
      <c r="D118" s="757"/>
      <c r="E118" s="757"/>
      <c r="F118" s="757"/>
      <c r="G118" s="757"/>
      <c r="H118" s="757"/>
      <c r="I118" s="757"/>
      <c r="J118" s="757"/>
    </row>
    <row r="119" spans="1:10">
      <c r="A119" s="757"/>
      <c r="B119" s="757"/>
      <c r="C119" s="757"/>
      <c r="D119" s="757"/>
      <c r="E119" s="757"/>
      <c r="F119" s="757"/>
      <c r="G119" s="757"/>
      <c r="H119" s="757"/>
      <c r="I119" s="757"/>
      <c r="J119" s="757"/>
    </row>
    <row r="120" spans="1:10">
      <c r="A120" s="757"/>
      <c r="B120" s="757"/>
      <c r="C120" s="757"/>
      <c r="D120" s="757"/>
      <c r="E120" s="757"/>
      <c r="F120" s="757"/>
      <c r="G120" s="757"/>
      <c r="H120" s="757"/>
      <c r="I120" s="757"/>
      <c r="J120" s="757"/>
    </row>
    <row r="121" spans="1:10">
      <c r="A121" s="757"/>
      <c r="B121" s="757"/>
      <c r="C121" s="757"/>
      <c r="D121" s="757"/>
      <c r="E121" s="757"/>
      <c r="F121" s="757"/>
      <c r="G121" s="757"/>
      <c r="H121" s="757"/>
      <c r="I121" s="757"/>
      <c r="J121" s="757"/>
    </row>
    <row r="122" spans="1:10">
      <c r="A122" s="757"/>
      <c r="B122" s="757"/>
      <c r="C122" s="757"/>
      <c r="D122" s="757"/>
      <c r="E122" s="757"/>
      <c r="F122" s="757"/>
      <c r="G122" s="757"/>
      <c r="H122" s="757"/>
      <c r="I122" s="757"/>
      <c r="J122" s="757"/>
    </row>
    <row r="123" spans="1:10">
      <c r="A123" s="757"/>
      <c r="B123" s="757"/>
      <c r="C123" s="757"/>
      <c r="D123" s="757"/>
      <c r="E123" s="757"/>
      <c r="F123" s="757"/>
      <c r="G123" s="757"/>
      <c r="H123" s="757"/>
      <c r="I123" s="757"/>
      <c r="J123" s="757"/>
    </row>
    <row r="124" spans="1:10">
      <c r="A124" s="757"/>
      <c r="B124" s="757"/>
      <c r="C124" s="757"/>
      <c r="D124" s="757"/>
      <c r="E124" s="757"/>
      <c r="F124" s="757"/>
      <c r="G124" s="757"/>
      <c r="H124" s="757"/>
      <c r="I124" s="757"/>
      <c r="J124" s="757"/>
    </row>
    <row r="125" spans="1:10">
      <c r="A125" s="757"/>
      <c r="B125" s="757"/>
      <c r="C125" s="757"/>
      <c r="D125" s="757"/>
      <c r="E125" s="757"/>
      <c r="F125" s="757"/>
      <c r="G125" s="757"/>
      <c r="H125" s="757"/>
      <c r="I125" s="757"/>
      <c r="J125" s="757"/>
    </row>
    <row r="126" spans="1:10">
      <c r="A126" s="757"/>
      <c r="B126" s="757"/>
      <c r="C126" s="757"/>
      <c r="D126" s="757"/>
      <c r="E126" s="757"/>
      <c r="F126" s="757"/>
      <c r="G126" s="757"/>
      <c r="H126" s="757"/>
      <c r="I126" s="757"/>
      <c r="J126" s="757"/>
    </row>
    <row r="127" spans="1:10">
      <c r="A127" s="757"/>
      <c r="B127" s="757"/>
      <c r="C127" s="757"/>
      <c r="D127" s="757"/>
      <c r="E127" s="757"/>
      <c r="F127" s="757"/>
      <c r="G127" s="757"/>
      <c r="H127" s="757"/>
      <c r="I127" s="757"/>
      <c r="J127" s="757"/>
    </row>
    <row r="128" spans="1:10">
      <c r="A128" s="757"/>
      <c r="B128" s="757"/>
      <c r="C128" s="757"/>
      <c r="D128" s="757"/>
      <c r="E128" s="757"/>
      <c r="F128" s="757"/>
      <c r="G128" s="757"/>
      <c r="H128" s="757"/>
      <c r="I128" s="757"/>
      <c r="J128" s="757"/>
    </row>
  </sheetData>
  <sheetProtection password="CA6E" sheet="1" objects="1" scenarios="1"/>
  <mergeCells count="32">
    <mergeCell ref="C35:I35"/>
    <mergeCell ref="A36:J36"/>
    <mergeCell ref="A37:J37"/>
    <mergeCell ref="A30:J30"/>
    <mergeCell ref="A31:J31"/>
    <mergeCell ref="A33:J33"/>
    <mergeCell ref="C3:I3"/>
    <mergeCell ref="C5:I5"/>
    <mergeCell ref="C6:I6"/>
    <mergeCell ref="A7:J7"/>
    <mergeCell ref="C22:I22"/>
    <mergeCell ref="C29:I29"/>
    <mergeCell ref="B24:I24"/>
    <mergeCell ref="B25:I25"/>
    <mergeCell ref="B26:H26"/>
    <mergeCell ref="A27:I27"/>
    <mergeCell ref="A23:J23"/>
    <mergeCell ref="A1:J1"/>
    <mergeCell ref="D2:H2"/>
    <mergeCell ref="B20:G20"/>
    <mergeCell ref="B17:G17"/>
    <mergeCell ref="B12:G12"/>
    <mergeCell ref="B13:G13"/>
    <mergeCell ref="B8:G8"/>
    <mergeCell ref="B9:G9"/>
    <mergeCell ref="B10:G10"/>
    <mergeCell ref="B11:G11"/>
    <mergeCell ref="B14:I14"/>
    <mergeCell ref="B15:G15"/>
    <mergeCell ref="B16:G16"/>
    <mergeCell ref="B18:G18"/>
    <mergeCell ref="B19:G19"/>
  </mergeCells>
  <conditionalFormatting sqref="I13 I11">
    <cfRule type="cellIs" dxfId="8" priority="4" operator="lessThan">
      <formula>0</formula>
    </cfRule>
  </conditionalFormatting>
  <pageMargins left="0.51181102362204722" right="0.11811023622047245" top="0.74803149606299213" bottom="0.74803149606299213" header="0.31496062992125984" footer="0.31496062992125984"/>
  <pageSetup paperSize="9" scale="80"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2"/>
  <dimension ref="A1:F47"/>
  <sheetViews>
    <sheetView workbookViewId="0">
      <selection activeCell="D3" sqref="D3"/>
    </sheetView>
  </sheetViews>
  <sheetFormatPr defaultRowHeight="15"/>
  <cols>
    <col min="2" max="2" width="58.85546875" customWidth="1"/>
    <col min="3" max="3" width="16.5703125" customWidth="1"/>
    <col min="4" max="4" width="13.28515625" customWidth="1"/>
    <col min="5" max="5" width="15.140625" customWidth="1"/>
    <col min="6" max="6" width="11.5703125" customWidth="1"/>
  </cols>
  <sheetData>
    <row r="1" spans="1:6" ht="42.75">
      <c r="A1" s="14" t="s">
        <v>21</v>
      </c>
      <c r="B1" s="15" t="s">
        <v>22</v>
      </c>
      <c r="C1" s="15" t="s">
        <v>23</v>
      </c>
      <c r="D1" s="16" t="s">
        <v>24</v>
      </c>
      <c r="E1" s="74" t="s">
        <v>3760</v>
      </c>
      <c r="F1" s="74" t="s">
        <v>4166</v>
      </c>
    </row>
    <row r="2" spans="1:6">
      <c r="A2" s="7">
        <v>1</v>
      </c>
      <c r="B2" s="6">
        <v>2</v>
      </c>
      <c r="C2" s="6">
        <v>3</v>
      </c>
      <c r="D2" s="6">
        <v>4</v>
      </c>
      <c r="E2" s="6">
        <v>5</v>
      </c>
      <c r="F2" s="255">
        <v>6</v>
      </c>
    </row>
    <row r="3" spans="1:6" ht="28.5">
      <c r="A3" s="41" t="s">
        <v>25</v>
      </c>
      <c r="B3" s="18" t="s">
        <v>26</v>
      </c>
      <c r="C3" s="12" t="s">
        <v>27</v>
      </c>
      <c r="D3" s="19"/>
      <c r="E3" s="75"/>
      <c r="F3" s="75"/>
    </row>
    <row r="4" spans="1:6">
      <c r="A4" s="42" t="s">
        <v>15</v>
      </c>
      <c r="B4" s="20" t="s">
        <v>28</v>
      </c>
      <c r="C4" s="21">
        <v>71</v>
      </c>
      <c r="D4" s="22"/>
      <c r="E4" s="76"/>
      <c r="F4" s="76"/>
    </row>
    <row r="5" spans="1:6" ht="30">
      <c r="A5" s="13" t="s">
        <v>29</v>
      </c>
      <c r="B5" s="23" t="s">
        <v>30</v>
      </c>
      <c r="C5" s="17">
        <v>711</v>
      </c>
      <c r="D5" s="24"/>
      <c r="E5" s="77"/>
      <c r="F5" s="77"/>
    </row>
    <row r="6" spans="1:6">
      <c r="A6" s="13" t="s">
        <v>31</v>
      </c>
      <c r="B6" s="23" t="s">
        <v>32</v>
      </c>
      <c r="C6" s="17">
        <v>711180</v>
      </c>
      <c r="D6" s="24"/>
      <c r="E6" s="77"/>
      <c r="F6" s="77"/>
    </row>
    <row r="7" spans="1:6">
      <c r="A7" s="13" t="s">
        <v>33</v>
      </c>
      <c r="B7" s="23" t="s">
        <v>34</v>
      </c>
      <c r="C7" s="17">
        <v>713</v>
      </c>
      <c r="D7" s="24"/>
      <c r="E7" s="77"/>
      <c r="F7" s="77"/>
    </row>
    <row r="8" spans="1:6">
      <c r="A8" s="13" t="s">
        <v>35</v>
      </c>
      <c r="B8" s="23" t="s">
        <v>36</v>
      </c>
      <c r="C8" s="17"/>
      <c r="D8" s="24"/>
      <c r="E8" s="77"/>
      <c r="F8" s="77"/>
    </row>
    <row r="9" spans="1:6">
      <c r="A9" s="43" t="s">
        <v>16</v>
      </c>
      <c r="B9" s="25" t="s">
        <v>37</v>
      </c>
      <c r="C9" s="26">
        <v>74</v>
      </c>
      <c r="D9" s="27"/>
      <c r="E9" s="78"/>
      <c r="F9" s="78"/>
    </row>
    <row r="10" spans="1:6">
      <c r="A10" s="44" t="s">
        <v>38</v>
      </c>
      <c r="B10" s="28" t="s">
        <v>39</v>
      </c>
      <c r="C10" s="29">
        <v>741510</v>
      </c>
      <c r="D10" s="30"/>
      <c r="E10" s="79"/>
      <c r="F10" s="79"/>
    </row>
    <row r="11" spans="1:6">
      <c r="A11" s="45" t="s">
        <v>40</v>
      </c>
      <c r="B11" s="28" t="s">
        <v>41</v>
      </c>
      <c r="C11" s="29">
        <v>741520</v>
      </c>
      <c r="D11" s="30"/>
      <c r="E11" s="79"/>
      <c r="F11" s="79"/>
    </row>
    <row r="12" spans="1:6">
      <c r="A12" s="45" t="s">
        <v>40</v>
      </c>
      <c r="B12" s="28" t="s">
        <v>42</v>
      </c>
      <c r="C12" s="29">
        <v>741534</v>
      </c>
      <c r="D12" s="30"/>
      <c r="E12" s="79"/>
      <c r="F12" s="79"/>
    </row>
    <row r="13" spans="1:6">
      <c r="A13" s="45" t="s">
        <v>44</v>
      </c>
      <c r="B13" s="31" t="s">
        <v>43</v>
      </c>
      <c r="C13" s="29">
        <v>741542</v>
      </c>
      <c r="D13" s="30"/>
      <c r="E13" s="79"/>
      <c r="F13" s="79"/>
    </row>
    <row r="14" spans="1:6">
      <c r="A14" s="45" t="s">
        <v>46</v>
      </c>
      <c r="B14" s="47" t="s">
        <v>45</v>
      </c>
      <c r="C14" s="48">
        <v>741411</v>
      </c>
      <c r="D14" s="30"/>
      <c r="E14" s="79"/>
      <c r="F14" s="79"/>
    </row>
    <row r="15" spans="1:6">
      <c r="A15" s="45" t="s">
        <v>48</v>
      </c>
      <c r="B15" s="47" t="s">
        <v>47</v>
      </c>
      <c r="C15" s="49">
        <v>742252</v>
      </c>
      <c r="D15" s="30"/>
      <c r="E15" s="79"/>
      <c r="F15" s="79"/>
    </row>
    <row r="16" spans="1:6">
      <c r="A16" s="45" t="s">
        <v>50</v>
      </c>
      <c r="B16" s="47" t="s">
        <v>49</v>
      </c>
      <c r="C16" s="49">
        <v>742253</v>
      </c>
      <c r="D16" s="30"/>
      <c r="E16" s="79"/>
      <c r="F16" s="79"/>
    </row>
    <row r="17" spans="1:6" ht="45">
      <c r="A17" s="45" t="s">
        <v>91</v>
      </c>
      <c r="B17" s="50" t="s">
        <v>51</v>
      </c>
      <c r="C17" s="49">
        <v>742340</v>
      </c>
      <c r="D17" s="30"/>
      <c r="E17" s="79"/>
      <c r="F17" s="79"/>
    </row>
    <row r="18" spans="1:6">
      <c r="A18" s="8" t="s">
        <v>92</v>
      </c>
      <c r="B18" s="50" t="s">
        <v>52</v>
      </c>
      <c r="C18" s="51"/>
      <c r="D18" s="30"/>
      <c r="E18" s="79"/>
      <c r="F18" s="79"/>
    </row>
    <row r="19" spans="1:6">
      <c r="A19" s="46" t="s">
        <v>17</v>
      </c>
      <c r="B19" s="32" t="s">
        <v>53</v>
      </c>
      <c r="C19" s="33" t="s">
        <v>54</v>
      </c>
      <c r="D19" s="34"/>
      <c r="E19" s="80"/>
      <c r="F19" s="80"/>
    </row>
    <row r="20" spans="1:6">
      <c r="A20" s="42" t="s">
        <v>18</v>
      </c>
      <c r="B20" s="20" t="s">
        <v>55</v>
      </c>
      <c r="C20" s="21">
        <v>733</v>
      </c>
      <c r="D20" s="22"/>
      <c r="E20" s="76"/>
      <c r="F20" s="76"/>
    </row>
    <row r="21" spans="1:6">
      <c r="A21" s="42" t="s">
        <v>19</v>
      </c>
      <c r="B21" s="20" t="s">
        <v>56</v>
      </c>
      <c r="C21" s="21">
        <v>771</v>
      </c>
      <c r="D21" s="22"/>
      <c r="E21" s="76"/>
      <c r="F21" s="76"/>
    </row>
    <row r="22" spans="1:6">
      <c r="A22" s="42" t="s">
        <v>20</v>
      </c>
      <c r="B22" s="20" t="s">
        <v>57</v>
      </c>
      <c r="C22" s="21">
        <v>8</v>
      </c>
      <c r="D22" s="22"/>
      <c r="E22" s="76"/>
      <c r="F22" s="76"/>
    </row>
    <row r="23" spans="1:6" ht="28.5">
      <c r="A23" s="11" t="s">
        <v>58</v>
      </c>
      <c r="B23" s="18" t="s">
        <v>59</v>
      </c>
      <c r="C23" s="12" t="s">
        <v>60</v>
      </c>
      <c r="D23" s="19"/>
      <c r="E23" s="75"/>
      <c r="F23" s="75"/>
    </row>
    <row r="24" spans="1:6">
      <c r="A24" s="42" t="s">
        <v>15</v>
      </c>
      <c r="B24" s="20" t="s">
        <v>61</v>
      </c>
      <c r="C24" s="21" t="s">
        <v>62</v>
      </c>
      <c r="D24" s="22"/>
      <c r="E24" s="76"/>
      <c r="F24" s="76"/>
    </row>
    <row r="25" spans="1:6">
      <c r="A25" s="13" t="s">
        <v>29</v>
      </c>
      <c r="B25" s="23" t="s">
        <v>63</v>
      </c>
      <c r="C25" s="17">
        <v>41</v>
      </c>
      <c r="D25" s="24"/>
      <c r="E25" s="77"/>
      <c r="F25" s="77"/>
    </row>
    <row r="26" spans="1:6">
      <c r="A26" s="13" t="s">
        <v>31</v>
      </c>
      <c r="B26" s="23" t="s">
        <v>64</v>
      </c>
      <c r="C26" s="17">
        <v>42</v>
      </c>
      <c r="D26" s="24"/>
      <c r="E26" s="77"/>
      <c r="F26" s="77"/>
    </row>
    <row r="27" spans="1:6">
      <c r="A27" s="13" t="s">
        <v>33</v>
      </c>
      <c r="B27" s="23" t="s">
        <v>65</v>
      </c>
      <c r="C27" s="17">
        <v>43</v>
      </c>
      <c r="D27" s="24"/>
      <c r="E27" s="77"/>
      <c r="F27" s="77"/>
    </row>
    <row r="28" spans="1:6">
      <c r="A28" s="13" t="s">
        <v>66</v>
      </c>
      <c r="B28" s="23" t="s">
        <v>67</v>
      </c>
      <c r="C28" s="17">
        <v>44</v>
      </c>
      <c r="D28" s="24"/>
      <c r="E28" s="77"/>
      <c r="F28" s="77"/>
    </row>
    <row r="29" spans="1:6">
      <c r="A29" s="13" t="s">
        <v>68</v>
      </c>
      <c r="B29" s="23" t="s">
        <v>69</v>
      </c>
      <c r="C29" s="17">
        <v>45</v>
      </c>
      <c r="D29" s="24"/>
      <c r="E29" s="77"/>
      <c r="F29" s="77"/>
    </row>
    <row r="30" spans="1:6">
      <c r="A30" s="13" t="s">
        <v>35</v>
      </c>
      <c r="B30" s="23" t="s">
        <v>70</v>
      </c>
      <c r="C30" s="17">
        <v>47</v>
      </c>
      <c r="D30" s="24"/>
      <c r="E30" s="77"/>
      <c r="F30" s="77"/>
    </row>
    <row r="31" spans="1:6">
      <c r="A31" s="13" t="s">
        <v>71</v>
      </c>
      <c r="B31" s="23" t="s">
        <v>72</v>
      </c>
      <c r="C31" s="17" t="s">
        <v>73</v>
      </c>
      <c r="D31" s="24"/>
      <c r="E31" s="77"/>
      <c r="F31" s="77"/>
    </row>
    <row r="32" spans="1:6">
      <c r="A32" s="42" t="s">
        <v>16</v>
      </c>
      <c r="B32" s="20" t="s">
        <v>55</v>
      </c>
      <c r="C32" s="21">
        <v>463</v>
      </c>
      <c r="D32" s="22"/>
      <c r="E32" s="76"/>
      <c r="F32" s="76"/>
    </row>
    <row r="33" spans="1:6">
      <c r="A33" s="42" t="s">
        <v>17</v>
      </c>
      <c r="B33" s="20" t="s">
        <v>74</v>
      </c>
      <c r="C33" s="21">
        <v>5</v>
      </c>
      <c r="D33" s="22"/>
      <c r="E33" s="76"/>
      <c r="F33" s="76"/>
    </row>
    <row r="34" spans="1:6">
      <c r="A34" s="42" t="s">
        <v>18</v>
      </c>
      <c r="B34" s="20" t="s">
        <v>75</v>
      </c>
      <c r="C34" s="21">
        <v>62</v>
      </c>
      <c r="D34" s="22"/>
      <c r="E34" s="76"/>
      <c r="F34" s="76"/>
    </row>
    <row r="35" spans="1:6" ht="28.5">
      <c r="A35" s="11" t="s">
        <v>76</v>
      </c>
      <c r="B35" s="18" t="s">
        <v>77</v>
      </c>
      <c r="C35" s="12">
        <v>9</v>
      </c>
      <c r="D35" s="19"/>
      <c r="E35" s="75"/>
      <c r="F35" s="75"/>
    </row>
    <row r="36" spans="1:6">
      <c r="A36" s="42" t="s">
        <v>15</v>
      </c>
      <c r="B36" s="20" t="s">
        <v>78</v>
      </c>
      <c r="C36" s="21">
        <v>91</v>
      </c>
      <c r="D36" s="22"/>
      <c r="E36" s="76"/>
      <c r="F36" s="76"/>
    </row>
    <row r="37" spans="1:6">
      <c r="A37" s="13" t="s">
        <v>29</v>
      </c>
      <c r="B37" s="23" t="s">
        <v>79</v>
      </c>
      <c r="C37" s="17">
        <v>911</v>
      </c>
      <c r="D37" s="24"/>
      <c r="E37" s="77"/>
      <c r="F37" s="77"/>
    </row>
    <row r="38" spans="1:6">
      <c r="A38" s="13" t="s">
        <v>31</v>
      </c>
      <c r="B38" s="23" t="s">
        <v>80</v>
      </c>
      <c r="C38" s="17">
        <v>912</v>
      </c>
      <c r="D38" s="24"/>
      <c r="E38" s="77"/>
      <c r="F38" s="77"/>
    </row>
    <row r="39" spans="1:6" ht="28.5">
      <c r="A39" s="42" t="s">
        <v>16</v>
      </c>
      <c r="B39" s="20" t="s">
        <v>81</v>
      </c>
      <c r="C39" s="21">
        <v>92</v>
      </c>
      <c r="D39" s="22"/>
      <c r="E39" s="76"/>
      <c r="F39" s="76"/>
    </row>
    <row r="40" spans="1:6" ht="28.5">
      <c r="A40" s="11" t="s">
        <v>82</v>
      </c>
      <c r="B40" s="18" t="s">
        <v>83</v>
      </c>
      <c r="C40" s="12">
        <v>6</v>
      </c>
      <c r="D40" s="19"/>
      <c r="E40" s="75"/>
      <c r="F40" s="75"/>
    </row>
    <row r="41" spans="1:6">
      <c r="A41" s="42" t="s">
        <v>15</v>
      </c>
      <c r="B41" s="20" t="s">
        <v>84</v>
      </c>
      <c r="C41" s="21">
        <v>61</v>
      </c>
      <c r="D41" s="22"/>
      <c r="E41" s="76"/>
      <c r="F41" s="76"/>
    </row>
    <row r="42" spans="1:6">
      <c r="A42" s="13" t="s">
        <v>29</v>
      </c>
      <c r="B42" s="23" t="s">
        <v>85</v>
      </c>
      <c r="C42" s="35">
        <v>611</v>
      </c>
      <c r="D42" s="36"/>
      <c r="E42" s="81"/>
      <c r="F42" s="81"/>
    </row>
    <row r="43" spans="1:6">
      <c r="A43" s="13" t="s">
        <v>31</v>
      </c>
      <c r="B43" s="23" t="s">
        <v>86</v>
      </c>
      <c r="C43" s="35">
        <v>612</v>
      </c>
      <c r="D43" s="36"/>
      <c r="E43" s="81"/>
      <c r="F43" s="81"/>
    </row>
    <row r="44" spans="1:6">
      <c r="A44" s="13" t="s">
        <v>33</v>
      </c>
      <c r="B44" s="23" t="s">
        <v>87</v>
      </c>
      <c r="C44" s="35">
        <v>613</v>
      </c>
      <c r="D44" s="36"/>
      <c r="E44" s="81"/>
      <c r="F44" s="81"/>
    </row>
    <row r="45" spans="1:6">
      <c r="A45" s="42" t="s">
        <v>16</v>
      </c>
      <c r="B45" s="20" t="s">
        <v>88</v>
      </c>
      <c r="C45" s="37">
        <v>6211</v>
      </c>
      <c r="D45" s="38"/>
      <c r="E45" s="82"/>
      <c r="F45" s="82"/>
    </row>
    <row r="46" spans="1:6">
      <c r="A46" s="10"/>
      <c r="B46" s="9"/>
      <c r="C46" s="39"/>
      <c r="D46" s="40"/>
      <c r="E46" s="83"/>
      <c r="F46" s="83"/>
    </row>
    <row r="47" spans="1:6" ht="28.5">
      <c r="A47" s="11" t="s">
        <v>89</v>
      </c>
      <c r="B47" s="18" t="s">
        <v>90</v>
      </c>
      <c r="C47" s="12">
        <v>3</v>
      </c>
      <c r="D47" s="19"/>
      <c r="E47" s="75"/>
      <c r="F47" s="7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tabColor theme="0"/>
  </sheetPr>
  <dimension ref="A1:N100"/>
  <sheetViews>
    <sheetView workbookViewId="0">
      <selection activeCell="D75" sqref="D75"/>
    </sheetView>
  </sheetViews>
  <sheetFormatPr defaultRowHeight="15"/>
  <cols>
    <col min="1" max="1" width="11.7109375" style="84" customWidth="1"/>
    <col min="2" max="2" width="9.42578125" style="84" customWidth="1"/>
    <col min="3" max="3" width="51.7109375" style="84" customWidth="1"/>
    <col min="4" max="4" width="12.42578125" style="84" customWidth="1"/>
    <col min="5" max="5" width="6.7109375" style="84" customWidth="1"/>
    <col min="6" max="6" width="11.7109375" style="84" customWidth="1"/>
    <col min="7" max="7" width="12.7109375" style="84" customWidth="1"/>
    <col min="8" max="9" width="9.140625" style="84"/>
    <col min="10" max="10" width="8.140625" style="84" customWidth="1"/>
    <col min="11" max="11" width="36.7109375" style="84" customWidth="1"/>
    <col min="12" max="12" width="14.28515625" style="84" customWidth="1"/>
    <col min="13" max="13" width="14.42578125" style="84" customWidth="1"/>
    <col min="14" max="14" width="15.28515625" style="84" customWidth="1"/>
    <col min="15" max="51" width="9.140625" style="84" customWidth="1"/>
    <col min="52" max="16384" width="9.140625" style="84"/>
  </cols>
  <sheetData>
    <row r="1" spans="1:14">
      <c r="C1" s="853" t="s">
        <v>5138</v>
      </c>
      <c r="D1" s="853"/>
      <c r="E1" s="853"/>
      <c r="F1" s="853"/>
    </row>
    <row r="2" spans="1:14" ht="31.5" customHeight="1">
      <c r="A2" s="852" t="s">
        <v>5279</v>
      </c>
      <c r="B2" s="852"/>
      <c r="C2" s="852"/>
      <c r="D2" s="852"/>
      <c r="E2" s="852"/>
      <c r="F2" s="852"/>
      <c r="G2" s="852"/>
    </row>
    <row r="4" spans="1:14" ht="15" customHeight="1">
      <c r="A4" s="859" t="s">
        <v>3680</v>
      </c>
      <c r="B4" s="859" t="s">
        <v>3681</v>
      </c>
      <c r="C4" s="859" t="s">
        <v>3682</v>
      </c>
      <c r="D4" s="854" t="s">
        <v>5258</v>
      </c>
      <c r="E4" s="855"/>
      <c r="F4" s="856"/>
      <c r="G4" s="857" t="s">
        <v>4169</v>
      </c>
    </row>
    <row r="5" spans="1:14" ht="35.25" customHeight="1">
      <c r="A5" s="860"/>
      <c r="B5" s="860"/>
      <c r="C5" s="860"/>
      <c r="D5" s="179" t="s">
        <v>24</v>
      </c>
      <c r="E5" s="238" t="s">
        <v>3683</v>
      </c>
      <c r="F5" s="179" t="s">
        <v>4168</v>
      </c>
      <c r="G5" s="858"/>
      <c r="J5" s="267"/>
      <c r="K5" s="330"/>
      <c r="L5" s="819"/>
      <c r="M5" s="819"/>
      <c r="N5" s="819"/>
    </row>
    <row r="6" spans="1:14">
      <c r="A6" s="180"/>
      <c r="B6" s="180"/>
      <c r="C6" s="181" t="s">
        <v>3684</v>
      </c>
      <c r="D6" s="182"/>
      <c r="E6" s="246">
        <f>IFERROR(D6/$D$98,"-")</f>
        <v>0</v>
      </c>
      <c r="F6" s="182"/>
      <c r="G6" s="230">
        <f>SUM(D6,F6)</f>
        <v>0</v>
      </c>
      <c r="J6" s="330"/>
      <c r="K6" s="330"/>
      <c r="L6" s="820"/>
      <c r="M6" s="820"/>
      <c r="N6" s="820"/>
    </row>
    <row r="7" spans="1:14">
      <c r="A7" s="183" t="s">
        <v>2205</v>
      </c>
      <c r="B7" s="184"/>
      <c r="C7" s="185" t="s">
        <v>3685</v>
      </c>
      <c r="D7" s="186">
        <f>SUM(D8,D43,D50,D81,D83)</f>
        <v>474383900</v>
      </c>
      <c r="E7" s="247">
        <f t="shared" ref="E7:E70" si="0">IFERROR(D7/$D$98,"-")</f>
        <v>1</v>
      </c>
      <c r="F7" s="186">
        <f>SUM(F8,F43,F50,F81,F83)</f>
        <v>13773771</v>
      </c>
      <c r="G7" s="231">
        <f>SUM(G8,G43,G50,G81,G83)</f>
        <v>488157671</v>
      </c>
      <c r="J7" s="824"/>
      <c r="K7" s="330"/>
      <c r="L7" s="821"/>
      <c r="M7" s="821"/>
      <c r="N7" s="821"/>
    </row>
    <row r="8" spans="1:14">
      <c r="A8" s="187">
        <v>710000</v>
      </c>
      <c r="B8" s="187"/>
      <c r="C8" s="188" t="s">
        <v>3686</v>
      </c>
      <c r="D8" s="189">
        <f>SUM(D9,D22,D32,D41)</f>
        <v>202000000</v>
      </c>
      <c r="E8" s="248">
        <f t="shared" si="0"/>
        <v>0.4258154629615381</v>
      </c>
      <c r="F8" s="189">
        <f>SUM(F9,F22,F32,F41)</f>
        <v>0</v>
      </c>
      <c r="G8" s="232">
        <f>SUM(G9,G22,G32,G41)</f>
        <v>202000000</v>
      </c>
      <c r="J8" s="824"/>
      <c r="K8" s="330"/>
      <c r="L8" s="821"/>
      <c r="M8" s="821"/>
      <c r="N8" s="821"/>
    </row>
    <row r="9" spans="1:14">
      <c r="A9" s="190">
        <v>711000</v>
      </c>
      <c r="B9" s="191"/>
      <c r="C9" s="192" t="s">
        <v>3687</v>
      </c>
      <c r="D9" s="193">
        <f>SUM(D10:D21)</f>
        <v>147600000</v>
      </c>
      <c r="E9" s="249">
        <f t="shared" si="0"/>
        <v>0.31114040758971795</v>
      </c>
      <c r="F9" s="193">
        <f>SUM(F10:F21)</f>
        <v>0</v>
      </c>
      <c r="G9" s="233">
        <f>SUM(G10:G21)</f>
        <v>147600000</v>
      </c>
      <c r="J9" s="824"/>
      <c r="K9" s="575"/>
      <c r="L9" s="821"/>
      <c r="M9" s="821"/>
      <c r="N9" s="821"/>
    </row>
    <row r="10" spans="1:14">
      <c r="A10" s="194"/>
      <c r="B10" s="596">
        <v>711111</v>
      </c>
      <c r="C10" s="195" t="s">
        <v>3688</v>
      </c>
      <c r="D10" s="196">
        <v>125000000</v>
      </c>
      <c r="E10" s="250">
        <f t="shared" si="0"/>
        <v>0.26349966767421912</v>
      </c>
      <c r="F10" s="196"/>
      <c r="G10" s="234">
        <f>SUM(F10,D10)</f>
        <v>125000000</v>
      </c>
      <c r="J10" s="330"/>
      <c r="K10" s="330"/>
      <c r="L10" s="821"/>
      <c r="M10" s="821"/>
      <c r="N10" s="821"/>
    </row>
    <row r="11" spans="1:14" ht="0.75" customHeight="1">
      <c r="A11" s="194"/>
      <c r="B11" s="596">
        <v>711121</v>
      </c>
      <c r="C11" s="195" t="s">
        <v>3689</v>
      </c>
      <c r="D11" s="196"/>
      <c r="E11" s="250">
        <f t="shared" si="0"/>
        <v>0</v>
      </c>
      <c r="F11" s="196"/>
      <c r="G11" s="234">
        <f t="shared" ref="G11:G42" si="1">SUM(F11,D11)</f>
        <v>0</v>
      </c>
      <c r="J11" s="330"/>
      <c r="K11" s="330"/>
      <c r="L11" s="775"/>
      <c r="M11" s="775"/>
      <c r="N11" s="775"/>
    </row>
    <row r="12" spans="1:14" ht="24">
      <c r="A12" s="194"/>
      <c r="B12" s="596">
        <v>711122</v>
      </c>
      <c r="C12" s="195" t="s">
        <v>3690</v>
      </c>
      <c r="D12" s="196">
        <v>6500000</v>
      </c>
      <c r="E12" s="250">
        <f t="shared" si="0"/>
        <v>1.3701982719059395E-2</v>
      </c>
      <c r="F12" s="196"/>
      <c r="G12" s="234">
        <f t="shared" si="1"/>
        <v>6500000</v>
      </c>
      <c r="J12" s="330"/>
      <c r="K12" s="368"/>
      <c r="L12" s="822"/>
      <c r="M12" s="822"/>
      <c r="N12" s="822"/>
    </row>
    <row r="13" spans="1:14" ht="24">
      <c r="A13" s="194"/>
      <c r="B13" s="596">
        <v>711123</v>
      </c>
      <c r="C13" s="195" t="s">
        <v>3755</v>
      </c>
      <c r="D13" s="196">
        <v>7000000</v>
      </c>
      <c r="E13" s="250">
        <f t="shared" si="0"/>
        <v>1.4755981389756272E-2</v>
      </c>
      <c r="F13" s="196"/>
      <c r="G13" s="234">
        <f t="shared" si="1"/>
        <v>7000000</v>
      </c>
      <c r="J13" s="330"/>
      <c r="K13" s="330"/>
      <c r="L13" s="823"/>
      <c r="M13" s="823"/>
      <c r="N13" s="823"/>
    </row>
    <row r="14" spans="1:14">
      <c r="A14" s="194"/>
      <c r="B14" s="596">
        <v>711143</v>
      </c>
      <c r="C14" s="195" t="s">
        <v>3691</v>
      </c>
      <c r="D14" s="196">
        <v>700000</v>
      </c>
      <c r="E14" s="250">
        <f t="shared" si="0"/>
        <v>1.4755981389756271E-3</v>
      </c>
      <c r="F14" s="196"/>
      <c r="G14" s="234">
        <f t="shared" si="1"/>
        <v>700000</v>
      </c>
    </row>
    <row r="15" spans="1:14" ht="29.25" customHeight="1">
      <c r="A15" s="194"/>
      <c r="B15" s="596">
        <v>711145</v>
      </c>
      <c r="C15" s="195" t="s">
        <v>3756</v>
      </c>
      <c r="D15" s="196">
        <v>700000</v>
      </c>
      <c r="E15" s="250">
        <f t="shared" si="0"/>
        <v>1.4755981389756271E-3</v>
      </c>
      <c r="F15" s="196"/>
      <c r="G15" s="234">
        <f t="shared" si="1"/>
        <v>700000</v>
      </c>
    </row>
    <row r="16" spans="1:14" ht="24">
      <c r="A16" s="194"/>
      <c r="B16" s="596">
        <v>711146</v>
      </c>
      <c r="C16" s="195" t="s">
        <v>3692</v>
      </c>
      <c r="D16" s="196">
        <v>500000</v>
      </c>
      <c r="E16" s="250">
        <f t="shared" si="0"/>
        <v>1.0539986706968765E-3</v>
      </c>
      <c r="F16" s="196"/>
      <c r="G16" s="234">
        <f t="shared" si="1"/>
        <v>500000</v>
      </c>
    </row>
    <row r="17" spans="1:7">
      <c r="A17" s="194"/>
      <c r="B17" s="596">
        <v>711147</v>
      </c>
      <c r="C17" s="195" t="s">
        <v>3693</v>
      </c>
      <c r="D17" s="196">
        <v>700000</v>
      </c>
      <c r="E17" s="250">
        <f t="shared" si="0"/>
        <v>1.4755981389756271E-3</v>
      </c>
      <c r="F17" s="196"/>
      <c r="G17" s="234">
        <f t="shared" si="1"/>
        <v>700000</v>
      </c>
    </row>
    <row r="18" spans="1:7" ht="14.25" customHeight="1">
      <c r="A18" s="194"/>
      <c r="B18" s="596">
        <v>711148</v>
      </c>
      <c r="C18" s="195" t="s">
        <v>3694</v>
      </c>
      <c r="D18" s="196">
        <v>500000</v>
      </c>
      <c r="E18" s="250">
        <f t="shared" si="0"/>
        <v>1.0539986706968765E-3</v>
      </c>
      <c r="F18" s="196"/>
      <c r="G18" s="234">
        <f t="shared" si="1"/>
        <v>500000</v>
      </c>
    </row>
    <row r="19" spans="1:7" hidden="1">
      <c r="A19" s="194"/>
      <c r="B19" s="596">
        <v>711161</v>
      </c>
      <c r="C19" s="195" t="s">
        <v>3695</v>
      </c>
      <c r="D19" s="196"/>
      <c r="E19" s="250">
        <f t="shared" si="0"/>
        <v>0</v>
      </c>
      <c r="F19" s="196"/>
      <c r="G19" s="234">
        <f t="shared" si="1"/>
        <v>0</v>
      </c>
    </row>
    <row r="20" spans="1:7" hidden="1">
      <c r="A20" s="194"/>
      <c r="B20" s="594">
        <v>711181</v>
      </c>
      <c r="C20" s="195" t="s">
        <v>3696</v>
      </c>
      <c r="D20" s="196"/>
      <c r="E20" s="250">
        <f t="shared" si="0"/>
        <v>0</v>
      </c>
      <c r="F20" s="196"/>
      <c r="G20" s="234">
        <f t="shared" si="1"/>
        <v>0</v>
      </c>
    </row>
    <row r="21" spans="1:7">
      <c r="A21" s="197"/>
      <c r="B21" s="596">
        <v>711190</v>
      </c>
      <c r="C21" s="195" t="s">
        <v>3697</v>
      </c>
      <c r="D21" s="196">
        <v>6000000</v>
      </c>
      <c r="E21" s="250">
        <f t="shared" si="0"/>
        <v>1.2647984048362518E-2</v>
      </c>
      <c r="F21" s="196"/>
      <c r="G21" s="234">
        <f t="shared" si="1"/>
        <v>6000000</v>
      </c>
    </row>
    <row r="22" spans="1:7">
      <c r="A22" s="190">
        <v>713000</v>
      </c>
      <c r="B22" s="198"/>
      <c r="C22" s="192" t="s">
        <v>3698</v>
      </c>
      <c r="D22" s="193">
        <f>SUM(D23:D31)</f>
        <v>37200000</v>
      </c>
      <c r="E22" s="249">
        <f t="shared" si="0"/>
        <v>7.8417501099847617E-2</v>
      </c>
      <c r="F22" s="193">
        <f>SUM(F23:F31)</f>
        <v>0</v>
      </c>
      <c r="G22" s="233">
        <f>SUM(G23:G31)</f>
        <v>37200000</v>
      </c>
    </row>
    <row r="23" spans="1:7" ht="24">
      <c r="A23" s="194"/>
      <c r="B23" s="594">
        <v>713121</v>
      </c>
      <c r="C23" s="195" t="s">
        <v>3699</v>
      </c>
      <c r="D23" s="196">
        <v>14200000</v>
      </c>
      <c r="E23" s="250">
        <f t="shared" si="0"/>
        <v>2.9933562247791295E-2</v>
      </c>
      <c r="F23" s="196"/>
      <c r="G23" s="234">
        <f t="shared" si="1"/>
        <v>14200000</v>
      </c>
    </row>
    <row r="24" spans="1:7" ht="24">
      <c r="A24" s="194"/>
      <c r="B24" s="594">
        <v>713122</v>
      </c>
      <c r="C24" s="195" t="s">
        <v>3700</v>
      </c>
      <c r="D24" s="196">
        <v>10000000</v>
      </c>
      <c r="E24" s="250">
        <f t="shared" si="0"/>
        <v>2.1079973413937532E-2</v>
      </c>
      <c r="F24" s="196"/>
      <c r="G24" s="234">
        <f t="shared" si="1"/>
        <v>10000000</v>
      </c>
    </row>
    <row r="25" spans="1:7" ht="24" hidden="1">
      <c r="A25" s="194"/>
      <c r="B25" s="594">
        <v>713126</v>
      </c>
      <c r="C25" s="195" t="s">
        <v>3757</v>
      </c>
      <c r="D25" s="196"/>
      <c r="E25" s="250">
        <f t="shared" si="0"/>
        <v>0</v>
      </c>
      <c r="F25" s="196"/>
      <c r="G25" s="234">
        <f t="shared" si="1"/>
        <v>0</v>
      </c>
    </row>
    <row r="26" spans="1:7">
      <c r="A26" s="194"/>
      <c r="B26" s="596">
        <v>713311</v>
      </c>
      <c r="C26" s="195" t="s">
        <v>3701</v>
      </c>
      <c r="D26" s="196">
        <v>1000000</v>
      </c>
      <c r="E26" s="250">
        <f t="shared" si="0"/>
        <v>2.107997341393753E-3</v>
      </c>
      <c r="F26" s="196"/>
      <c r="G26" s="234">
        <f t="shared" si="1"/>
        <v>1000000</v>
      </c>
    </row>
    <row r="27" spans="1:7" ht="24">
      <c r="A27" s="194"/>
      <c r="B27" s="596">
        <v>713421</v>
      </c>
      <c r="C27" s="195" t="s">
        <v>3702</v>
      </c>
      <c r="D27" s="196">
        <v>7000000</v>
      </c>
      <c r="E27" s="250">
        <f t="shared" si="0"/>
        <v>1.4755981389756272E-2</v>
      </c>
      <c r="F27" s="196"/>
      <c r="G27" s="234">
        <f t="shared" si="1"/>
        <v>7000000</v>
      </c>
    </row>
    <row r="28" spans="1:7" ht="36" hidden="1">
      <c r="A28" s="194"/>
      <c r="B28" s="596">
        <v>713422</v>
      </c>
      <c r="C28" s="195" t="s">
        <v>3703</v>
      </c>
      <c r="D28" s="196"/>
      <c r="E28" s="250">
        <f t="shared" si="0"/>
        <v>0</v>
      </c>
      <c r="F28" s="196"/>
      <c r="G28" s="234">
        <f t="shared" si="1"/>
        <v>0</v>
      </c>
    </row>
    <row r="29" spans="1:7" ht="23.25" customHeight="1">
      <c r="A29" s="194"/>
      <c r="B29" s="596">
        <v>713423</v>
      </c>
      <c r="C29" s="195" t="s">
        <v>3758</v>
      </c>
      <c r="D29" s="196">
        <v>5000000</v>
      </c>
      <c r="E29" s="250">
        <f t="shared" si="0"/>
        <v>1.0539986706968766E-2</v>
      </c>
      <c r="F29" s="196"/>
      <c r="G29" s="234">
        <f t="shared" si="1"/>
        <v>5000000</v>
      </c>
    </row>
    <row r="30" spans="1:7" ht="24" hidden="1">
      <c r="A30" s="194"/>
      <c r="B30" s="596">
        <v>713424</v>
      </c>
      <c r="C30" s="195" t="s">
        <v>3759</v>
      </c>
      <c r="D30" s="196"/>
      <c r="E30" s="250">
        <f t="shared" si="0"/>
        <v>0</v>
      </c>
      <c r="F30" s="196"/>
      <c r="G30" s="234">
        <f t="shared" si="1"/>
        <v>0</v>
      </c>
    </row>
    <row r="31" spans="1:7" hidden="1">
      <c r="A31" s="194"/>
      <c r="B31" s="596">
        <v>713611</v>
      </c>
      <c r="C31" s="199" t="s">
        <v>3704</v>
      </c>
      <c r="D31" s="196"/>
      <c r="E31" s="250">
        <f t="shared" si="0"/>
        <v>0</v>
      </c>
      <c r="F31" s="196"/>
      <c r="G31" s="234">
        <f t="shared" si="1"/>
        <v>0</v>
      </c>
    </row>
    <row r="32" spans="1:7">
      <c r="A32" s="190">
        <v>714000</v>
      </c>
      <c r="B32" s="191"/>
      <c r="C32" s="192" t="s">
        <v>3705</v>
      </c>
      <c r="D32" s="193">
        <f>SUM(D33:D40)</f>
        <v>11200000</v>
      </c>
      <c r="E32" s="249">
        <f t="shared" si="0"/>
        <v>2.3609570223610033E-2</v>
      </c>
      <c r="F32" s="193">
        <f>SUM(F33:F40)</f>
        <v>0</v>
      </c>
      <c r="G32" s="233">
        <f>SUM(G33:G40)</f>
        <v>11200000</v>
      </c>
    </row>
    <row r="33" spans="1:7" hidden="1">
      <c r="A33" s="200"/>
      <c r="B33" s="596">
        <v>714441</v>
      </c>
      <c r="C33" s="195" t="s">
        <v>3706</v>
      </c>
      <c r="D33" s="196"/>
      <c r="E33" s="250">
        <f t="shared" si="0"/>
        <v>0</v>
      </c>
      <c r="F33" s="196"/>
      <c r="G33" s="234">
        <f t="shared" si="1"/>
        <v>0</v>
      </c>
    </row>
    <row r="34" spans="1:7" ht="48">
      <c r="A34" s="200"/>
      <c r="B34" s="594">
        <v>714431</v>
      </c>
      <c r="C34" s="199" t="s">
        <v>3707</v>
      </c>
      <c r="D34" s="196">
        <v>1000000</v>
      </c>
      <c r="E34" s="250">
        <f t="shared" si="0"/>
        <v>2.107997341393753E-3</v>
      </c>
      <c r="F34" s="196"/>
      <c r="G34" s="234">
        <f t="shared" si="1"/>
        <v>1000000</v>
      </c>
    </row>
    <row r="35" spans="1:7" ht="24">
      <c r="A35" s="200"/>
      <c r="B35" s="594">
        <v>714513</v>
      </c>
      <c r="C35" s="195" t="s">
        <v>3708</v>
      </c>
      <c r="D35" s="196">
        <v>5000000</v>
      </c>
      <c r="E35" s="250">
        <f t="shared" si="0"/>
        <v>1.0539986706968766E-2</v>
      </c>
      <c r="F35" s="196"/>
      <c r="G35" s="234">
        <f t="shared" si="1"/>
        <v>5000000</v>
      </c>
    </row>
    <row r="36" spans="1:7">
      <c r="A36" s="200"/>
      <c r="B36" s="596">
        <v>714543</v>
      </c>
      <c r="C36" s="195" t="s">
        <v>3709</v>
      </c>
      <c r="D36" s="196">
        <v>500000</v>
      </c>
      <c r="E36" s="250">
        <f t="shared" si="0"/>
        <v>1.0539986706968765E-3</v>
      </c>
      <c r="F36" s="196"/>
      <c r="G36" s="234">
        <f t="shared" si="1"/>
        <v>500000</v>
      </c>
    </row>
    <row r="37" spans="1:7" ht="0.75" customHeight="1">
      <c r="A37" s="200"/>
      <c r="B37" s="596">
        <v>714549</v>
      </c>
      <c r="C37" s="195" t="s">
        <v>3710</v>
      </c>
      <c r="D37" s="196"/>
      <c r="E37" s="250">
        <f t="shared" si="0"/>
        <v>0</v>
      </c>
      <c r="F37" s="196"/>
      <c r="G37" s="234">
        <f t="shared" si="1"/>
        <v>0</v>
      </c>
    </row>
    <row r="38" spans="1:7">
      <c r="A38" s="197"/>
      <c r="B38" s="594">
        <v>714552</v>
      </c>
      <c r="C38" s="199" t="s">
        <v>3711</v>
      </c>
      <c r="D38" s="196">
        <v>400000</v>
      </c>
      <c r="E38" s="250">
        <f t="shared" si="0"/>
        <v>8.4319893655750123E-4</v>
      </c>
      <c r="F38" s="196"/>
      <c r="G38" s="234">
        <f t="shared" si="1"/>
        <v>400000</v>
      </c>
    </row>
    <row r="39" spans="1:7">
      <c r="A39" s="200"/>
      <c r="B39" s="594">
        <v>714562</v>
      </c>
      <c r="C39" s="195" t="s">
        <v>3712</v>
      </c>
      <c r="D39" s="196">
        <v>4000000</v>
      </c>
      <c r="E39" s="250">
        <f t="shared" si="0"/>
        <v>8.4319893655750121E-3</v>
      </c>
      <c r="F39" s="196"/>
      <c r="G39" s="234">
        <f t="shared" si="1"/>
        <v>4000000</v>
      </c>
    </row>
    <row r="40" spans="1:7">
      <c r="A40" s="200"/>
      <c r="B40" s="594">
        <v>714572</v>
      </c>
      <c r="C40" s="195" t="s">
        <v>3713</v>
      </c>
      <c r="D40" s="196">
        <v>300000</v>
      </c>
      <c r="E40" s="250">
        <f t="shared" si="0"/>
        <v>6.3239920241812595E-4</v>
      </c>
      <c r="F40" s="196"/>
      <c r="G40" s="234">
        <f t="shared" si="1"/>
        <v>300000</v>
      </c>
    </row>
    <row r="41" spans="1:7">
      <c r="A41" s="201" t="s">
        <v>2389</v>
      </c>
      <c r="B41" s="202"/>
      <c r="C41" s="203" t="s">
        <v>3714</v>
      </c>
      <c r="D41" s="193">
        <f>SUM(D42:D42)</f>
        <v>6000000</v>
      </c>
      <c r="E41" s="249">
        <f t="shared" si="0"/>
        <v>1.2647984048362518E-2</v>
      </c>
      <c r="F41" s="193">
        <f>SUM(F42:F42)</f>
        <v>0</v>
      </c>
      <c r="G41" s="233">
        <f>SUM(G42:G42)</f>
        <v>6000000</v>
      </c>
    </row>
    <row r="42" spans="1:7">
      <c r="A42" s="200"/>
      <c r="B42" s="595" t="s">
        <v>2393</v>
      </c>
      <c r="C42" s="195" t="s">
        <v>3715</v>
      </c>
      <c r="D42" s="196">
        <v>6000000</v>
      </c>
      <c r="E42" s="250">
        <f t="shared" si="0"/>
        <v>1.2647984048362518E-2</v>
      </c>
      <c r="F42" s="196"/>
      <c r="G42" s="234">
        <f t="shared" si="1"/>
        <v>6000000</v>
      </c>
    </row>
    <row r="43" spans="1:7">
      <c r="A43" s="204" t="s">
        <v>2596</v>
      </c>
      <c r="B43" s="205"/>
      <c r="C43" s="206" t="s">
        <v>3716</v>
      </c>
      <c r="D43" s="189">
        <f>SUM(D44,D46)</f>
        <v>194800900</v>
      </c>
      <c r="E43" s="248">
        <f t="shared" si="0"/>
        <v>0.41063977930111034</v>
      </c>
      <c r="F43" s="189">
        <f>SUM(F44,F46)</f>
        <v>0</v>
      </c>
      <c r="G43" s="232">
        <f>SUM(G44,G46)</f>
        <v>194800900</v>
      </c>
    </row>
    <row r="44" spans="1:7" hidden="1">
      <c r="A44" s="201" t="s">
        <v>2621</v>
      </c>
      <c r="B44" s="202"/>
      <c r="C44" s="203" t="s">
        <v>3717</v>
      </c>
      <c r="D44" s="193">
        <f>SUM(D45)</f>
        <v>0</v>
      </c>
      <c r="E44" s="249">
        <f t="shared" si="0"/>
        <v>0</v>
      </c>
      <c r="F44" s="193">
        <f>SUM(F45)</f>
        <v>0</v>
      </c>
      <c r="G44" s="233">
        <f>SUM(G45)</f>
        <v>0</v>
      </c>
    </row>
    <row r="45" spans="1:7" ht="24" hidden="1">
      <c r="A45" s="200"/>
      <c r="B45" s="595" t="s">
        <v>2628</v>
      </c>
      <c r="C45" s="207" t="s">
        <v>3718</v>
      </c>
      <c r="D45" s="196"/>
      <c r="E45" s="250">
        <f t="shared" si="0"/>
        <v>0</v>
      </c>
      <c r="F45" s="196"/>
      <c r="G45" s="234">
        <f t="shared" ref="G45" si="2">SUM(F45,D45)</f>
        <v>0</v>
      </c>
    </row>
    <row r="46" spans="1:7">
      <c r="A46" s="201" t="s">
        <v>2646</v>
      </c>
      <c r="B46" s="202"/>
      <c r="C46" s="203" t="s">
        <v>3719</v>
      </c>
      <c r="D46" s="193">
        <f>SUM(D47:D49)</f>
        <v>194800900</v>
      </c>
      <c r="E46" s="249">
        <f t="shared" si="0"/>
        <v>0.41063977930111034</v>
      </c>
      <c r="F46" s="193">
        <f>SUM(F47:F49)</f>
        <v>0</v>
      </c>
      <c r="G46" s="233">
        <f>SUM(G47:G49)</f>
        <v>194800900</v>
      </c>
    </row>
    <row r="47" spans="1:7">
      <c r="A47" s="208"/>
      <c r="B47" s="209">
        <v>733151</v>
      </c>
      <c r="C47" s="210" t="s">
        <v>5139</v>
      </c>
      <c r="D47" s="196">
        <v>194800900</v>
      </c>
      <c r="E47" s="250">
        <f t="shared" si="0"/>
        <v>0.41063977930111034</v>
      </c>
      <c r="F47" s="196"/>
      <c r="G47" s="234">
        <f t="shared" ref="G47:G49" si="3">SUM(F47,D47)</f>
        <v>194800900</v>
      </c>
    </row>
    <row r="48" spans="1:7" ht="24" hidden="1">
      <c r="A48" s="208"/>
      <c r="B48" s="200" t="s">
        <v>5140</v>
      </c>
      <c r="C48" s="207" t="s">
        <v>5141</v>
      </c>
      <c r="D48" s="196"/>
      <c r="E48" s="250">
        <f t="shared" si="0"/>
        <v>0</v>
      </c>
      <c r="F48" s="196"/>
      <c r="G48" s="234">
        <f t="shared" si="3"/>
        <v>0</v>
      </c>
    </row>
    <row r="49" spans="1:7" ht="24" hidden="1">
      <c r="A49" s="208"/>
      <c r="B49" s="200" t="s">
        <v>5142</v>
      </c>
      <c r="C49" s="207" t="s">
        <v>5143</v>
      </c>
      <c r="D49" s="196"/>
      <c r="E49" s="250">
        <f t="shared" si="0"/>
        <v>0</v>
      </c>
      <c r="F49" s="196"/>
      <c r="G49" s="234">
        <f t="shared" si="3"/>
        <v>0</v>
      </c>
    </row>
    <row r="50" spans="1:7">
      <c r="A50" s="204" t="s">
        <v>2704</v>
      </c>
      <c r="B50" s="205"/>
      <c r="C50" s="206" t="s">
        <v>3720</v>
      </c>
      <c r="D50" s="189">
        <f>SUM(D51,D63,D71,D74,D77)</f>
        <v>77283000</v>
      </c>
      <c r="E50" s="248">
        <f t="shared" si="0"/>
        <v>0.16291235853493341</v>
      </c>
      <c r="F50" s="189">
        <f>SUM(F51,F63,F71,F74,F77)</f>
        <v>13773771</v>
      </c>
      <c r="G50" s="232">
        <f>SUM(G51,G63,G71,G74,G77)</f>
        <v>91056771</v>
      </c>
    </row>
    <row r="51" spans="1:7">
      <c r="A51" s="201" t="s">
        <v>2706</v>
      </c>
      <c r="B51" s="202"/>
      <c r="C51" s="203" t="s">
        <v>3721</v>
      </c>
      <c r="D51" s="193">
        <f>SUM(D52:D62)</f>
        <v>32900000</v>
      </c>
      <c r="E51" s="249">
        <f t="shared" si="0"/>
        <v>6.9353112531854472E-2</v>
      </c>
      <c r="F51" s="193">
        <f>SUM(F52:F62)</f>
        <v>0</v>
      </c>
      <c r="G51" s="233">
        <f>SUM(G52:G62)</f>
        <v>32900000</v>
      </c>
    </row>
    <row r="52" spans="1:7" ht="24">
      <c r="A52" s="208"/>
      <c r="B52" s="595" t="s">
        <v>5144</v>
      </c>
      <c r="C52" s="195" t="s">
        <v>5145</v>
      </c>
      <c r="D52" s="196">
        <v>5000000</v>
      </c>
      <c r="E52" s="250">
        <f t="shared" si="0"/>
        <v>1.0539986706968766E-2</v>
      </c>
      <c r="F52" s="196"/>
      <c r="G52" s="234">
        <f t="shared" ref="G52:G84" si="4">SUM(F52,D52)</f>
        <v>5000000</v>
      </c>
    </row>
    <row r="53" spans="1:7" hidden="1">
      <c r="A53" s="208"/>
      <c r="B53" s="595" t="s">
        <v>2744</v>
      </c>
      <c r="C53" s="207" t="s">
        <v>45</v>
      </c>
      <c r="D53" s="196"/>
      <c r="E53" s="250">
        <f t="shared" si="0"/>
        <v>0</v>
      </c>
      <c r="F53" s="196"/>
      <c r="G53" s="234">
        <f t="shared" si="4"/>
        <v>0</v>
      </c>
    </row>
    <row r="54" spans="1:7">
      <c r="A54" s="208"/>
      <c r="B54" s="597" t="s">
        <v>2750</v>
      </c>
      <c r="C54" s="207" t="s">
        <v>39</v>
      </c>
      <c r="D54" s="196">
        <v>25000000</v>
      </c>
      <c r="E54" s="250">
        <f t="shared" si="0"/>
        <v>5.2699933534843826E-2</v>
      </c>
      <c r="F54" s="196"/>
      <c r="G54" s="234">
        <f t="shared" si="4"/>
        <v>25000000</v>
      </c>
    </row>
    <row r="55" spans="1:7">
      <c r="A55" s="208"/>
      <c r="B55" s="597" t="s">
        <v>2759</v>
      </c>
      <c r="C55" s="207" t="s">
        <v>41</v>
      </c>
      <c r="D55" s="196">
        <v>1500000</v>
      </c>
      <c r="E55" s="250">
        <f t="shared" si="0"/>
        <v>3.1619960120906295E-3</v>
      </c>
      <c r="F55" s="196"/>
      <c r="G55" s="234">
        <f t="shared" si="4"/>
        <v>1500000</v>
      </c>
    </row>
    <row r="56" spans="1:7" ht="48">
      <c r="A56" s="208"/>
      <c r="B56" s="595" t="s">
        <v>2771</v>
      </c>
      <c r="C56" s="207" t="s">
        <v>3722</v>
      </c>
      <c r="D56" s="196">
        <v>400000</v>
      </c>
      <c r="E56" s="250">
        <f t="shared" si="0"/>
        <v>8.4319893655750123E-4</v>
      </c>
      <c r="F56" s="196"/>
      <c r="G56" s="234">
        <f t="shared" si="4"/>
        <v>400000</v>
      </c>
    </row>
    <row r="57" spans="1:7" ht="0.75" customHeight="1">
      <c r="A57" s="208"/>
      <c r="B57" s="595" t="s">
        <v>2773</v>
      </c>
      <c r="C57" s="207" t="s">
        <v>3723</v>
      </c>
      <c r="D57" s="196"/>
      <c r="E57" s="250">
        <f t="shared" si="0"/>
        <v>0</v>
      </c>
      <c r="F57" s="196"/>
      <c r="G57" s="234">
        <f t="shared" si="4"/>
        <v>0</v>
      </c>
    </row>
    <row r="58" spans="1:7" ht="24" hidden="1">
      <c r="A58" s="208"/>
      <c r="B58" s="595" t="s">
        <v>2775</v>
      </c>
      <c r="C58" s="207" t="s">
        <v>3724</v>
      </c>
      <c r="D58" s="196"/>
      <c r="E58" s="250">
        <f t="shared" si="0"/>
        <v>0</v>
      </c>
      <c r="F58" s="196"/>
      <c r="G58" s="234">
        <f t="shared" si="4"/>
        <v>0</v>
      </c>
    </row>
    <row r="59" spans="1:7">
      <c r="A59" s="208"/>
      <c r="B59" s="595" t="s">
        <v>2777</v>
      </c>
      <c r="C59" s="207" t="s">
        <v>42</v>
      </c>
      <c r="D59" s="196">
        <v>500000</v>
      </c>
      <c r="E59" s="250">
        <f t="shared" si="0"/>
        <v>1.0539986706968765E-3</v>
      </c>
      <c r="F59" s="196"/>
      <c r="G59" s="234">
        <f t="shared" si="4"/>
        <v>500000</v>
      </c>
    </row>
    <row r="60" spans="1:7" ht="24">
      <c r="A60" s="208"/>
      <c r="B60" s="595" t="s">
        <v>2779</v>
      </c>
      <c r="C60" s="195" t="s">
        <v>3725</v>
      </c>
      <c r="D60" s="196">
        <v>500000</v>
      </c>
      <c r="E60" s="250">
        <f t="shared" si="0"/>
        <v>1.0539986706968765E-3</v>
      </c>
      <c r="F60" s="196"/>
      <c r="G60" s="234">
        <f t="shared" si="4"/>
        <v>500000</v>
      </c>
    </row>
    <row r="61" spans="1:7" ht="1.5" customHeight="1">
      <c r="A61" s="208"/>
      <c r="B61" s="597" t="s">
        <v>2785</v>
      </c>
      <c r="C61" s="195" t="s">
        <v>43</v>
      </c>
      <c r="D61" s="196"/>
      <c r="E61" s="250">
        <f t="shared" si="0"/>
        <v>0</v>
      </c>
      <c r="F61" s="196"/>
      <c r="G61" s="234">
        <f t="shared" si="4"/>
        <v>0</v>
      </c>
    </row>
    <row r="62" spans="1:7" hidden="1">
      <c r="A62" s="208"/>
      <c r="B62" s="597" t="s">
        <v>2789</v>
      </c>
      <c r="C62" s="195" t="s">
        <v>3726</v>
      </c>
      <c r="D62" s="196"/>
      <c r="E62" s="250">
        <f t="shared" si="0"/>
        <v>0</v>
      </c>
      <c r="F62" s="196"/>
      <c r="G62" s="234">
        <f t="shared" si="4"/>
        <v>0</v>
      </c>
    </row>
    <row r="63" spans="1:7">
      <c r="A63" s="201" t="s">
        <v>2812</v>
      </c>
      <c r="B63" s="202"/>
      <c r="C63" s="203" t="s">
        <v>3727</v>
      </c>
      <c r="D63" s="193">
        <f>SUM(D64:D70)</f>
        <v>36000000</v>
      </c>
      <c r="E63" s="249">
        <f t="shared" si="0"/>
        <v>7.5887904290175112E-2</v>
      </c>
      <c r="F63" s="193">
        <f>SUM(F64:F70)</f>
        <v>13773771</v>
      </c>
      <c r="G63" s="233">
        <f>SUM(G64:G70)</f>
        <v>49773771</v>
      </c>
    </row>
    <row r="64" spans="1:7" ht="36">
      <c r="A64" s="208"/>
      <c r="B64" s="595" t="s">
        <v>5146</v>
      </c>
      <c r="C64" s="195" t="s">
        <v>5147</v>
      </c>
      <c r="D64" s="196">
        <v>1500000</v>
      </c>
      <c r="E64" s="250">
        <f t="shared" si="0"/>
        <v>3.1619960120906295E-3</v>
      </c>
      <c r="F64" s="196"/>
      <c r="G64" s="234">
        <f t="shared" si="4"/>
        <v>1500000</v>
      </c>
    </row>
    <row r="65" spans="1:7" ht="0.75" customHeight="1">
      <c r="A65" s="208"/>
      <c r="B65" s="595" t="s">
        <v>5148</v>
      </c>
      <c r="C65" s="195" t="s">
        <v>3728</v>
      </c>
      <c r="D65" s="196"/>
      <c r="E65" s="250">
        <f t="shared" si="0"/>
        <v>0</v>
      </c>
      <c r="F65" s="196"/>
      <c r="G65" s="234">
        <f t="shared" si="4"/>
        <v>0</v>
      </c>
    </row>
    <row r="66" spans="1:7" ht="14.25" customHeight="1">
      <c r="A66" s="208"/>
      <c r="B66" s="594">
        <v>742251</v>
      </c>
      <c r="C66" s="207" t="s">
        <v>5149</v>
      </c>
      <c r="D66" s="196">
        <v>31000000</v>
      </c>
      <c r="E66" s="250">
        <f t="shared" si="0"/>
        <v>6.534791758320635E-2</v>
      </c>
      <c r="F66" s="196"/>
      <c r="G66" s="234">
        <f t="shared" si="4"/>
        <v>31000000</v>
      </c>
    </row>
    <row r="67" spans="1:7" hidden="1">
      <c r="A67" s="208"/>
      <c r="B67" s="596">
        <v>742252</v>
      </c>
      <c r="C67" s="195" t="s">
        <v>47</v>
      </c>
      <c r="D67" s="196"/>
      <c r="E67" s="250">
        <f t="shared" si="0"/>
        <v>0</v>
      </c>
      <c r="F67" s="196"/>
      <c r="G67" s="234">
        <f t="shared" si="4"/>
        <v>0</v>
      </c>
    </row>
    <row r="68" spans="1:7">
      <c r="A68" s="208"/>
      <c r="B68" s="594">
        <v>742253</v>
      </c>
      <c r="C68" s="207" t="s">
        <v>49</v>
      </c>
      <c r="D68" s="196">
        <v>2500000</v>
      </c>
      <c r="E68" s="250">
        <f t="shared" si="0"/>
        <v>5.269993353484383E-3</v>
      </c>
      <c r="F68" s="196"/>
      <c r="G68" s="234">
        <f t="shared" si="4"/>
        <v>2500000</v>
      </c>
    </row>
    <row r="69" spans="1:7" ht="1.5" hidden="1" customHeight="1">
      <c r="A69" s="208"/>
      <c r="B69" s="594">
        <v>742254</v>
      </c>
      <c r="C69" s="207" t="s">
        <v>3729</v>
      </c>
      <c r="D69" s="196"/>
      <c r="E69" s="250">
        <f t="shared" si="0"/>
        <v>0</v>
      </c>
      <c r="F69" s="196"/>
      <c r="G69" s="234">
        <f t="shared" si="4"/>
        <v>0</v>
      </c>
    </row>
    <row r="70" spans="1:7" ht="24">
      <c r="A70" s="208"/>
      <c r="B70" s="594">
        <v>742351</v>
      </c>
      <c r="C70" s="207" t="s">
        <v>5150</v>
      </c>
      <c r="D70" s="196">
        <v>1000000</v>
      </c>
      <c r="E70" s="250">
        <f t="shared" si="0"/>
        <v>2.107997341393753E-3</v>
      </c>
      <c r="F70" s="196">
        <v>13773771</v>
      </c>
      <c r="G70" s="234">
        <f t="shared" si="4"/>
        <v>14773771</v>
      </c>
    </row>
    <row r="71" spans="1:7">
      <c r="A71" s="201" t="s">
        <v>2916</v>
      </c>
      <c r="B71" s="202"/>
      <c r="C71" s="203" t="s">
        <v>3730</v>
      </c>
      <c r="D71" s="193">
        <f>SUM(D72:D73)</f>
        <v>2300000</v>
      </c>
      <c r="E71" s="249">
        <f t="shared" ref="E71:E98" si="5">IFERROR(D71/$D$98,"-")</f>
        <v>4.8483938852056322E-3</v>
      </c>
      <c r="F71" s="193">
        <f>SUM(F72:F73)</f>
        <v>0</v>
      </c>
      <c r="G71" s="233">
        <f>SUM(G72:G73)</f>
        <v>2300000</v>
      </c>
    </row>
    <row r="72" spans="1:7" ht="24">
      <c r="A72" s="208"/>
      <c r="B72" s="597" t="s">
        <v>2940</v>
      </c>
      <c r="C72" s="195" t="s">
        <v>3731</v>
      </c>
      <c r="D72" s="196">
        <v>2300000</v>
      </c>
      <c r="E72" s="250">
        <f t="shared" si="5"/>
        <v>4.8483938852056322E-3</v>
      </c>
      <c r="F72" s="196"/>
      <c r="G72" s="234">
        <f t="shared" si="4"/>
        <v>2300000</v>
      </c>
    </row>
    <row r="73" spans="1:7" ht="0.75" customHeight="1">
      <c r="A73" s="208"/>
      <c r="B73" s="595" t="s">
        <v>2950</v>
      </c>
      <c r="C73" s="195" t="s">
        <v>3732</v>
      </c>
      <c r="D73" s="196"/>
      <c r="E73" s="250">
        <f t="shared" si="5"/>
        <v>0</v>
      </c>
      <c r="F73" s="196"/>
      <c r="G73" s="234">
        <f t="shared" si="4"/>
        <v>0</v>
      </c>
    </row>
    <row r="74" spans="1:7" ht="24">
      <c r="A74" s="201" t="s">
        <v>2990</v>
      </c>
      <c r="B74" s="202"/>
      <c r="C74" s="203" t="s">
        <v>3733</v>
      </c>
      <c r="D74" s="193">
        <f>SUM(D75:D76)</f>
        <v>4000000</v>
      </c>
      <c r="E74" s="249">
        <f t="shared" si="5"/>
        <v>8.4319893655750121E-3</v>
      </c>
      <c r="F74" s="193">
        <f>SUM(F75:F76)</f>
        <v>0</v>
      </c>
      <c r="G74" s="233">
        <f>SUM(G75:G76)</f>
        <v>4000000</v>
      </c>
    </row>
    <row r="75" spans="1:7" ht="0.75" customHeight="1">
      <c r="A75" s="208"/>
      <c r="B75" s="595" t="s">
        <v>2999</v>
      </c>
      <c r="C75" s="195" t="s">
        <v>3734</v>
      </c>
      <c r="D75" s="196"/>
      <c r="E75" s="250">
        <f t="shared" si="5"/>
        <v>0</v>
      </c>
      <c r="F75" s="196"/>
      <c r="G75" s="234">
        <f t="shared" si="4"/>
        <v>0</v>
      </c>
    </row>
    <row r="76" spans="1:7" ht="15" customHeight="1">
      <c r="A76" s="208"/>
      <c r="B76" s="595" t="s">
        <v>3012</v>
      </c>
      <c r="C76" s="195" t="s">
        <v>3735</v>
      </c>
      <c r="D76" s="196">
        <v>4000000</v>
      </c>
      <c r="E76" s="250">
        <f t="shared" si="5"/>
        <v>8.4319893655750121E-3</v>
      </c>
      <c r="F76" s="196"/>
      <c r="G76" s="234">
        <f t="shared" si="4"/>
        <v>4000000</v>
      </c>
    </row>
    <row r="77" spans="1:7">
      <c r="A77" s="201" t="s">
        <v>3018</v>
      </c>
      <c r="B77" s="202"/>
      <c r="C77" s="203" t="s">
        <v>3736</v>
      </c>
      <c r="D77" s="193">
        <f>SUM(D78:D80)</f>
        <v>2083000</v>
      </c>
      <c r="E77" s="249">
        <f t="shared" si="5"/>
        <v>4.3909584621231873E-3</v>
      </c>
      <c r="F77" s="193">
        <f>SUM(F78:F80)</f>
        <v>0</v>
      </c>
      <c r="G77" s="233">
        <f>SUM(G78:G80)</f>
        <v>2083000</v>
      </c>
    </row>
    <row r="78" spans="1:7">
      <c r="A78" s="208"/>
      <c r="B78" s="595" t="s">
        <v>5151</v>
      </c>
      <c r="C78" s="207" t="s">
        <v>5152</v>
      </c>
      <c r="D78" s="196">
        <v>1883000</v>
      </c>
      <c r="E78" s="250">
        <f t="shared" si="5"/>
        <v>3.9693589938444374E-3</v>
      </c>
      <c r="F78" s="196"/>
      <c r="G78" s="234">
        <f t="shared" si="4"/>
        <v>1883000</v>
      </c>
    </row>
    <row r="79" spans="1:7" hidden="1">
      <c r="A79" s="208"/>
      <c r="B79" s="595" t="s">
        <v>5153</v>
      </c>
      <c r="C79" s="207" t="s">
        <v>5154</v>
      </c>
      <c r="D79" s="196"/>
      <c r="E79" s="250">
        <f t="shared" si="5"/>
        <v>0</v>
      </c>
      <c r="F79" s="196"/>
      <c r="G79" s="234">
        <f t="shared" si="4"/>
        <v>0</v>
      </c>
    </row>
    <row r="80" spans="1:7" ht="24">
      <c r="A80" s="208"/>
      <c r="B80" s="595" t="s">
        <v>5155</v>
      </c>
      <c r="C80" s="207" t="s">
        <v>5156</v>
      </c>
      <c r="D80" s="196">
        <v>200000</v>
      </c>
      <c r="E80" s="250">
        <f t="shared" si="5"/>
        <v>4.2159946827875061E-4</v>
      </c>
      <c r="F80" s="196"/>
      <c r="G80" s="234">
        <f t="shared" si="4"/>
        <v>200000</v>
      </c>
    </row>
    <row r="81" spans="1:7">
      <c r="A81" s="211" t="s">
        <v>3055</v>
      </c>
      <c r="B81" s="212"/>
      <c r="C81" s="213" t="s">
        <v>3737</v>
      </c>
      <c r="D81" s="214">
        <f>SUM(D82)</f>
        <v>300000</v>
      </c>
      <c r="E81" s="251">
        <f t="shared" si="5"/>
        <v>6.3239920241812595E-4</v>
      </c>
      <c r="F81" s="214">
        <f>SUM(F82)</f>
        <v>0</v>
      </c>
      <c r="G81" s="235">
        <f>SUM(G82)</f>
        <v>300000</v>
      </c>
    </row>
    <row r="82" spans="1:7">
      <c r="A82" s="208"/>
      <c r="B82" s="597" t="s">
        <v>3057</v>
      </c>
      <c r="C82" s="207" t="s">
        <v>56</v>
      </c>
      <c r="D82" s="196">
        <v>300000</v>
      </c>
      <c r="E82" s="250">
        <f t="shared" si="5"/>
        <v>6.3239920241812595E-4</v>
      </c>
      <c r="F82" s="196"/>
      <c r="G82" s="234">
        <f t="shared" si="4"/>
        <v>300000</v>
      </c>
    </row>
    <row r="83" spans="1:7" hidden="1">
      <c r="A83" s="211" t="s">
        <v>3087</v>
      </c>
      <c r="B83" s="212"/>
      <c r="C83" s="213" t="s">
        <v>3738</v>
      </c>
      <c r="D83" s="214">
        <f>SUM(D84)</f>
        <v>0</v>
      </c>
      <c r="E83" s="251">
        <f t="shared" si="5"/>
        <v>0</v>
      </c>
      <c r="F83" s="214">
        <f>SUM(F84)</f>
        <v>0</v>
      </c>
      <c r="G83" s="235">
        <f>SUM(G84)</f>
        <v>0</v>
      </c>
    </row>
    <row r="84" spans="1:7" hidden="1">
      <c r="A84" s="208"/>
      <c r="B84" s="200" t="s">
        <v>3089</v>
      </c>
      <c r="C84" s="207" t="s">
        <v>235</v>
      </c>
      <c r="D84" s="196"/>
      <c r="E84" s="250">
        <f t="shared" si="5"/>
        <v>0</v>
      </c>
      <c r="F84" s="196"/>
      <c r="G84" s="234">
        <f t="shared" si="4"/>
        <v>0</v>
      </c>
    </row>
    <row r="85" spans="1:7" hidden="1">
      <c r="A85" s="215" t="s">
        <v>3090</v>
      </c>
      <c r="B85" s="216"/>
      <c r="C85" s="217" t="s">
        <v>3739</v>
      </c>
      <c r="D85" s="218">
        <f>D86+D89</f>
        <v>0</v>
      </c>
      <c r="E85" s="252">
        <f t="shared" si="5"/>
        <v>0</v>
      </c>
      <c r="F85" s="218">
        <f>F86+F89</f>
        <v>0</v>
      </c>
      <c r="G85" s="236">
        <f>G86+G89</f>
        <v>0</v>
      </c>
    </row>
    <row r="86" spans="1:7" hidden="1">
      <c r="A86" s="219">
        <v>810000</v>
      </c>
      <c r="B86" s="212"/>
      <c r="C86" s="220" t="s">
        <v>3740</v>
      </c>
      <c r="D86" s="214">
        <f>SUM(D87:D88)</f>
        <v>0</v>
      </c>
      <c r="E86" s="251">
        <f t="shared" si="5"/>
        <v>0</v>
      </c>
      <c r="F86" s="214">
        <f>SUM(F87:F88)</f>
        <v>0</v>
      </c>
      <c r="G86" s="235">
        <f>SUM(G87:G88)</f>
        <v>0</v>
      </c>
    </row>
    <row r="87" spans="1:7" hidden="1">
      <c r="A87" s="208"/>
      <c r="B87" s="210">
        <v>811000</v>
      </c>
      <c r="C87" s="210" t="s">
        <v>3741</v>
      </c>
      <c r="D87" s="196"/>
      <c r="E87" s="250">
        <f t="shared" si="5"/>
        <v>0</v>
      </c>
      <c r="F87" s="196"/>
      <c r="G87" s="234">
        <f t="shared" ref="G87:G88" si="6">SUM(F87,D87)</f>
        <v>0</v>
      </c>
    </row>
    <row r="88" spans="1:7" hidden="1">
      <c r="A88" s="208"/>
      <c r="B88" s="210">
        <v>812000</v>
      </c>
      <c r="C88" s="210" t="s">
        <v>3742</v>
      </c>
      <c r="D88" s="196"/>
      <c r="E88" s="250">
        <f t="shared" si="5"/>
        <v>0</v>
      </c>
      <c r="F88" s="196"/>
      <c r="G88" s="234">
        <f t="shared" si="6"/>
        <v>0</v>
      </c>
    </row>
    <row r="89" spans="1:7" hidden="1">
      <c r="A89" s="219">
        <v>840000</v>
      </c>
      <c r="B89" s="221"/>
      <c r="C89" s="222" t="s">
        <v>3743</v>
      </c>
      <c r="D89" s="223">
        <f>SUM(D90)</f>
        <v>0</v>
      </c>
      <c r="E89" s="253">
        <f t="shared" si="5"/>
        <v>0</v>
      </c>
      <c r="F89" s="223">
        <f>SUM(F90)</f>
        <v>0</v>
      </c>
      <c r="G89" s="237">
        <f>SUM(G90)</f>
        <v>0</v>
      </c>
    </row>
    <row r="90" spans="1:7" hidden="1">
      <c r="A90" s="208"/>
      <c r="B90" s="210">
        <v>841000</v>
      </c>
      <c r="C90" s="210" t="s">
        <v>3744</v>
      </c>
      <c r="D90" s="196"/>
      <c r="E90" s="250">
        <f t="shared" si="5"/>
        <v>0</v>
      </c>
      <c r="F90" s="196"/>
      <c r="G90" s="234">
        <f t="shared" ref="G90" si="7">SUM(F90,D90)</f>
        <v>0</v>
      </c>
    </row>
    <row r="91" spans="1:7" hidden="1">
      <c r="A91" s="215" t="s">
        <v>3216</v>
      </c>
      <c r="B91" s="224"/>
      <c r="C91" s="225" t="s">
        <v>3745</v>
      </c>
      <c r="D91" s="218">
        <f>SUM(D92,D95)</f>
        <v>0</v>
      </c>
      <c r="E91" s="593">
        <f t="shared" si="5"/>
        <v>0</v>
      </c>
      <c r="F91" s="218">
        <f>SUM(F92,F95)</f>
        <v>0</v>
      </c>
      <c r="G91" s="236">
        <f>SUM(G92,G95)</f>
        <v>0</v>
      </c>
    </row>
    <row r="92" spans="1:7" hidden="1">
      <c r="A92" s="211" t="s">
        <v>3218</v>
      </c>
      <c r="B92" s="212"/>
      <c r="C92" s="213" t="s">
        <v>3746</v>
      </c>
      <c r="D92" s="214">
        <f>SUM(D93:D94)</f>
        <v>0</v>
      </c>
      <c r="E92" s="251">
        <f t="shared" si="5"/>
        <v>0</v>
      </c>
      <c r="F92" s="214">
        <f>SUM(F93:F94)</f>
        <v>0</v>
      </c>
      <c r="G92" s="235">
        <f>SUM(G93:G94)</f>
        <v>0</v>
      </c>
    </row>
    <row r="93" spans="1:7" ht="24" hidden="1">
      <c r="A93" s="200"/>
      <c r="B93" s="200" t="s">
        <v>3258</v>
      </c>
      <c r="C93" s="195" t="s">
        <v>3747</v>
      </c>
      <c r="D93" s="196"/>
      <c r="E93" s="250">
        <f t="shared" si="5"/>
        <v>0</v>
      </c>
      <c r="F93" s="196"/>
      <c r="G93" s="234">
        <f t="shared" ref="G93:G94" si="8">SUM(F93,D93)</f>
        <v>0</v>
      </c>
    </row>
    <row r="94" spans="1:7" hidden="1">
      <c r="A94" s="208"/>
      <c r="B94" s="200" t="s">
        <v>3748</v>
      </c>
      <c r="C94" s="207" t="s">
        <v>3749</v>
      </c>
      <c r="D94" s="196"/>
      <c r="E94" s="250">
        <f t="shared" si="5"/>
        <v>0</v>
      </c>
      <c r="F94" s="196"/>
      <c r="G94" s="234">
        <f t="shared" si="8"/>
        <v>0</v>
      </c>
    </row>
    <row r="95" spans="1:7" hidden="1">
      <c r="A95" s="211" t="s">
        <v>3388</v>
      </c>
      <c r="B95" s="212"/>
      <c r="C95" s="213" t="s">
        <v>3750</v>
      </c>
      <c r="D95" s="214">
        <f>SUM(D96)</f>
        <v>0</v>
      </c>
      <c r="E95" s="251">
        <f t="shared" si="5"/>
        <v>0</v>
      </c>
      <c r="F95" s="214">
        <f>SUM(F96)</f>
        <v>0</v>
      </c>
      <c r="G95" s="235">
        <f>SUM(G96)</f>
        <v>0</v>
      </c>
    </row>
    <row r="96" spans="1:7" ht="24" hidden="1">
      <c r="A96" s="208"/>
      <c r="B96" s="200" t="s">
        <v>3480</v>
      </c>
      <c r="C96" s="199" t="s">
        <v>3751</v>
      </c>
      <c r="D96" s="196"/>
      <c r="E96" s="250">
        <f t="shared" si="5"/>
        <v>0</v>
      </c>
      <c r="F96" s="196"/>
      <c r="G96" s="234">
        <f t="shared" ref="G96" si="9">SUM(F96,D96)</f>
        <v>0</v>
      </c>
    </row>
    <row r="97" spans="1:7" ht="33.75" customHeight="1">
      <c r="A97" s="226"/>
      <c r="B97" s="226" t="s">
        <v>3752</v>
      </c>
      <c r="C97" s="227" t="s">
        <v>3753</v>
      </c>
      <c r="D97" s="182">
        <f>SUM(D7,D85,D91)</f>
        <v>474383900</v>
      </c>
      <c r="E97" s="246">
        <f t="shared" si="5"/>
        <v>1</v>
      </c>
      <c r="F97" s="182">
        <f>SUM(F7,F85,F91)</f>
        <v>13773771</v>
      </c>
      <c r="G97" s="230">
        <f>SUM(G7,G85,G91)</f>
        <v>488157671</v>
      </c>
    </row>
    <row r="98" spans="1:7" ht="40.5" customHeight="1">
      <c r="A98" s="241"/>
      <c r="B98" s="242" t="s">
        <v>3754</v>
      </c>
      <c r="C98" s="243" t="s">
        <v>4167</v>
      </c>
      <c r="D98" s="244">
        <f>SUM(D6,D7,D85,D91)</f>
        <v>474383900</v>
      </c>
      <c r="E98" s="254">
        <f t="shared" si="5"/>
        <v>1</v>
      </c>
      <c r="F98" s="244">
        <f>SUM(F6,F7,F85,F91)</f>
        <v>13773771</v>
      </c>
      <c r="G98" s="245">
        <f>SUM(G6,G7,G85,G91)</f>
        <v>488157671</v>
      </c>
    </row>
    <row r="99" spans="1:7">
      <c r="A99" s="228"/>
      <c r="B99" s="228"/>
      <c r="C99" s="229"/>
      <c r="D99" s="239"/>
      <c r="E99" s="240"/>
      <c r="F99" s="239"/>
      <c r="G99" s="239"/>
    </row>
    <row r="100" spans="1:7">
      <c r="D100" s="753"/>
      <c r="E100" s="753"/>
      <c r="F100" s="753"/>
      <c r="G100" s="753"/>
    </row>
  </sheetData>
  <sheetProtection password="CA6E" sheet="1" objects="1" scenarios="1"/>
  <mergeCells count="7">
    <mergeCell ref="A2:G2"/>
    <mergeCell ref="C1:F1"/>
    <mergeCell ref="D4:F4"/>
    <mergeCell ref="G4:G5"/>
    <mergeCell ref="A4:A5"/>
    <mergeCell ref="B4:B5"/>
    <mergeCell ref="C4:C5"/>
  </mergeCells>
  <conditionalFormatting sqref="D100:G100">
    <cfRule type="cellIs" dxfId="7" priority="1" operator="notEqual">
      <formula>0</formula>
    </cfRule>
    <cfRule type="cellIs" dxfId="6" priority="2" operator="notEqual">
      <formula>0</formula>
    </cfRule>
    <cfRule type="cellIs" dxfId="5" priority="4" operator="lessThan">
      <formula>0</formula>
    </cfRule>
  </conditionalFormatting>
  <conditionalFormatting sqref="L13:N13">
    <cfRule type="cellIs" dxfId="4" priority="3" operator="notEqual">
      <formula>0</formula>
    </cfRule>
  </conditionalFormatting>
  <pageMargins left="0.51181102362204722" right="0.31496062992125984" top="0.74803149606299213" bottom="0.74803149606299213" header="0.31496062992125984" footer="0.31496062992125984"/>
  <pageSetup paperSize="9" scale="80" orientation="portrait" r:id="rId1"/>
  <legacyDrawing r:id="rId2"/>
</worksheet>
</file>

<file path=xl/worksheets/sheet4.xml><?xml version="1.0" encoding="utf-8"?>
<worksheet xmlns="http://schemas.openxmlformats.org/spreadsheetml/2006/main" xmlns:r="http://schemas.openxmlformats.org/officeDocument/2006/relationships">
  <sheetPr codeName="Sheet4">
    <tabColor theme="1"/>
  </sheetPr>
  <dimension ref="A1:G214"/>
  <sheetViews>
    <sheetView topLeftCell="A52" workbookViewId="0">
      <selection activeCell="F64" sqref="F64"/>
    </sheetView>
  </sheetViews>
  <sheetFormatPr defaultRowHeight="15"/>
  <cols>
    <col min="1" max="1" width="7.85546875" style="84" customWidth="1"/>
    <col min="2" max="2" width="4.140625" style="84" customWidth="1"/>
    <col min="3" max="3" width="42" style="625" customWidth="1"/>
    <col min="4" max="5" width="18" style="178" customWidth="1"/>
    <col min="6" max="6" width="16.7109375" style="178" customWidth="1"/>
    <col min="7" max="16384" width="9.140625" style="84"/>
  </cols>
  <sheetData>
    <row r="1" spans="1:7" ht="15" customHeight="1">
      <c r="A1" s="861" t="s">
        <v>5157</v>
      </c>
      <c r="B1" s="861"/>
      <c r="C1" s="861"/>
      <c r="D1" s="861"/>
      <c r="E1" s="861"/>
      <c r="F1" s="861"/>
      <c r="G1" s="607"/>
    </row>
    <row r="2" spans="1:7">
      <c r="A2" s="866" t="s">
        <v>5158</v>
      </c>
      <c r="B2" s="866"/>
      <c r="C2" s="866"/>
      <c r="D2" s="866"/>
      <c r="E2" s="866"/>
      <c r="F2" s="866"/>
    </row>
    <row r="3" spans="1:7" ht="15.75">
      <c r="A3" s="780" t="s">
        <v>3863</v>
      </c>
      <c r="B3" s="862" t="s">
        <v>3864</v>
      </c>
      <c r="C3" s="864" t="s">
        <v>263</v>
      </c>
      <c r="D3" s="865" t="s">
        <v>3865</v>
      </c>
      <c r="E3" s="865"/>
      <c r="F3" s="865"/>
    </row>
    <row r="4" spans="1:7" ht="15.75">
      <c r="A4" s="780" t="s">
        <v>3866</v>
      </c>
      <c r="B4" s="863"/>
      <c r="C4" s="864"/>
      <c r="D4" s="172">
        <v>2016</v>
      </c>
      <c r="E4" s="172">
        <v>2017</v>
      </c>
      <c r="F4" s="172">
        <v>2018</v>
      </c>
    </row>
    <row r="5" spans="1:7" ht="15.75">
      <c r="A5" s="173">
        <v>1</v>
      </c>
      <c r="B5" s="173">
        <v>2</v>
      </c>
      <c r="C5" s="622">
        <v>3</v>
      </c>
      <c r="D5" s="174">
        <v>4</v>
      </c>
      <c r="E5" s="174">
        <v>5</v>
      </c>
      <c r="F5" s="174">
        <v>6</v>
      </c>
    </row>
    <row r="6" spans="1:7" ht="15.75">
      <c r="A6" s="175"/>
      <c r="B6" s="175"/>
      <c r="C6" s="623" t="s">
        <v>3867</v>
      </c>
      <c r="D6" s="176">
        <f>SUM(D7,D16,D25,D34,D43,D52,D61,D70,D79,D88,D97,D106,D115,D124,D134)</f>
        <v>126025164</v>
      </c>
      <c r="E6" s="176">
        <f>SUM(E7,E16,E25,E34,E43,E52,E61,E70,E79,E88,E97,E106,E115,E124,E134)</f>
        <v>88620000</v>
      </c>
      <c r="F6" s="176">
        <f>SUM(F7,F16,F25,F34,F43,F52,F61,F70,F79,F88,F97,F106,F115,F124,F134)</f>
        <v>0</v>
      </c>
    </row>
    <row r="7" spans="1:7" ht="15.75">
      <c r="A7" s="173">
        <v>511</v>
      </c>
      <c r="B7" s="171">
        <v>1</v>
      </c>
      <c r="C7" s="623" t="s">
        <v>5368</v>
      </c>
      <c r="D7" s="176">
        <f>SUM(D12:D15)</f>
        <v>35060000</v>
      </c>
      <c r="E7" s="176">
        <f t="shared" ref="E7:F7" si="0">SUM(E12:E15)</f>
        <v>0</v>
      </c>
      <c r="F7" s="176">
        <f t="shared" si="0"/>
        <v>0</v>
      </c>
    </row>
    <row r="8" spans="1:7" ht="31.5">
      <c r="A8" s="175"/>
      <c r="B8" s="171"/>
      <c r="C8" s="801" t="s">
        <v>5369</v>
      </c>
      <c r="D8" s="176"/>
      <c r="E8" s="176"/>
      <c r="F8" s="176"/>
    </row>
    <row r="9" spans="1:7" ht="31.5">
      <c r="A9" s="175"/>
      <c r="B9" s="171"/>
      <c r="C9" s="801" t="s">
        <v>5370</v>
      </c>
      <c r="D9" s="176"/>
      <c r="E9" s="176"/>
      <c r="F9" s="176"/>
    </row>
    <row r="10" spans="1:7" ht="15.75">
      <c r="A10" s="175"/>
      <c r="B10" s="171"/>
      <c r="C10" s="624" t="s">
        <v>5095</v>
      </c>
      <c r="D10" s="177">
        <v>35060000</v>
      </c>
      <c r="E10" s="176"/>
      <c r="F10" s="176"/>
    </row>
    <row r="11" spans="1:7" ht="15.75">
      <c r="A11" s="175"/>
      <c r="B11" s="171"/>
      <c r="C11" s="624" t="s">
        <v>3868</v>
      </c>
      <c r="D11" s="177"/>
      <c r="E11" s="176"/>
      <c r="F11" s="176"/>
    </row>
    <row r="12" spans="1:7" ht="15.75">
      <c r="A12" s="175"/>
      <c r="B12" s="171"/>
      <c r="C12" s="624" t="s">
        <v>3869</v>
      </c>
      <c r="D12" s="177">
        <v>35060000</v>
      </c>
      <c r="E12" s="176"/>
      <c r="F12" s="176"/>
    </row>
    <row r="13" spans="1:7" ht="15.75" hidden="1">
      <c r="A13" s="175"/>
      <c r="B13" s="171"/>
      <c r="C13" s="624" t="s">
        <v>3870</v>
      </c>
      <c r="D13" s="177"/>
      <c r="E13" s="176"/>
      <c r="F13" s="176"/>
    </row>
    <row r="14" spans="1:7" ht="15.75" hidden="1">
      <c r="A14" s="175"/>
      <c r="B14" s="618"/>
      <c r="C14" s="624" t="s">
        <v>3871</v>
      </c>
      <c r="D14" s="177"/>
      <c r="E14" s="176"/>
      <c r="F14" s="176"/>
    </row>
    <row r="15" spans="1:7" ht="15.75" hidden="1">
      <c r="A15" s="175"/>
      <c r="B15" s="171"/>
      <c r="C15" s="625" t="s">
        <v>5097</v>
      </c>
      <c r="D15" s="177"/>
      <c r="E15" s="176"/>
      <c r="F15" s="176"/>
    </row>
    <row r="16" spans="1:7" ht="47.25">
      <c r="A16" s="175">
        <v>511</v>
      </c>
      <c r="B16" s="171">
        <v>2</v>
      </c>
      <c r="C16" s="803" t="s">
        <v>5261</v>
      </c>
      <c r="D16" s="176">
        <f>SUM(D21:D24)</f>
        <v>250000</v>
      </c>
      <c r="E16" s="176">
        <f t="shared" ref="E16:F16" si="1">SUM(E21:E24)</f>
        <v>0</v>
      </c>
      <c r="F16" s="176">
        <f t="shared" si="1"/>
        <v>0</v>
      </c>
    </row>
    <row r="17" spans="1:6" ht="31.5">
      <c r="A17" s="175"/>
      <c r="B17" s="173"/>
      <c r="C17" s="801" t="s">
        <v>5371</v>
      </c>
      <c r="D17" s="177"/>
      <c r="E17" s="177"/>
      <c r="F17" s="177"/>
    </row>
    <row r="18" spans="1:6" ht="31.5">
      <c r="A18" s="175"/>
      <c r="B18" s="173"/>
      <c r="C18" s="801" t="s">
        <v>5370</v>
      </c>
      <c r="D18" s="177"/>
      <c r="E18" s="177"/>
      <c r="F18" s="177"/>
    </row>
    <row r="19" spans="1:6" ht="15.75">
      <c r="A19" s="175"/>
      <c r="B19" s="173"/>
      <c r="C19" s="626" t="s">
        <v>5095</v>
      </c>
      <c r="D19" s="177">
        <v>250000</v>
      </c>
      <c r="E19" s="177"/>
      <c r="F19" s="177"/>
    </row>
    <row r="20" spans="1:6" ht="15.75">
      <c r="A20" s="175"/>
      <c r="B20" s="173"/>
      <c r="C20" s="626" t="s">
        <v>3868</v>
      </c>
      <c r="D20" s="177"/>
      <c r="E20" s="177"/>
      <c r="F20" s="177"/>
    </row>
    <row r="21" spans="1:6" ht="15.75">
      <c r="A21" s="175"/>
      <c r="B21" s="173"/>
      <c r="C21" s="626" t="s">
        <v>3869</v>
      </c>
      <c r="D21" s="177">
        <v>250000</v>
      </c>
      <c r="E21" s="177"/>
      <c r="F21" s="177"/>
    </row>
    <row r="22" spans="1:6" ht="0.75" customHeight="1">
      <c r="A22" s="175"/>
      <c r="B22" s="173"/>
      <c r="C22" s="626" t="s">
        <v>3870</v>
      </c>
      <c r="D22" s="177"/>
      <c r="E22" s="177"/>
      <c r="F22" s="177"/>
    </row>
    <row r="23" spans="1:6" ht="15.75" hidden="1">
      <c r="A23" s="175"/>
      <c r="B23" s="173"/>
      <c r="C23" s="626" t="s">
        <v>3871</v>
      </c>
      <c r="D23" s="177"/>
      <c r="E23" s="177"/>
      <c r="F23" s="177"/>
    </row>
    <row r="24" spans="1:6" ht="15.75" hidden="1">
      <c r="A24" s="175"/>
      <c r="B24" s="618"/>
      <c r="C24" s="625" t="s">
        <v>5097</v>
      </c>
      <c r="D24" s="177"/>
      <c r="E24" s="176"/>
      <c r="F24" s="176"/>
    </row>
    <row r="25" spans="1:6" ht="15.75">
      <c r="A25" s="175">
        <v>511</v>
      </c>
      <c r="B25" s="171">
        <v>3</v>
      </c>
      <c r="C25" s="623" t="s">
        <v>5262</v>
      </c>
      <c r="D25" s="176">
        <f>SUM(D30:D33)</f>
        <v>750000</v>
      </c>
      <c r="E25" s="176">
        <f t="shared" ref="E25:F25" si="2">SUM(E30:E33)</f>
        <v>0</v>
      </c>
      <c r="F25" s="176">
        <f t="shared" si="2"/>
        <v>0</v>
      </c>
    </row>
    <row r="26" spans="1:6" ht="31.5">
      <c r="A26" s="175"/>
      <c r="B26" s="173"/>
      <c r="C26" s="805" t="s">
        <v>5372</v>
      </c>
      <c r="D26" s="177"/>
      <c r="E26" s="177"/>
      <c r="F26" s="177"/>
    </row>
    <row r="27" spans="1:6" ht="31.5">
      <c r="A27" s="175"/>
      <c r="B27" s="173"/>
      <c r="C27" s="801" t="s">
        <v>5370</v>
      </c>
      <c r="D27" s="177"/>
      <c r="E27" s="177"/>
      <c r="F27" s="177"/>
    </row>
    <row r="28" spans="1:6" ht="15.75">
      <c r="A28" s="175"/>
      <c r="B28" s="173"/>
      <c r="C28" s="626" t="s">
        <v>5096</v>
      </c>
      <c r="D28" s="177">
        <v>750000</v>
      </c>
      <c r="E28" s="177"/>
      <c r="F28" s="177"/>
    </row>
    <row r="29" spans="1:6" ht="15.75">
      <c r="A29" s="175"/>
      <c r="B29" s="173"/>
      <c r="C29" s="626" t="s">
        <v>3868</v>
      </c>
      <c r="D29" s="177"/>
      <c r="E29" s="177"/>
      <c r="F29" s="177"/>
    </row>
    <row r="30" spans="1:6" ht="15.75">
      <c r="A30" s="175"/>
      <c r="B30" s="173"/>
      <c r="C30" s="626" t="s">
        <v>3869</v>
      </c>
      <c r="D30" s="177">
        <v>750000</v>
      </c>
      <c r="E30" s="177"/>
      <c r="F30" s="177"/>
    </row>
    <row r="31" spans="1:6" ht="15.75" hidden="1">
      <c r="A31" s="175"/>
      <c r="B31" s="173"/>
      <c r="C31" s="626" t="s">
        <v>3870</v>
      </c>
      <c r="D31" s="177"/>
      <c r="E31" s="177"/>
      <c r="F31" s="177"/>
    </row>
    <row r="32" spans="1:6" ht="15.75" hidden="1">
      <c r="A32" s="175"/>
      <c r="B32" s="173"/>
      <c r="C32" s="626" t="s">
        <v>3871</v>
      </c>
      <c r="D32" s="177"/>
      <c r="E32" s="177"/>
      <c r="F32" s="177"/>
    </row>
    <row r="33" spans="1:6" ht="15.75" hidden="1">
      <c r="A33" s="175"/>
      <c r="B33" s="618"/>
      <c r="C33" s="625" t="s">
        <v>5097</v>
      </c>
      <c r="D33" s="177"/>
      <c r="E33" s="176"/>
      <c r="F33" s="176"/>
    </row>
    <row r="34" spans="1:6" ht="15.75">
      <c r="A34" s="175">
        <v>511</v>
      </c>
      <c r="B34" s="171">
        <v>4</v>
      </c>
      <c r="C34" s="623" t="s">
        <v>5263</v>
      </c>
      <c r="D34" s="176">
        <f>SUM(D39:D42)</f>
        <v>10700000</v>
      </c>
      <c r="E34" s="176">
        <f t="shared" ref="E34:F34" si="3">SUM(E39:E42)</f>
        <v>0</v>
      </c>
      <c r="F34" s="176">
        <f t="shared" si="3"/>
        <v>0</v>
      </c>
    </row>
    <row r="35" spans="1:6" ht="31.5">
      <c r="A35" s="175"/>
      <c r="B35" s="173"/>
      <c r="C35" s="805" t="s">
        <v>5371</v>
      </c>
      <c r="D35" s="177"/>
      <c r="E35" s="177"/>
      <c r="F35" s="177"/>
    </row>
    <row r="36" spans="1:6" ht="31.5">
      <c r="A36" s="175"/>
      <c r="B36" s="173"/>
      <c r="C36" s="805" t="s">
        <v>5370</v>
      </c>
      <c r="D36" s="177"/>
      <c r="E36" s="177"/>
      <c r="F36" s="177"/>
    </row>
    <row r="37" spans="1:6" ht="15.75">
      <c r="A37" s="175"/>
      <c r="B37" s="173"/>
      <c r="C37" s="626" t="s">
        <v>5096</v>
      </c>
      <c r="D37" s="177">
        <v>10700000</v>
      </c>
      <c r="E37" s="177"/>
      <c r="F37" s="177"/>
    </row>
    <row r="38" spans="1:6" ht="15.75">
      <c r="A38" s="175"/>
      <c r="B38" s="173"/>
      <c r="C38" s="626" t="s">
        <v>3868</v>
      </c>
      <c r="D38" s="177"/>
      <c r="E38" s="177"/>
      <c r="F38" s="177"/>
    </row>
    <row r="39" spans="1:6" ht="15.75">
      <c r="A39" s="175"/>
      <c r="B39" s="173"/>
      <c r="C39" s="626" t="s">
        <v>3869</v>
      </c>
      <c r="D39" s="177">
        <v>10700000</v>
      </c>
      <c r="E39" s="177"/>
      <c r="F39" s="177"/>
    </row>
    <row r="40" spans="1:6" ht="15.75" hidden="1">
      <c r="A40" s="175"/>
      <c r="B40" s="173"/>
      <c r="C40" s="626" t="s">
        <v>3870</v>
      </c>
      <c r="D40" s="177"/>
      <c r="E40" s="177"/>
      <c r="F40" s="177"/>
    </row>
    <row r="41" spans="1:6" ht="15.75" hidden="1">
      <c r="A41" s="175"/>
      <c r="B41" s="173"/>
      <c r="C41" s="626" t="s">
        <v>3871</v>
      </c>
      <c r="D41" s="177"/>
      <c r="E41" s="177"/>
      <c r="F41" s="177"/>
    </row>
    <row r="42" spans="1:6" ht="15.75" hidden="1">
      <c r="A42" s="175"/>
      <c r="B42" s="173"/>
      <c r="C42" s="625" t="s">
        <v>5097</v>
      </c>
      <c r="D42" s="177"/>
      <c r="E42" s="177"/>
      <c r="F42" s="177"/>
    </row>
    <row r="43" spans="1:6" ht="31.5">
      <c r="A43" s="175">
        <v>511</v>
      </c>
      <c r="B43" s="171">
        <v>5</v>
      </c>
      <c r="C43" s="803" t="s">
        <v>5264</v>
      </c>
      <c r="D43" s="176">
        <f>SUM(D48:D51)</f>
        <v>4500000</v>
      </c>
      <c r="E43" s="176">
        <f t="shared" ref="E43:F43" si="4">SUM(E48:E51)</f>
        <v>0</v>
      </c>
      <c r="F43" s="176">
        <f t="shared" si="4"/>
        <v>0</v>
      </c>
    </row>
    <row r="44" spans="1:6" ht="31.5">
      <c r="A44" s="175"/>
      <c r="B44" s="173"/>
      <c r="C44" s="805" t="s">
        <v>5371</v>
      </c>
      <c r="D44" s="177"/>
      <c r="E44" s="177"/>
      <c r="F44" s="177"/>
    </row>
    <row r="45" spans="1:6" ht="31.5">
      <c r="A45" s="175"/>
      <c r="B45" s="173"/>
      <c r="C45" s="805" t="s">
        <v>5373</v>
      </c>
      <c r="D45" s="177"/>
      <c r="E45" s="177"/>
      <c r="F45" s="177"/>
    </row>
    <row r="46" spans="1:6" ht="15.75">
      <c r="A46" s="175"/>
      <c r="B46" s="173"/>
      <c r="C46" s="626" t="s">
        <v>5096</v>
      </c>
      <c r="D46" s="177">
        <v>12401400</v>
      </c>
      <c r="E46" s="177"/>
      <c r="F46" s="177"/>
    </row>
    <row r="47" spans="1:6" ht="15.75">
      <c r="A47" s="175"/>
      <c r="B47" s="173"/>
      <c r="C47" s="626" t="s">
        <v>3868</v>
      </c>
      <c r="D47" s="177"/>
      <c r="E47" s="177"/>
      <c r="F47" s="177"/>
    </row>
    <row r="48" spans="1:6" ht="15.75">
      <c r="A48" s="175"/>
      <c r="B48" s="173"/>
      <c r="C48" s="626" t="s">
        <v>3869</v>
      </c>
      <c r="D48" s="177">
        <v>4500000</v>
      </c>
      <c r="E48" s="177"/>
      <c r="F48" s="177"/>
    </row>
    <row r="49" spans="1:6" ht="0.75" customHeight="1">
      <c r="A49" s="175"/>
      <c r="B49" s="173"/>
      <c r="C49" s="626" t="s">
        <v>3870</v>
      </c>
      <c r="D49" s="177"/>
      <c r="E49" s="177"/>
      <c r="F49" s="177"/>
    </row>
    <row r="50" spans="1:6" ht="15.75" hidden="1">
      <c r="A50" s="175"/>
      <c r="B50" s="173"/>
      <c r="C50" s="626" t="s">
        <v>3871</v>
      </c>
      <c r="D50" s="177"/>
      <c r="E50" s="177"/>
      <c r="F50" s="177"/>
    </row>
    <row r="51" spans="1:6" ht="15.75" hidden="1">
      <c r="A51" s="175"/>
      <c r="B51" s="173"/>
      <c r="C51" s="625" t="s">
        <v>5097</v>
      </c>
      <c r="D51" s="177"/>
      <c r="E51" s="177"/>
      <c r="F51" s="177"/>
    </row>
    <row r="52" spans="1:6" ht="15.75">
      <c r="A52" s="175">
        <v>511</v>
      </c>
      <c r="B52" s="171">
        <v>6</v>
      </c>
      <c r="C52" s="623" t="s">
        <v>5265</v>
      </c>
      <c r="D52" s="176">
        <f>SUM(D57:D60)</f>
        <v>15800000</v>
      </c>
      <c r="E52" s="176">
        <f t="shared" ref="E52:F52" si="5">SUM(E57:E60)</f>
        <v>0</v>
      </c>
      <c r="F52" s="176">
        <f t="shared" si="5"/>
        <v>0</v>
      </c>
    </row>
    <row r="53" spans="1:6" ht="31.5">
      <c r="A53" s="175"/>
      <c r="B53" s="173"/>
      <c r="C53" s="805" t="s">
        <v>5369</v>
      </c>
      <c r="D53" s="177"/>
      <c r="E53" s="177"/>
      <c r="F53" s="177"/>
    </row>
    <row r="54" spans="1:6" ht="31.5">
      <c r="A54" s="175"/>
      <c r="B54" s="173"/>
      <c r="C54" s="805" t="s">
        <v>5370</v>
      </c>
      <c r="D54" s="177"/>
      <c r="E54" s="177"/>
      <c r="F54" s="177"/>
    </row>
    <row r="55" spans="1:6" ht="15.75">
      <c r="A55" s="175"/>
      <c r="B55" s="173"/>
      <c r="C55" s="626" t="s">
        <v>5096</v>
      </c>
      <c r="D55" s="177">
        <v>15800000</v>
      </c>
      <c r="E55" s="177"/>
      <c r="F55" s="177"/>
    </row>
    <row r="56" spans="1:6" ht="15.75">
      <c r="A56" s="175"/>
      <c r="B56" s="173"/>
      <c r="C56" s="626" t="s">
        <v>3868</v>
      </c>
      <c r="D56" s="177"/>
      <c r="E56" s="177"/>
      <c r="F56" s="177"/>
    </row>
    <row r="57" spans="1:6" ht="15.75">
      <c r="A57" s="175"/>
      <c r="B57" s="173"/>
      <c r="C57" s="626" t="s">
        <v>3869</v>
      </c>
      <c r="D57" s="177">
        <v>15800000</v>
      </c>
      <c r="E57" s="177"/>
      <c r="F57" s="177"/>
    </row>
    <row r="58" spans="1:6" ht="0.75" customHeight="1">
      <c r="A58" s="175"/>
      <c r="B58" s="173"/>
      <c r="C58" s="626" t="s">
        <v>3870</v>
      </c>
      <c r="D58" s="177"/>
      <c r="E58" s="177"/>
      <c r="F58" s="177"/>
    </row>
    <row r="59" spans="1:6" ht="15.75" hidden="1">
      <c r="A59" s="175"/>
      <c r="B59" s="173"/>
      <c r="C59" s="626" t="s">
        <v>3871</v>
      </c>
      <c r="D59" s="177"/>
      <c r="E59" s="177"/>
      <c r="F59" s="177"/>
    </row>
    <row r="60" spans="1:6" ht="15.75" hidden="1">
      <c r="A60" s="175"/>
      <c r="B60" s="173"/>
      <c r="C60" s="625" t="s">
        <v>5097</v>
      </c>
      <c r="D60" s="177"/>
      <c r="E60" s="177"/>
      <c r="F60" s="177"/>
    </row>
    <row r="61" spans="1:6" ht="31.5">
      <c r="A61" s="175">
        <v>4512</v>
      </c>
      <c r="B61" s="171">
        <v>7</v>
      </c>
      <c r="C61" s="806" t="s">
        <v>5374</v>
      </c>
      <c r="D61" s="176">
        <f>SUM(D66:D69)</f>
        <v>8800000</v>
      </c>
      <c r="E61" s="176">
        <f t="shared" ref="E61:F61" si="6">SUM(E66:E69)</f>
        <v>6620000</v>
      </c>
      <c r="F61" s="176">
        <f t="shared" si="6"/>
        <v>0</v>
      </c>
    </row>
    <row r="62" spans="1:6" ht="15.75">
      <c r="A62" s="175"/>
      <c r="B62" s="173"/>
      <c r="C62" s="626" t="s">
        <v>5093</v>
      </c>
      <c r="D62" s="177"/>
      <c r="E62" s="177"/>
      <c r="F62" s="177"/>
    </row>
    <row r="63" spans="1:6" ht="15.75">
      <c r="A63" s="175"/>
      <c r="B63" s="173"/>
      <c r="C63" s="626" t="s">
        <v>5094</v>
      </c>
      <c r="D63" s="177"/>
      <c r="E63" s="177"/>
      <c r="F63" s="177"/>
    </row>
    <row r="64" spans="1:6" ht="15.75">
      <c r="A64" s="175"/>
      <c r="B64" s="173"/>
      <c r="C64" s="626" t="s">
        <v>5096</v>
      </c>
      <c r="D64" s="177">
        <v>8800000</v>
      </c>
      <c r="E64" s="177">
        <v>6620000</v>
      </c>
      <c r="F64" s="177"/>
    </row>
    <row r="65" spans="1:6" ht="15.75">
      <c r="A65" s="175"/>
      <c r="B65" s="173"/>
      <c r="C65" s="626" t="s">
        <v>3868</v>
      </c>
      <c r="D65" s="177"/>
      <c r="E65" s="177"/>
      <c r="F65" s="177"/>
    </row>
    <row r="66" spans="1:6" ht="15.75">
      <c r="A66" s="175"/>
      <c r="B66" s="173"/>
      <c r="C66" s="626" t="s">
        <v>3869</v>
      </c>
      <c r="D66" s="177">
        <v>8800000</v>
      </c>
      <c r="E66" s="177">
        <v>6620000</v>
      </c>
      <c r="F66" s="177"/>
    </row>
    <row r="67" spans="1:6" ht="15.75">
      <c r="A67" s="175"/>
      <c r="B67" s="173"/>
      <c r="C67" s="626" t="s">
        <v>3870</v>
      </c>
      <c r="D67" s="177"/>
      <c r="E67" s="177"/>
      <c r="F67" s="177"/>
    </row>
    <row r="68" spans="1:6" ht="15.75">
      <c r="A68" s="175"/>
      <c r="B68" s="173"/>
      <c r="C68" s="626" t="s">
        <v>3871</v>
      </c>
      <c r="D68" s="177"/>
      <c r="E68" s="177"/>
      <c r="F68" s="177"/>
    </row>
    <row r="69" spans="1:6" ht="15.75">
      <c r="A69" s="175"/>
      <c r="B69" s="173"/>
      <c r="C69" s="625" t="s">
        <v>5097</v>
      </c>
      <c r="D69" s="177"/>
      <c r="E69" s="177"/>
      <c r="F69" s="177"/>
    </row>
    <row r="70" spans="1:6" ht="31.5">
      <c r="A70" s="175">
        <v>4512</v>
      </c>
      <c r="B70" s="171">
        <v>8</v>
      </c>
      <c r="C70" s="803" t="s">
        <v>5375</v>
      </c>
      <c r="D70" s="176">
        <f>SUM(D75:D78)</f>
        <v>29500000</v>
      </c>
      <c r="E70" s="176">
        <f t="shared" ref="E70:F70" si="7">SUM(E75:E78)</f>
        <v>0</v>
      </c>
      <c r="F70" s="176">
        <f t="shared" si="7"/>
        <v>0</v>
      </c>
    </row>
    <row r="71" spans="1:6" ht="31.5">
      <c r="A71" s="175"/>
      <c r="B71" s="171"/>
      <c r="C71" s="805" t="s">
        <v>5369</v>
      </c>
      <c r="D71" s="176"/>
      <c r="E71" s="176"/>
      <c r="F71" s="176"/>
    </row>
    <row r="72" spans="1:6" ht="31.5">
      <c r="A72" s="175"/>
      <c r="B72" s="171"/>
      <c r="C72" s="804" t="s">
        <v>5370</v>
      </c>
      <c r="D72" s="176"/>
      <c r="E72" s="176"/>
      <c r="F72" s="176"/>
    </row>
    <row r="73" spans="1:6" ht="15.75">
      <c r="A73" s="175"/>
      <c r="B73" s="171"/>
      <c r="C73" s="626" t="s">
        <v>5095</v>
      </c>
      <c r="D73" s="177">
        <v>29500000</v>
      </c>
      <c r="E73" s="176"/>
      <c r="F73" s="176"/>
    </row>
    <row r="74" spans="1:6" ht="15.75">
      <c r="A74" s="175"/>
      <c r="B74" s="171"/>
      <c r="C74" s="626" t="s">
        <v>3868</v>
      </c>
      <c r="D74" s="177"/>
      <c r="E74" s="176"/>
      <c r="F74" s="176"/>
    </row>
    <row r="75" spans="1:6" ht="15.75">
      <c r="A75" s="175"/>
      <c r="B75" s="171"/>
      <c r="C75" s="626" t="s">
        <v>3869</v>
      </c>
      <c r="D75" s="177">
        <v>14750000</v>
      </c>
      <c r="E75" s="176"/>
      <c r="F75" s="176"/>
    </row>
    <row r="76" spans="1:6" ht="0.75" customHeight="1">
      <c r="A76" s="175"/>
      <c r="B76" s="171"/>
      <c r="C76" s="626" t="s">
        <v>3870</v>
      </c>
      <c r="D76" s="177"/>
      <c r="E76" s="176"/>
      <c r="F76" s="176"/>
    </row>
    <row r="77" spans="1:6" ht="14.25" customHeight="1">
      <c r="A77" s="175"/>
      <c r="B77" s="171"/>
      <c r="C77" s="626" t="s">
        <v>3871</v>
      </c>
      <c r="D77" s="177">
        <v>14750000</v>
      </c>
      <c r="E77" s="176"/>
      <c r="F77" s="176"/>
    </row>
    <row r="78" spans="1:6" ht="15.75" hidden="1">
      <c r="A78" s="175"/>
      <c r="B78" s="618"/>
      <c r="C78" s="625" t="s">
        <v>5097</v>
      </c>
      <c r="D78" s="176"/>
      <c r="E78" s="176"/>
      <c r="F78" s="176"/>
    </row>
    <row r="79" spans="1:6" ht="48" customHeight="1">
      <c r="A79" s="175">
        <v>4512</v>
      </c>
      <c r="B79" s="171">
        <v>9</v>
      </c>
      <c r="C79" s="807" t="s">
        <v>5376</v>
      </c>
      <c r="D79" s="176">
        <f>SUM(D84:D87)</f>
        <v>7000000</v>
      </c>
      <c r="E79" s="176">
        <f t="shared" ref="E79:F79" si="8">SUM(E84:E87)</f>
        <v>0</v>
      </c>
      <c r="F79" s="176">
        <f t="shared" si="8"/>
        <v>0</v>
      </c>
    </row>
    <row r="80" spans="1:6" ht="31.5">
      <c r="A80" s="175"/>
      <c r="B80" s="173"/>
      <c r="C80" s="804" t="s">
        <v>5369</v>
      </c>
      <c r="D80" s="177"/>
      <c r="E80" s="177"/>
      <c r="F80" s="177"/>
    </row>
    <row r="81" spans="1:6" ht="31.5">
      <c r="A81" s="175"/>
      <c r="B81" s="173"/>
      <c r="C81" s="804" t="s">
        <v>5370</v>
      </c>
      <c r="D81" s="177"/>
      <c r="E81" s="177"/>
      <c r="F81" s="177"/>
    </row>
    <row r="82" spans="1:6" ht="15.75">
      <c r="A82" s="175"/>
      <c r="B82" s="173"/>
      <c r="C82" s="626" t="s">
        <v>5096</v>
      </c>
      <c r="D82" s="177">
        <v>7000000</v>
      </c>
      <c r="E82" s="177"/>
      <c r="F82" s="177"/>
    </row>
    <row r="83" spans="1:6" ht="15.75">
      <c r="A83" s="175"/>
      <c r="B83" s="173"/>
      <c r="C83" s="626" t="s">
        <v>3868</v>
      </c>
      <c r="D83" s="177"/>
      <c r="E83" s="177"/>
      <c r="F83" s="177"/>
    </row>
    <row r="84" spans="1:6" ht="15" customHeight="1">
      <c r="A84" s="175"/>
      <c r="B84" s="173"/>
      <c r="C84" s="626" t="s">
        <v>3869</v>
      </c>
      <c r="D84" s="177">
        <v>7000000</v>
      </c>
      <c r="E84" s="177"/>
      <c r="F84" s="177"/>
    </row>
    <row r="85" spans="1:6" ht="15.75" hidden="1">
      <c r="A85" s="175"/>
      <c r="B85" s="173"/>
      <c r="C85" s="626" t="s">
        <v>3870</v>
      </c>
      <c r="D85" s="177"/>
      <c r="E85" s="177"/>
      <c r="F85" s="177"/>
    </row>
    <row r="86" spans="1:6" ht="15.75" hidden="1">
      <c r="A86" s="175"/>
      <c r="B86" s="173"/>
      <c r="C86" s="626" t="s">
        <v>3871</v>
      </c>
      <c r="D86" s="177"/>
      <c r="E86" s="177"/>
      <c r="F86" s="177"/>
    </row>
    <row r="87" spans="1:6" ht="15.75" hidden="1">
      <c r="A87" s="175"/>
      <c r="B87" s="173"/>
      <c r="C87" s="625" t="s">
        <v>5097</v>
      </c>
      <c r="D87" s="177"/>
      <c r="E87" s="177"/>
      <c r="F87" s="177"/>
    </row>
    <row r="88" spans="1:6" ht="47.25">
      <c r="A88" s="175">
        <v>4512</v>
      </c>
      <c r="B88" s="171">
        <v>10</v>
      </c>
      <c r="C88" s="807" t="s">
        <v>5377</v>
      </c>
      <c r="D88" s="176">
        <f>SUM(D93:D96)</f>
        <v>1000000</v>
      </c>
      <c r="E88" s="176">
        <f t="shared" ref="E88:F88" si="9">SUM(E93:E96)</f>
        <v>0</v>
      </c>
      <c r="F88" s="176">
        <f t="shared" si="9"/>
        <v>0</v>
      </c>
    </row>
    <row r="89" spans="1:6" ht="31.5">
      <c r="A89" s="175"/>
      <c r="B89" s="173"/>
      <c r="C89" s="804" t="s">
        <v>5369</v>
      </c>
      <c r="D89" s="177"/>
      <c r="E89" s="177"/>
      <c r="F89" s="177"/>
    </row>
    <row r="90" spans="1:6" ht="31.5">
      <c r="A90" s="175"/>
      <c r="B90" s="173"/>
      <c r="C90" s="801" t="s">
        <v>5370</v>
      </c>
      <c r="D90" s="177"/>
      <c r="E90" s="177"/>
      <c r="F90" s="177"/>
    </row>
    <row r="91" spans="1:6" ht="15.75">
      <c r="A91" s="175"/>
      <c r="B91" s="173"/>
      <c r="C91" s="626" t="s">
        <v>5096</v>
      </c>
      <c r="D91" s="177">
        <v>1000000</v>
      </c>
      <c r="E91" s="177"/>
      <c r="F91" s="177"/>
    </row>
    <row r="92" spans="1:6" ht="15.75">
      <c r="A92" s="175"/>
      <c r="B92" s="173"/>
      <c r="C92" s="626" t="s">
        <v>3868</v>
      </c>
      <c r="D92" s="177"/>
      <c r="E92" s="177"/>
      <c r="F92" s="177"/>
    </row>
    <row r="93" spans="1:6" ht="15" customHeight="1">
      <c r="A93" s="175"/>
      <c r="B93" s="173"/>
      <c r="C93" s="626" t="s">
        <v>3869</v>
      </c>
      <c r="D93" s="177">
        <v>1000000</v>
      </c>
      <c r="E93" s="177"/>
      <c r="F93" s="177"/>
    </row>
    <row r="94" spans="1:6" ht="15.75" hidden="1">
      <c r="A94" s="175"/>
      <c r="B94" s="173"/>
      <c r="C94" s="626" t="s">
        <v>3870</v>
      </c>
      <c r="D94" s="177"/>
      <c r="E94" s="177"/>
      <c r="F94" s="177"/>
    </row>
    <row r="95" spans="1:6" ht="15.75" hidden="1">
      <c r="A95" s="175"/>
      <c r="B95" s="173"/>
      <c r="C95" s="626" t="s">
        <v>3871</v>
      </c>
      <c r="D95" s="177"/>
      <c r="E95" s="177"/>
      <c r="F95" s="177"/>
    </row>
    <row r="96" spans="1:6" ht="15.75" hidden="1">
      <c r="A96" s="175"/>
      <c r="B96" s="173"/>
      <c r="C96" s="625" t="s">
        <v>5097</v>
      </c>
      <c r="D96" s="177"/>
      <c r="E96" s="177"/>
      <c r="F96" s="177"/>
    </row>
    <row r="97" spans="1:6" ht="47.25">
      <c r="A97" s="175">
        <v>4512</v>
      </c>
      <c r="B97" s="171">
        <v>11</v>
      </c>
      <c r="C97" s="803" t="s">
        <v>5378</v>
      </c>
      <c r="D97" s="176">
        <f>SUM(D102:D105)</f>
        <v>8420000</v>
      </c>
      <c r="E97" s="176">
        <f t="shared" ref="E97:F97" si="10">SUM(E102:E105)</f>
        <v>0</v>
      </c>
      <c r="F97" s="176">
        <f t="shared" si="10"/>
        <v>0</v>
      </c>
    </row>
    <row r="98" spans="1:6" ht="31.5">
      <c r="A98" s="175"/>
      <c r="B98" s="173"/>
      <c r="C98" s="804" t="s">
        <v>5369</v>
      </c>
      <c r="D98" s="177"/>
      <c r="E98" s="177"/>
      <c r="F98" s="177"/>
    </row>
    <row r="99" spans="1:6" ht="31.5">
      <c r="A99" s="175"/>
      <c r="B99" s="173"/>
      <c r="C99" s="805" t="s">
        <v>5370</v>
      </c>
      <c r="D99" s="177"/>
      <c r="E99" s="177"/>
      <c r="F99" s="177"/>
    </row>
    <row r="100" spans="1:6" ht="15.75">
      <c r="A100" s="175"/>
      <c r="B100" s="173"/>
      <c r="C100" s="626" t="s">
        <v>5096</v>
      </c>
      <c r="D100" s="177">
        <v>8420000</v>
      </c>
      <c r="E100" s="177"/>
      <c r="F100" s="177"/>
    </row>
    <row r="101" spans="1:6" ht="15.75">
      <c r="A101" s="175"/>
      <c r="B101" s="173"/>
      <c r="C101" s="626" t="s">
        <v>3868</v>
      </c>
      <c r="D101" s="177"/>
      <c r="E101" s="177"/>
      <c r="F101" s="177"/>
    </row>
    <row r="102" spans="1:6" ht="15.75">
      <c r="A102" s="175"/>
      <c r="B102" s="173"/>
      <c r="C102" s="626" t="s">
        <v>3869</v>
      </c>
      <c r="D102" s="177">
        <v>4210000</v>
      </c>
      <c r="E102" s="177"/>
      <c r="F102" s="177"/>
    </row>
    <row r="103" spans="1:6" ht="0.75" customHeight="1">
      <c r="A103" s="175"/>
      <c r="B103" s="173"/>
      <c r="C103" s="626" t="s">
        <v>3870</v>
      </c>
      <c r="D103" s="177"/>
      <c r="E103" s="177"/>
      <c r="F103" s="177"/>
    </row>
    <row r="104" spans="1:6" ht="15.75">
      <c r="A104" s="175"/>
      <c r="B104" s="173"/>
      <c r="C104" s="626" t="s">
        <v>3871</v>
      </c>
      <c r="D104" s="177">
        <v>4210000</v>
      </c>
      <c r="E104" s="177"/>
      <c r="F104" s="177"/>
    </row>
    <row r="105" spans="1:6" ht="15.75" hidden="1">
      <c r="A105" s="175"/>
      <c r="B105" s="173"/>
      <c r="C105" s="625" t="s">
        <v>5097</v>
      </c>
      <c r="D105" s="177"/>
      <c r="E105" s="177"/>
      <c r="F105" s="177"/>
    </row>
    <row r="106" spans="1:6" ht="47.25">
      <c r="A106" s="175">
        <v>4512</v>
      </c>
      <c r="B106" s="171">
        <v>12</v>
      </c>
      <c r="C106" s="802" t="s">
        <v>5379</v>
      </c>
      <c r="D106" s="176">
        <f>SUM(D111:D114)</f>
        <v>3000000</v>
      </c>
      <c r="E106" s="176">
        <f t="shared" ref="E106:F106" si="11">SUM(E111:E114)</f>
        <v>0</v>
      </c>
      <c r="F106" s="176">
        <f t="shared" si="11"/>
        <v>0</v>
      </c>
    </row>
    <row r="107" spans="1:6" ht="31.5">
      <c r="A107" s="175"/>
      <c r="B107" s="173"/>
      <c r="C107" s="804" t="s">
        <v>5369</v>
      </c>
      <c r="D107" s="177"/>
      <c r="E107" s="177"/>
      <c r="F107" s="177"/>
    </row>
    <row r="108" spans="1:6" ht="31.5">
      <c r="A108" s="175"/>
      <c r="B108" s="173"/>
      <c r="C108" s="805" t="s">
        <v>5370</v>
      </c>
      <c r="D108" s="177"/>
      <c r="E108" s="177"/>
      <c r="F108" s="177"/>
    </row>
    <row r="109" spans="1:6" ht="15.75">
      <c r="A109" s="175"/>
      <c r="B109" s="173"/>
      <c r="C109" s="626" t="s">
        <v>5096</v>
      </c>
      <c r="D109" s="177"/>
      <c r="E109" s="177"/>
      <c r="F109" s="177"/>
    </row>
    <row r="110" spans="1:6" ht="15.75">
      <c r="A110" s="175"/>
      <c r="B110" s="173"/>
      <c r="C110" s="626" t="s">
        <v>3868</v>
      </c>
      <c r="D110" s="177"/>
      <c r="E110" s="177"/>
      <c r="F110" s="177"/>
    </row>
    <row r="111" spans="1:6" ht="15.75">
      <c r="A111" s="175"/>
      <c r="B111" s="173"/>
      <c r="C111" s="626" t="s">
        <v>3869</v>
      </c>
      <c r="D111" s="177">
        <v>3000000</v>
      </c>
      <c r="E111" s="177"/>
      <c r="F111" s="177"/>
    </row>
    <row r="112" spans="1:6" ht="0.75" customHeight="1">
      <c r="A112" s="175"/>
      <c r="B112" s="173"/>
      <c r="C112" s="626" t="s">
        <v>3870</v>
      </c>
      <c r="D112" s="177"/>
      <c r="E112" s="177"/>
      <c r="F112" s="177"/>
    </row>
    <row r="113" spans="1:6" ht="15.75" hidden="1">
      <c r="A113" s="175"/>
      <c r="B113" s="173"/>
      <c r="C113" s="626" t="s">
        <v>3871</v>
      </c>
      <c r="D113" s="177"/>
      <c r="E113" s="177"/>
      <c r="F113" s="177"/>
    </row>
    <row r="114" spans="1:6" ht="15.75" hidden="1">
      <c r="A114" s="175"/>
      <c r="B114" s="173"/>
      <c r="C114" s="625" t="s">
        <v>5097</v>
      </c>
      <c r="D114" s="177"/>
      <c r="E114" s="177"/>
      <c r="F114" s="177"/>
    </row>
    <row r="115" spans="1:6" ht="31.5">
      <c r="A115" s="175">
        <v>511</v>
      </c>
      <c r="B115" s="171">
        <v>13</v>
      </c>
      <c r="C115" s="802" t="s">
        <v>5380</v>
      </c>
      <c r="D115" s="176">
        <f>SUM(D120:D123)</f>
        <v>1245164</v>
      </c>
      <c r="E115" s="176">
        <f t="shared" ref="E115:F115" si="12">SUM(E120:E123)</f>
        <v>0</v>
      </c>
      <c r="F115" s="176">
        <f t="shared" si="12"/>
        <v>0</v>
      </c>
    </row>
    <row r="116" spans="1:6" ht="31.5">
      <c r="A116" s="175"/>
      <c r="B116" s="171"/>
      <c r="C116" s="804" t="s">
        <v>5369</v>
      </c>
      <c r="D116" s="176"/>
      <c r="E116" s="176"/>
      <c r="F116" s="176"/>
    </row>
    <row r="117" spans="1:6" ht="31.5">
      <c r="A117" s="175"/>
      <c r="B117" s="171"/>
      <c r="C117" s="804" t="s">
        <v>5370</v>
      </c>
      <c r="D117" s="177"/>
      <c r="E117" s="176"/>
      <c r="F117" s="176"/>
    </row>
    <row r="118" spans="1:6" ht="15.75">
      <c r="A118" s="175"/>
      <c r="B118" s="171"/>
      <c r="C118" s="626" t="s">
        <v>5096</v>
      </c>
      <c r="D118" s="177">
        <v>1245164</v>
      </c>
      <c r="E118" s="176"/>
      <c r="F118" s="176"/>
    </row>
    <row r="119" spans="1:6" ht="15.75">
      <c r="A119" s="175"/>
      <c r="B119" s="171"/>
      <c r="C119" s="626" t="s">
        <v>3868</v>
      </c>
      <c r="D119" s="177"/>
      <c r="E119" s="176"/>
      <c r="F119" s="176"/>
    </row>
    <row r="120" spans="1:6" ht="15.75">
      <c r="A120" s="175"/>
      <c r="B120" s="171"/>
      <c r="C120" s="626" t="s">
        <v>3869</v>
      </c>
      <c r="D120" s="177">
        <v>1108596</v>
      </c>
      <c r="E120" s="176"/>
      <c r="F120" s="176"/>
    </row>
    <row r="121" spans="1:6" ht="0.75" customHeight="1">
      <c r="A121" s="175"/>
      <c r="B121" s="171"/>
      <c r="C121" s="626" t="s">
        <v>3870</v>
      </c>
      <c r="D121" s="177"/>
      <c r="E121" s="176"/>
      <c r="F121" s="176"/>
    </row>
    <row r="122" spans="1:6" ht="15.75" hidden="1">
      <c r="A122" s="175"/>
      <c r="B122" s="171"/>
      <c r="C122" s="626" t="s">
        <v>3871</v>
      </c>
      <c r="D122" s="177"/>
      <c r="E122" s="176"/>
      <c r="F122" s="176"/>
    </row>
    <row r="123" spans="1:6" ht="15.75">
      <c r="A123" s="175"/>
      <c r="B123" s="618"/>
      <c r="C123" s="625" t="s">
        <v>5097</v>
      </c>
      <c r="D123" s="808">
        <v>136568</v>
      </c>
      <c r="E123" s="176"/>
      <c r="F123" s="176"/>
    </row>
    <row r="124" spans="1:6" ht="31.5">
      <c r="A124" s="175">
        <v>511</v>
      </c>
      <c r="B124" s="171">
        <v>14</v>
      </c>
      <c r="C124" s="802" t="s">
        <v>5381</v>
      </c>
      <c r="D124" s="176">
        <f>SUM(D129:D132)</f>
        <v>0</v>
      </c>
      <c r="E124" s="176">
        <f t="shared" ref="E124:F124" si="13">SUM(E129:E132)</f>
        <v>69000000</v>
      </c>
      <c r="F124" s="176">
        <f t="shared" si="13"/>
        <v>0</v>
      </c>
    </row>
    <row r="125" spans="1:6" ht="31.5">
      <c r="A125" s="175"/>
      <c r="B125" s="173"/>
      <c r="C125" s="804" t="s">
        <v>5382</v>
      </c>
      <c r="D125" s="177"/>
      <c r="E125" s="177"/>
      <c r="F125" s="177"/>
    </row>
    <row r="126" spans="1:6" ht="31.5">
      <c r="A126" s="175"/>
      <c r="B126" s="173"/>
      <c r="C126" s="804" t="s">
        <v>5383</v>
      </c>
      <c r="D126" s="177"/>
      <c r="E126" s="177"/>
      <c r="F126" s="177"/>
    </row>
    <row r="127" spans="1:6" ht="15.75">
      <c r="A127" s="175"/>
      <c r="B127" s="173"/>
      <c r="C127" s="626" t="s">
        <v>5384</v>
      </c>
      <c r="D127" s="177"/>
      <c r="E127" s="177"/>
      <c r="F127" s="177"/>
    </row>
    <row r="128" spans="1:6" ht="15.75">
      <c r="A128" s="175"/>
      <c r="B128" s="173"/>
      <c r="C128" s="626" t="s">
        <v>3868</v>
      </c>
      <c r="D128" s="177"/>
      <c r="E128" s="177"/>
      <c r="F128" s="177"/>
    </row>
    <row r="129" spans="1:6" ht="15.75">
      <c r="A129" s="175"/>
      <c r="B129" s="173"/>
      <c r="C129" s="626" t="s">
        <v>3869</v>
      </c>
      <c r="D129" s="177"/>
      <c r="E129" s="177">
        <v>69000000</v>
      </c>
      <c r="F129" s="177"/>
    </row>
    <row r="130" spans="1:6" ht="15.75" hidden="1">
      <c r="A130" s="175"/>
      <c r="B130" s="173"/>
      <c r="C130" s="626" t="s">
        <v>3870</v>
      </c>
      <c r="D130" s="177"/>
      <c r="E130" s="177"/>
      <c r="F130" s="177"/>
    </row>
    <row r="131" spans="1:6" ht="15.75" hidden="1">
      <c r="A131" s="175"/>
      <c r="B131" s="173"/>
      <c r="C131" s="626" t="s">
        <v>3871</v>
      </c>
      <c r="D131" s="177"/>
      <c r="E131" s="177"/>
      <c r="F131" s="177"/>
    </row>
    <row r="132" spans="1:6" ht="15.75" hidden="1">
      <c r="A132" s="175"/>
      <c r="B132" s="173"/>
      <c r="C132" s="626" t="s">
        <v>3872</v>
      </c>
      <c r="D132" s="177"/>
      <c r="E132" s="177"/>
      <c r="F132" s="177"/>
    </row>
    <row r="133" spans="1:6" ht="15.75" hidden="1">
      <c r="A133" s="175"/>
      <c r="B133" s="173"/>
      <c r="C133" s="625" t="s">
        <v>5097</v>
      </c>
      <c r="D133" s="177"/>
      <c r="E133" s="177"/>
      <c r="F133" s="177"/>
    </row>
    <row r="134" spans="1:6" ht="15.75">
      <c r="A134" s="175">
        <v>511</v>
      </c>
      <c r="B134" s="171">
        <v>15</v>
      </c>
      <c r="C134" s="623" t="s">
        <v>5385</v>
      </c>
      <c r="D134" s="176">
        <f>SUM(D139:D142)</f>
        <v>0</v>
      </c>
      <c r="E134" s="176">
        <f t="shared" ref="E134:F134" si="14">SUM(E139:E142)</f>
        <v>13000000</v>
      </c>
      <c r="F134" s="176">
        <f t="shared" si="14"/>
        <v>0</v>
      </c>
    </row>
    <row r="135" spans="1:6" ht="31.5">
      <c r="A135" s="175"/>
      <c r="B135" s="173"/>
      <c r="C135" s="804" t="s">
        <v>5386</v>
      </c>
      <c r="D135" s="177"/>
      <c r="E135" s="177"/>
      <c r="F135" s="177"/>
    </row>
    <row r="136" spans="1:6" ht="31.5">
      <c r="A136" s="175"/>
      <c r="B136" s="173"/>
      <c r="C136" s="804" t="s">
        <v>5387</v>
      </c>
      <c r="D136" s="177"/>
      <c r="E136" s="177"/>
      <c r="F136" s="177"/>
    </row>
    <row r="137" spans="1:6" ht="15.75">
      <c r="A137" s="175"/>
      <c r="B137" s="173"/>
      <c r="C137" s="626" t="s">
        <v>5096</v>
      </c>
      <c r="D137" s="177"/>
      <c r="E137" s="177"/>
      <c r="F137" s="177"/>
    </row>
    <row r="138" spans="1:6" ht="15.75">
      <c r="A138" s="175"/>
      <c r="B138" s="173"/>
      <c r="C138" s="626" t="s">
        <v>3868</v>
      </c>
      <c r="D138" s="177"/>
      <c r="E138" s="177"/>
      <c r="F138" s="177"/>
    </row>
    <row r="139" spans="1:6" ht="15.75">
      <c r="A139" s="175"/>
      <c r="B139" s="173"/>
      <c r="C139" s="626" t="s">
        <v>3869</v>
      </c>
      <c r="D139" s="177"/>
      <c r="E139" s="177">
        <v>13000000</v>
      </c>
      <c r="F139" s="177"/>
    </row>
    <row r="140" spans="1:6" ht="15.75" hidden="1">
      <c r="A140" s="175"/>
      <c r="B140" s="173"/>
      <c r="C140" s="626" t="s">
        <v>3870</v>
      </c>
      <c r="D140" s="177"/>
      <c r="E140" s="177"/>
      <c r="F140" s="177"/>
    </row>
    <row r="141" spans="1:6" ht="15.75" hidden="1">
      <c r="A141" s="175"/>
      <c r="B141" s="173"/>
      <c r="C141" s="626" t="s">
        <v>3871</v>
      </c>
      <c r="D141" s="177"/>
      <c r="E141" s="177"/>
      <c r="F141" s="177"/>
    </row>
    <row r="142" spans="1:6" ht="15.75" hidden="1">
      <c r="A142" s="175"/>
      <c r="B142" s="173"/>
      <c r="C142" s="627" t="s">
        <v>5097</v>
      </c>
      <c r="D142" s="177"/>
      <c r="E142" s="177"/>
      <c r="F142" s="177"/>
    </row>
    <row r="143" spans="1:6" ht="31.5">
      <c r="A143" s="175">
        <v>4512</v>
      </c>
      <c r="B143" s="618">
        <v>16</v>
      </c>
      <c r="C143" s="802" t="s">
        <v>5388</v>
      </c>
      <c r="D143" s="176">
        <f>SUM(D148:D151)</f>
        <v>0</v>
      </c>
      <c r="E143" s="176">
        <f t="shared" ref="E143:F143" si="15">SUM(E148:E151)</f>
        <v>22000000</v>
      </c>
      <c r="F143" s="176">
        <f t="shared" si="15"/>
        <v>10000000</v>
      </c>
    </row>
    <row r="144" spans="1:6" ht="31.5">
      <c r="A144" s="175"/>
      <c r="B144" s="173"/>
      <c r="C144" s="804" t="s">
        <v>5386</v>
      </c>
      <c r="D144" s="177"/>
      <c r="E144" s="177"/>
      <c r="F144" s="177"/>
    </row>
    <row r="145" spans="1:6" ht="31.5">
      <c r="A145" s="175"/>
      <c r="B145" s="173"/>
      <c r="C145" s="804" t="s">
        <v>5390</v>
      </c>
      <c r="D145" s="177"/>
      <c r="E145" s="177"/>
      <c r="F145" s="177"/>
    </row>
    <row r="146" spans="1:6" ht="15.75">
      <c r="A146" s="175"/>
      <c r="B146" s="173"/>
      <c r="C146" s="626" t="s">
        <v>5096</v>
      </c>
      <c r="D146" s="177"/>
      <c r="E146" s="177"/>
      <c r="F146" s="177"/>
    </row>
    <row r="147" spans="1:6" ht="15.75">
      <c r="A147" s="175"/>
      <c r="B147" s="173"/>
      <c r="C147" s="626" t="s">
        <v>3868</v>
      </c>
      <c r="D147" s="177"/>
      <c r="E147" s="177"/>
      <c r="F147" s="177"/>
    </row>
    <row r="148" spans="1:6" ht="15.75">
      <c r="A148" s="175"/>
      <c r="B148" s="173"/>
      <c r="C148" s="626" t="s">
        <v>3869</v>
      </c>
      <c r="D148" s="177"/>
      <c r="E148" s="177">
        <v>22000000</v>
      </c>
      <c r="F148" s="177">
        <v>10000000</v>
      </c>
    </row>
    <row r="149" spans="1:6" ht="0.75" customHeight="1">
      <c r="A149" s="175"/>
      <c r="B149" s="173"/>
      <c r="C149" s="626" t="s">
        <v>3870</v>
      </c>
      <c r="D149" s="177"/>
      <c r="E149" s="177"/>
      <c r="F149" s="177"/>
    </row>
    <row r="150" spans="1:6" ht="15.75" hidden="1">
      <c r="A150" s="175"/>
      <c r="B150" s="173"/>
      <c r="C150" s="626" t="s">
        <v>3871</v>
      </c>
      <c r="D150" s="177"/>
      <c r="E150" s="177"/>
      <c r="F150" s="177"/>
    </row>
    <row r="151" spans="1:6" ht="15.75" hidden="1">
      <c r="A151" s="175"/>
      <c r="B151" s="173"/>
      <c r="C151" s="627" t="s">
        <v>5097</v>
      </c>
      <c r="D151" s="177"/>
      <c r="E151" s="177"/>
      <c r="F151" s="177"/>
    </row>
    <row r="152" spans="1:6" ht="31.5">
      <c r="A152" s="175">
        <v>4512</v>
      </c>
      <c r="B152" s="618">
        <v>17</v>
      </c>
      <c r="C152" s="802" t="s">
        <v>5389</v>
      </c>
      <c r="D152" s="176">
        <f>SUM(D157:D160)</f>
        <v>0</v>
      </c>
      <c r="E152" s="176">
        <f t="shared" ref="E152:F152" si="16">SUM(E157:E160)</f>
        <v>21000000</v>
      </c>
      <c r="F152" s="176">
        <f t="shared" si="16"/>
        <v>10000000</v>
      </c>
    </row>
    <row r="153" spans="1:6" ht="31.5">
      <c r="A153" s="175"/>
      <c r="B153" s="173"/>
      <c r="C153" s="804" t="s">
        <v>5386</v>
      </c>
      <c r="D153" s="177"/>
      <c r="E153" s="177"/>
      <c r="F153" s="177"/>
    </row>
    <row r="154" spans="1:6" ht="31.5">
      <c r="A154" s="175"/>
      <c r="B154" s="173"/>
      <c r="C154" s="804" t="s">
        <v>5391</v>
      </c>
      <c r="D154" s="177"/>
      <c r="E154" s="177"/>
      <c r="F154" s="177"/>
    </row>
    <row r="155" spans="1:6" ht="15.75">
      <c r="A155" s="175"/>
      <c r="B155" s="173"/>
      <c r="C155" s="626" t="s">
        <v>5096</v>
      </c>
      <c r="D155" s="177"/>
      <c r="E155" s="177"/>
      <c r="F155" s="177"/>
    </row>
    <row r="156" spans="1:6" ht="15.75">
      <c r="A156" s="175"/>
      <c r="B156" s="173"/>
      <c r="C156" s="626" t="s">
        <v>3868</v>
      </c>
      <c r="D156" s="177"/>
      <c r="E156" s="177"/>
      <c r="F156" s="177"/>
    </row>
    <row r="157" spans="1:6" ht="15.75">
      <c r="A157" s="175"/>
      <c r="B157" s="173"/>
      <c r="C157" s="626" t="s">
        <v>3869</v>
      </c>
      <c r="D157" s="177"/>
      <c r="E157" s="177">
        <v>21000000</v>
      </c>
      <c r="F157" s="177">
        <v>10000000</v>
      </c>
    </row>
    <row r="158" spans="1:6" ht="0.75" customHeight="1">
      <c r="A158" s="175"/>
      <c r="B158" s="173"/>
      <c r="C158" s="626" t="s">
        <v>3870</v>
      </c>
      <c r="D158" s="177"/>
      <c r="E158" s="177"/>
      <c r="F158" s="177"/>
    </row>
    <row r="159" spans="1:6" ht="15.75" hidden="1">
      <c r="A159" s="175"/>
      <c r="B159" s="173"/>
      <c r="C159" s="626" t="s">
        <v>3871</v>
      </c>
      <c r="D159" s="177"/>
      <c r="E159" s="177"/>
      <c r="F159" s="177"/>
    </row>
    <row r="160" spans="1:6" ht="15.75" hidden="1">
      <c r="A160" s="175"/>
      <c r="B160" s="173"/>
      <c r="C160" s="627" t="s">
        <v>5097</v>
      </c>
      <c r="D160" s="177"/>
      <c r="E160" s="177"/>
      <c r="F160" s="177"/>
    </row>
    <row r="161" spans="1:6" ht="31.5">
      <c r="A161" s="175">
        <v>4512</v>
      </c>
      <c r="B161" s="618">
        <v>18</v>
      </c>
      <c r="C161" s="802" t="s">
        <v>5392</v>
      </c>
      <c r="D161" s="176">
        <f>SUM(D166:D169)</f>
        <v>0</v>
      </c>
      <c r="E161" s="176">
        <f t="shared" ref="E161:F161" si="17">SUM(E166:E169)</f>
        <v>41000000</v>
      </c>
      <c r="F161" s="176">
        <f t="shared" si="17"/>
        <v>0</v>
      </c>
    </row>
    <row r="162" spans="1:6" ht="31.5">
      <c r="A162" s="175"/>
      <c r="B162" s="173"/>
      <c r="C162" s="804" t="s">
        <v>5386</v>
      </c>
      <c r="D162" s="177"/>
      <c r="E162" s="177"/>
      <c r="F162" s="177"/>
    </row>
    <row r="163" spans="1:6" ht="31.5">
      <c r="A163" s="175"/>
      <c r="B163" s="173"/>
      <c r="C163" s="804" t="s">
        <v>5383</v>
      </c>
      <c r="D163" s="177"/>
      <c r="E163" s="177"/>
      <c r="F163" s="177"/>
    </row>
    <row r="164" spans="1:6" ht="15.75">
      <c r="A164" s="175"/>
      <c r="B164" s="173"/>
      <c r="C164" s="626" t="s">
        <v>5096</v>
      </c>
      <c r="D164" s="177"/>
      <c r="E164" s="177"/>
      <c r="F164" s="177"/>
    </row>
    <row r="165" spans="1:6" ht="15.75">
      <c r="A165" s="175"/>
      <c r="B165" s="173"/>
      <c r="C165" s="626" t="s">
        <v>3868</v>
      </c>
      <c r="D165" s="177"/>
      <c r="E165" s="177"/>
      <c r="F165" s="177"/>
    </row>
    <row r="166" spans="1:6" ht="15" customHeight="1">
      <c r="A166" s="175"/>
      <c r="B166" s="173"/>
      <c r="C166" s="626" t="s">
        <v>3869</v>
      </c>
      <c r="D166" s="177"/>
      <c r="E166" s="177">
        <v>41000000</v>
      </c>
      <c r="F166" s="177"/>
    </row>
    <row r="167" spans="1:6" ht="15.75" hidden="1">
      <c r="A167" s="175"/>
      <c r="B167" s="173"/>
      <c r="C167" s="626" t="s">
        <v>3870</v>
      </c>
      <c r="D167" s="177"/>
      <c r="E167" s="177"/>
      <c r="F167" s="177"/>
    </row>
    <row r="168" spans="1:6" ht="15.75" hidden="1">
      <c r="A168" s="175"/>
      <c r="B168" s="173"/>
      <c r="C168" s="626" t="s">
        <v>3871</v>
      </c>
      <c r="D168" s="177"/>
      <c r="E168" s="177"/>
      <c r="F168" s="177"/>
    </row>
    <row r="169" spans="1:6" ht="15.75" hidden="1">
      <c r="A169" s="175"/>
      <c r="B169" s="173"/>
      <c r="C169" s="627" t="s">
        <v>5097</v>
      </c>
      <c r="D169" s="177"/>
      <c r="E169" s="177"/>
      <c r="F169" s="177"/>
    </row>
    <row r="170" spans="1:6" ht="31.5">
      <c r="A170" s="175">
        <v>4512</v>
      </c>
      <c r="B170" s="618">
        <v>19</v>
      </c>
      <c r="C170" s="802" t="s">
        <v>5393</v>
      </c>
      <c r="D170" s="176">
        <f>SUM(D175:D178)</f>
        <v>0</v>
      </c>
      <c r="E170" s="176">
        <f t="shared" ref="E170:F170" si="18">SUM(E175:E178)</f>
        <v>20000000</v>
      </c>
      <c r="F170" s="176">
        <f t="shared" si="18"/>
        <v>0</v>
      </c>
    </row>
    <row r="171" spans="1:6" ht="31.5">
      <c r="A171" s="175"/>
      <c r="B171" s="173"/>
      <c r="C171" s="804" t="s">
        <v>5386</v>
      </c>
      <c r="D171" s="177"/>
      <c r="E171" s="177"/>
      <c r="F171" s="177"/>
    </row>
    <row r="172" spans="1:6" ht="31.5">
      <c r="A172" s="175"/>
      <c r="B172" s="173"/>
      <c r="C172" s="804" t="s">
        <v>5387</v>
      </c>
      <c r="D172" s="177"/>
      <c r="E172" s="177"/>
      <c r="F172" s="177"/>
    </row>
    <row r="173" spans="1:6" ht="15.75">
      <c r="A173" s="175"/>
      <c r="B173" s="173"/>
      <c r="C173" s="626" t="s">
        <v>5096</v>
      </c>
      <c r="D173" s="177"/>
      <c r="E173" s="177"/>
      <c r="F173" s="177"/>
    </row>
    <row r="174" spans="1:6" ht="15.75">
      <c r="A174" s="175"/>
      <c r="B174" s="173"/>
      <c r="C174" s="626" t="s">
        <v>3868</v>
      </c>
      <c r="D174" s="177"/>
      <c r="E174" s="177"/>
      <c r="F174" s="177"/>
    </row>
    <row r="175" spans="1:6" ht="15.75">
      <c r="A175" s="175"/>
      <c r="B175" s="173"/>
      <c r="C175" s="626" t="s">
        <v>3869</v>
      </c>
      <c r="D175" s="177"/>
      <c r="E175" s="177">
        <v>20000000</v>
      </c>
      <c r="F175" s="177"/>
    </row>
    <row r="176" spans="1:6" ht="15.75">
      <c r="A176" s="175"/>
      <c r="B176" s="173"/>
      <c r="C176" s="626" t="s">
        <v>3870</v>
      </c>
      <c r="D176" s="177"/>
      <c r="E176" s="177"/>
      <c r="F176" s="177"/>
    </row>
    <row r="177" spans="1:6" ht="15.75">
      <c r="A177" s="175"/>
      <c r="B177" s="173"/>
      <c r="C177" s="626" t="s">
        <v>3871</v>
      </c>
      <c r="D177" s="177"/>
      <c r="E177" s="177"/>
      <c r="F177" s="177"/>
    </row>
    <row r="178" spans="1:6" ht="15.75">
      <c r="A178" s="175"/>
      <c r="B178" s="173"/>
      <c r="C178" s="627" t="s">
        <v>5097</v>
      </c>
      <c r="D178" s="177"/>
      <c r="E178" s="177"/>
      <c r="F178" s="177"/>
    </row>
    <row r="179" spans="1:6" ht="15.75">
      <c r="A179" s="175">
        <v>511</v>
      </c>
      <c r="B179" s="618">
        <v>20</v>
      </c>
      <c r="C179" s="623" t="s">
        <v>5394</v>
      </c>
      <c r="D179" s="176">
        <f>SUM(D184:D187)</f>
        <v>0</v>
      </c>
      <c r="E179" s="176">
        <f t="shared" ref="E179:F179" si="19">SUM(E184:E187)</f>
        <v>30000000</v>
      </c>
      <c r="F179" s="176">
        <f t="shared" si="19"/>
        <v>0</v>
      </c>
    </row>
    <row r="180" spans="1:6" ht="31.5">
      <c r="A180" s="175"/>
      <c r="B180" s="173"/>
      <c r="C180" s="804" t="s">
        <v>5386</v>
      </c>
      <c r="D180" s="177"/>
      <c r="E180" s="177"/>
      <c r="F180" s="177"/>
    </row>
    <row r="181" spans="1:6" ht="31.5">
      <c r="A181" s="175"/>
      <c r="B181" s="173"/>
      <c r="C181" s="804" t="s">
        <v>5395</v>
      </c>
      <c r="D181" s="177"/>
      <c r="E181" s="177"/>
      <c r="F181" s="177"/>
    </row>
    <row r="182" spans="1:6" ht="15.75">
      <c r="A182" s="175"/>
      <c r="B182" s="173"/>
      <c r="C182" s="626" t="s">
        <v>5096</v>
      </c>
      <c r="D182" s="177"/>
      <c r="E182" s="177"/>
      <c r="F182" s="177"/>
    </row>
    <row r="183" spans="1:6" ht="15.75">
      <c r="A183" s="175"/>
      <c r="B183" s="173"/>
      <c r="C183" s="626" t="s">
        <v>3868</v>
      </c>
      <c r="D183" s="177"/>
      <c r="E183" s="177"/>
      <c r="F183" s="177"/>
    </row>
    <row r="184" spans="1:6" ht="15.75">
      <c r="A184" s="175"/>
      <c r="B184" s="173"/>
      <c r="C184" s="626" t="s">
        <v>3869</v>
      </c>
      <c r="D184" s="177"/>
      <c r="E184" s="177">
        <v>30000000</v>
      </c>
      <c r="F184" s="177"/>
    </row>
    <row r="185" spans="1:6" ht="15.75">
      <c r="A185" s="175"/>
      <c r="B185" s="173"/>
      <c r="C185" s="626" t="s">
        <v>3870</v>
      </c>
      <c r="D185" s="177"/>
      <c r="E185" s="177"/>
      <c r="F185" s="177"/>
    </row>
    <row r="186" spans="1:6" ht="15.75">
      <c r="A186" s="175"/>
      <c r="B186" s="173"/>
      <c r="C186" s="626" t="s">
        <v>3871</v>
      </c>
      <c r="D186" s="177"/>
      <c r="E186" s="177"/>
      <c r="F186" s="177"/>
    </row>
    <row r="187" spans="1:6" ht="15.75">
      <c r="A187" s="175"/>
      <c r="B187" s="173"/>
      <c r="C187" s="627" t="s">
        <v>5097</v>
      </c>
      <c r="D187" s="177"/>
      <c r="E187" s="177"/>
      <c r="F187" s="177"/>
    </row>
    <row r="188" spans="1:6" s="330" customFormat="1" ht="15.75">
      <c r="A188" s="809"/>
      <c r="B188" s="810"/>
      <c r="C188" s="811"/>
      <c r="D188" s="812"/>
      <c r="E188" s="812"/>
      <c r="F188" s="812"/>
    </row>
    <row r="189" spans="1:6" s="330" customFormat="1" ht="15.75">
      <c r="A189" s="809"/>
      <c r="B189" s="813"/>
      <c r="C189" s="814"/>
      <c r="D189" s="815"/>
      <c r="E189" s="815"/>
      <c r="F189" s="815"/>
    </row>
    <row r="190" spans="1:6" s="330" customFormat="1" ht="15.75">
      <c r="A190" s="809"/>
      <c r="B190" s="813"/>
      <c r="C190" s="814"/>
      <c r="D190" s="815"/>
      <c r="E190" s="815"/>
      <c r="F190" s="815"/>
    </row>
    <row r="191" spans="1:6" s="330" customFormat="1" ht="15.75">
      <c r="A191" s="809"/>
      <c r="B191" s="813"/>
      <c r="C191" s="814"/>
      <c r="D191" s="815"/>
      <c r="E191" s="815"/>
      <c r="F191" s="815"/>
    </row>
    <row r="192" spans="1:6" s="330" customFormat="1" ht="15.75">
      <c r="A192" s="809"/>
      <c r="B192" s="813"/>
      <c r="C192" s="814"/>
      <c r="D192" s="815"/>
      <c r="E192" s="815"/>
      <c r="F192" s="815"/>
    </row>
    <row r="193" spans="1:6" s="330" customFormat="1" ht="15.75">
      <c r="A193" s="809"/>
      <c r="B193" s="813"/>
      <c r="C193" s="814"/>
      <c r="D193" s="815"/>
      <c r="E193" s="815"/>
      <c r="F193" s="815"/>
    </row>
    <row r="194" spans="1:6" s="330" customFormat="1" ht="15.75">
      <c r="A194" s="809"/>
      <c r="B194" s="813"/>
      <c r="C194" s="814"/>
      <c r="D194" s="815"/>
      <c r="E194" s="815"/>
      <c r="F194" s="815"/>
    </row>
    <row r="195" spans="1:6" s="330" customFormat="1" ht="15.75">
      <c r="A195" s="809"/>
      <c r="B195" s="813"/>
      <c r="C195" s="814"/>
      <c r="D195" s="815"/>
      <c r="E195" s="815"/>
      <c r="F195" s="815"/>
    </row>
    <row r="196" spans="1:6" s="330" customFormat="1" ht="15.75">
      <c r="A196" s="809"/>
      <c r="B196" s="813"/>
      <c r="C196" s="816"/>
      <c r="D196" s="815"/>
      <c r="E196" s="815"/>
      <c r="F196" s="815"/>
    </row>
    <row r="197" spans="1:6" s="330" customFormat="1" ht="15.75">
      <c r="A197" s="809"/>
      <c r="B197" s="810"/>
      <c r="C197" s="811"/>
      <c r="D197" s="812"/>
      <c r="E197" s="812"/>
      <c r="F197" s="812"/>
    </row>
    <row r="198" spans="1:6" s="330" customFormat="1" ht="15.75">
      <c r="A198" s="809"/>
      <c r="B198" s="813"/>
      <c r="C198" s="814"/>
      <c r="D198" s="815"/>
      <c r="E198" s="815"/>
      <c r="F198" s="815"/>
    </row>
    <row r="199" spans="1:6" s="330" customFormat="1" ht="15.75">
      <c r="A199" s="809"/>
      <c r="B199" s="813"/>
      <c r="C199" s="814"/>
      <c r="D199" s="815"/>
      <c r="E199" s="815"/>
      <c r="F199" s="815"/>
    </row>
    <row r="200" spans="1:6" s="330" customFormat="1" ht="15.75">
      <c r="A200" s="809"/>
      <c r="B200" s="813"/>
      <c r="C200" s="814"/>
      <c r="D200" s="815"/>
      <c r="E200" s="815"/>
      <c r="F200" s="815"/>
    </row>
    <row r="201" spans="1:6" s="330" customFormat="1" ht="15.75">
      <c r="A201" s="809"/>
      <c r="B201" s="813"/>
      <c r="C201" s="814"/>
      <c r="D201" s="815"/>
      <c r="E201" s="815"/>
      <c r="F201" s="815"/>
    </row>
    <row r="202" spans="1:6" s="330" customFormat="1" ht="15.75">
      <c r="A202" s="809"/>
      <c r="B202" s="813"/>
      <c r="C202" s="814"/>
      <c r="D202" s="815"/>
      <c r="E202" s="815"/>
      <c r="F202" s="815"/>
    </row>
    <row r="203" spans="1:6" s="330" customFormat="1" ht="15.75">
      <c r="A203" s="809"/>
      <c r="B203" s="813"/>
      <c r="C203" s="814"/>
      <c r="D203" s="815"/>
      <c r="E203" s="815"/>
      <c r="F203" s="815"/>
    </row>
    <row r="204" spans="1:6" s="330" customFormat="1" ht="15.75">
      <c r="A204" s="809"/>
      <c r="B204" s="813"/>
      <c r="C204" s="814"/>
      <c r="D204" s="815"/>
      <c r="E204" s="815"/>
      <c r="F204" s="815"/>
    </row>
    <row r="205" spans="1:6" s="330" customFormat="1" ht="15.75">
      <c r="A205" s="809"/>
      <c r="B205" s="813"/>
      <c r="C205" s="816"/>
      <c r="D205" s="815"/>
      <c r="E205" s="815"/>
      <c r="F205" s="815"/>
    </row>
    <row r="206" spans="1:6" s="330" customFormat="1" ht="15.75">
      <c r="A206" s="809"/>
      <c r="B206" s="810"/>
      <c r="C206" s="811"/>
      <c r="D206" s="812"/>
      <c r="E206" s="812"/>
      <c r="F206" s="812"/>
    </row>
    <row r="207" spans="1:6" s="330" customFormat="1" ht="15.75">
      <c r="A207" s="809"/>
      <c r="B207" s="813"/>
      <c r="C207" s="814"/>
      <c r="D207" s="815"/>
      <c r="E207" s="815"/>
      <c r="F207" s="815"/>
    </row>
    <row r="208" spans="1:6" s="330" customFormat="1" ht="15.75">
      <c r="A208" s="809"/>
      <c r="B208" s="813"/>
      <c r="C208" s="814"/>
      <c r="D208" s="815"/>
      <c r="E208" s="815"/>
      <c r="F208" s="815"/>
    </row>
    <row r="209" spans="1:6" s="330" customFormat="1" ht="15.75">
      <c r="A209" s="809"/>
      <c r="B209" s="813"/>
      <c r="C209" s="814"/>
      <c r="D209" s="815"/>
      <c r="E209" s="815"/>
      <c r="F209" s="815"/>
    </row>
    <row r="210" spans="1:6" s="330" customFormat="1" ht="15.75">
      <c r="A210" s="809"/>
      <c r="B210" s="813"/>
      <c r="C210" s="814"/>
      <c r="D210" s="815"/>
      <c r="E210" s="815"/>
      <c r="F210" s="815"/>
    </row>
    <row r="211" spans="1:6" s="330" customFormat="1" ht="15.75">
      <c r="A211" s="809"/>
      <c r="B211" s="813"/>
      <c r="C211" s="814"/>
      <c r="D211" s="815"/>
      <c r="E211" s="815"/>
      <c r="F211" s="815"/>
    </row>
    <row r="212" spans="1:6" s="330" customFormat="1" ht="15.75">
      <c r="A212" s="809"/>
      <c r="B212" s="813"/>
      <c r="C212" s="814"/>
      <c r="D212" s="815"/>
      <c r="E212" s="815"/>
      <c r="F212" s="815"/>
    </row>
    <row r="213" spans="1:6" s="330" customFormat="1" ht="15.75">
      <c r="A213" s="809"/>
      <c r="B213" s="813"/>
      <c r="C213" s="814"/>
      <c r="D213" s="815"/>
      <c r="E213" s="815"/>
      <c r="F213" s="815"/>
    </row>
    <row r="214" spans="1:6" s="330" customFormat="1" ht="15.75">
      <c r="A214" s="809"/>
      <c r="B214" s="813"/>
      <c r="C214" s="816"/>
      <c r="D214" s="815"/>
      <c r="E214" s="815"/>
      <c r="F214" s="815"/>
    </row>
  </sheetData>
  <sheetProtection password="CA6E" sheet="1" objects="1" scenarios="1"/>
  <mergeCells count="5">
    <mergeCell ref="A1:F1"/>
    <mergeCell ref="B3:B4"/>
    <mergeCell ref="C3:C4"/>
    <mergeCell ref="D3:F3"/>
    <mergeCell ref="A2:F2"/>
  </mergeCells>
  <pageMargins left="0.70866141732283472" right="0.70866141732283472"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sheetPr codeName="Sheet5">
    <tabColor theme="0"/>
  </sheetPr>
  <dimension ref="A1:F88"/>
  <sheetViews>
    <sheetView topLeftCell="A51" workbookViewId="0">
      <selection activeCell="E104" sqref="E104"/>
    </sheetView>
  </sheetViews>
  <sheetFormatPr defaultRowHeight="15"/>
  <cols>
    <col min="1" max="1" width="7" style="84" customWidth="1"/>
    <col min="2" max="2" width="39.85546875" style="84" customWidth="1"/>
    <col min="3" max="3" width="15.42578125" style="84" customWidth="1"/>
    <col min="4" max="4" width="7.28515625" style="84" customWidth="1"/>
    <col min="5" max="5" width="15.140625" style="84" customWidth="1"/>
    <col min="6" max="6" width="15.5703125" style="84" customWidth="1"/>
    <col min="7" max="16384" width="9.140625" style="84"/>
  </cols>
  <sheetData>
    <row r="1" spans="1:6">
      <c r="B1" s="853" t="s">
        <v>5159</v>
      </c>
      <c r="C1" s="853"/>
      <c r="D1" s="853"/>
      <c r="E1" s="853"/>
      <c r="F1" s="853"/>
    </row>
    <row r="2" spans="1:6" ht="15" customHeight="1">
      <c r="A2" s="867" t="s">
        <v>5160</v>
      </c>
      <c r="B2" s="867"/>
      <c r="C2" s="867"/>
      <c r="D2" s="867"/>
      <c r="E2" s="867"/>
      <c r="F2" s="867"/>
    </row>
    <row r="3" spans="1:6">
      <c r="A3" s="124"/>
      <c r="B3" s="125"/>
      <c r="C3" s="126"/>
      <c r="D3" s="126"/>
      <c r="E3" s="126"/>
      <c r="F3" s="126"/>
    </row>
    <row r="4" spans="1:6" ht="31.5">
      <c r="A4" s="127" t="s">
        <v>3761</v>
      </c>
      <c r="B4" s="127" t="s">
        <v>3762</v>
      </c>
      <c r="C4" s="128" t="s">
        <v>24</v>
      </c>
      <c r="D4" s="128" t="s">
        <v>3763</v>
      </c>
      <c r="E4" s="128" t="s">
        <v>3760</v>
      </c>
      <c r="F4" s="128" t="s">
        <v>4163</v>
      </c>
    </row>
    <row r="5" spans="1:6">
      <c r="A5" s="129" t="s">
        <v>3766</v>
      </c>
      <c r="B5" s="130">
        <v>2</v>
      </c>
      <c r="C5" s="131">
        <v>3</v>
      </c>
      <c r="D5" s="131">
        <v>4</v>
      </c>
      <c r="E5" s="131">
        <v>5</v>
      </c>
      <c r="F5" s="131">
        <v>6</v>
      </c>
    </row>
    <row r="6" spans="1:6">
      <c r="A6" s="586" t="s">
        <v>3930</v>
      </c>
      <c r="B6" s="585" t="s">
        <v>4480</v>
      </c>
      <c r="C6" s="592">
        <f>SUM(C7,C16,C23,C29,C34,C40,C47,C49,C56)</f>
        <v>381740804</v>
      </c>
      <c r="D6" s="591">
        <f>IFERROR(C6/$C$87,"-")</f>
        <v>0.80470859993351374</v>
      </c>
      <c r="E6" s="592">
        <f>SUM(E7,E16,E23,E29,E34,E40,E47,E49,E56)</f>
        <v>11443603</v>
      </c>
      <c r="F6" s="592">
        <f>SUM(E6,C6)</f>
        <v>393184407</v>
      </c>
    </row>
    <row r="7" spans="1:6">
      <c r="A7" s="132" t="s">
        <v>3767</v>
      </c>
      <c r="B7" s="133" t="s">
        <v>3768</v>
      </c>
      <c r="C7" s="134">
        <f>SUM(C8:C15)</f>
        <v>70139204</v>
      </c>
      <c r="D7" s="135">
        <f>IFERROR(C7/$C$87,"-")</f>
        <v>0.14785325555947409</v>
      </c>
      <c r="E7" s="134">
        <f>SUM(E8:E15)</f>
        <v>1660000</v>
      </c>
      <c r="F7" s="134">
        <f>C7+E7</f>
        <v>71799204</v>
      </c>
    </row>
    <row r="8" spans="1:6">
      <c r="A8" s="136">
        <v>411</v>
      </c>
      <c r="B8" s="137" t="s">
        <v>3769</v>
      </c>
      <c r="C8" s="138">
        <f>SUMIF('ПО КОРИСНИЦИМА'!$F$7:$F$13997,'По основ. нам.'!A8,'ПО КОРИСНИЦИМА'!$H$7:$H$13997)</f>
        <v>55820160</v>
      </c>
      <c r="D8" s="139">
        <f t="shared" ref="D8:D77" si="0">IFERROR(C8/$C$87,"-")</f>
        <v>0.11766874887617391</v>
      </c>
      <c r="E8" s="138">
        <f>SUMIF('ПО КОРИСНИЦИМА'!$F$7:$F$13997,'По основ. нам.'!A8,'ПО КОРИСНИЦИМА'!$I$7:$I$13997)</f>
        <v>0</v>
      </c>
      <c r="F8" s="138">
        <f>C8+E8</f>
        <v>55820160</v>
      </c>
    </row>
    <row r="9" spans="1:6">
      <c r="A9" s="136">
        <v>412</v>
      </c>
      <c r="B9" s="137" t="s">
        <v>3770</v>
      </c>
      <c r="C9" s="138">
        <f>SUMIF('ПО КОРИСНИЦИМА'!$F$7:$F$13997,'По основ. нам.'!A9,'ПО КОРИСНИЦИМА'!$H$7:$H$13997)</f>
        <v>9992188</v>
      </c>
      <c r="D9" s="139">
        <f t="shared" si="0"/>
        <v>2.1063505738706561E-2</v>
      </c>
      <c r="E9" s="138">
        <f>SUMIF('ПО КОРИСНИЦИМА'!$F$7:$F$13997,'По основ. нам.'!A9,'ПО КОРИСНИЦИМА'!$I$7:$I$13997)</f>
        <v>0</v>
      </c>
      <c r="F9" s="138">
        <f t="shared" ref="F9:F78" si="1">C9+E9</f>
        <v>9992188</v>
      </c>
    </row>
    <row r="10" spans="1:6">
      <c r="A10" s="140">
        <v>413</v>
      </c>
      <c r="B10" s="137" t="s">
        <v>3771</v>
      </c>
      <c r="C10" s="138">
        <f>SUMIF('ПО КОРИСНИЦИМА'!$F$7:$F$13997,'По основ. нам.'!A10,'ПО КОРИСНИЦИМА'!$H$7:$H$13997)</f>
        <v>272000</v>
      </c>
      <c r="D10" s="139">
        <f t="shared" si="0"/>
        <v>5.7337527685910085E-4</v>
      </c>
      <c r="E10" s="138">
        <f>SUMIF('ПО КОРИСНИЦИМА'!$F$7:$F$13997,'По основ. нам.'!A10,'ПО КОРИСНИЦИМА'!$I$7:$I$13997)</f>
        <v>50000</v>
      </c>
      <c r="F10" s="138">
        <f t="shared" si="1"/>
        <v>322000</v>
      </c>
    </row>
    <row r="11" spans="1:6">
      <c r="A11" s="136" t="s">
        <v>3772</v>
      </c>
      <c r="B11" s="137" t="s">
        <v>3773</v>
      </c>
      <c r="C11" s="138">
        <f>SUMIF('ПО КОРИСНИЦИМА'!$F$7:$F$13997,'По основ. нам.'!A11,'ПО КОРИСНИЦИМА'!$H$7:$H$13997)</f>
        <v>1671304</v>
      </c>
      <c r="D11" s="139">
        <f t="shared" si="0"/>
        <v>3.5231043886607451E-3</v>
      </c>
      <c r="E11" s="138">
        <f>SUMIF('ПО КОРИСНИЦИМА'!$F$7:$F$13997,'По основ. нам.'!A11,'ПО КОРИСНИЦИМА'!$I$7:$I$13997)</f>
        <v>1400000</v>
      </c>
      <c r="F11" s="138">
        <f t="shared" si="1"/>
        <v>3071304</v>
      </c>
    </row>
    <row r="12" spans="1:6">
      <c r="A12" s="136" t="s">
        <v>3774</v>
      </c>
      <c r="B12" s="137" t="s">
        <v>3775</v>
      </c>
      <c r="C12" s="138">
        <f>SUMIF('ПО КОРИСНИЦИМА'!$F$7:$F$13997,'По основ. нам.'!A12,'ПО КОРИСНИЦИМА'!$H$7:$H$13997)</f>
        <v>1550000</v>
      </c>
      <c r="D12" s="139">
        <f t="shared" si="0"/>
        <v>3.2673958791603172E-3</v>
      </c>
      <c r="E12" s="138">
        <f>SUMIF('ПО КОРИСНИЦИМА'!$F$7:$F$13997,'По основ. нам.'!A12,'ПО КОРИСНИЦИМА'!$I$7:$I$13997)</f>
        <v>210000</v>
      </c>
      <c r="F12" s="138">
        <f t="shared" si="1"/>
        <v>1760000</v>
      </c>
    </row>
    <row r="13" spans="1:6">
      <c r="A13" s="136" t="s">
        <v>3776</v>
      </c>
      <c r="B13" s="137" t="s">
        <v>3777</v>
      </c>
      <c r="C13" s="138">
        <f>SUMIF('ПО КОРИСНИЦИМА'!$F$7:$F$13997,'По основ. нам.'!A13,'ПО КОРИСНИЦИМА'!$H$7:$H$13997)</f>
        <v>833552</v>
      </c>
      <c r="D13" s="139">
        <f t="shared" si="0"/>
        <v>1.7571253999134457E-3</v>
      </c>
      <c r="E13" s="138">
        <f>SUMIF('ПО КОРИСНИЦИМА'!$F$7:$F$13997,'По основ. нам.'!A13,'ПО КОРИСНИЦИМА'!$I$7:$I$13997)</f>
        <v>0</v>
      </c>
      <c r="F13" s="138">
        <f t="shared" si="1"/>
        <v>833552</v>
      </c>
    </row>
    <row r="14" spans="1:6" hidden="1">
      <c r="A14" s="136">
        <v>417</v>
      </c>
      <c r="B14" s="137" t="s">
        <v>3778</v>
      </c>
      <c r="C14" s="138">
        <f>SUMIF('ПО КОРИСНИЦИМА'!$F$7:$F$13997,'По основ. нам.'!A14,'ПО КОРИСНИЦИМА'!$H$7:$H$13997)</f>
        <v>0</v>
      </c>
      <c r="D14" s="139">
        <f t="shared" si="0"/>
        <v>0</v>
      </c>
      <c r="E14" s="138">
        <f>SUMIF('ПО КОРИСНИЦИМА'!$F$7:$F$13997,'По основ. нам.'!A14,'ПО КОРИСНИЦИМА'!$I$7:$I$13997)</f>
        <v>0</v>
      </c>
      <c r="F14" s="138">
        <f t="shared" si="1"/>
        <v>0</v>
      </c>
    </row>
    <row r="15" spans="1:6" hidden="1">
      <c r="A15" s="136">
        <v>418</v>
      </c>
      <c r="B15" s="137" t="s">
        <v>3779</v>
      </c>
      <c r="C15" s="138">
        <f>SUMIF('ПО КОРИСНИЦИМА'!$F$7:$F$13997,'По основ. нам.'!A15,'ПО КОРИСНИЦИМА'!$H$7:$H$13997)</f>
        <v>0</v>
      </c>
      <c r="D15" s="139">
        <f t="shared" si="0"/>
        <v>0</v>
      </c>
      <c r="E15" s="138">
        <f>SUMIF('ПО КОРИСНИЦИМА'!$F$7:$F$13997,'По основ. нам.'!A15,'ПО КОРИСНИЦИМА'!$I$7:$I$13997)</f>
        <v>0</v>
      </c>
      <c r="F15" s="141">
        <f t="shared" si="1"/>
        <v>0</v>
      </c>
    </row>
    <row r="16" spans="1:6">
      <c r="A16" s="132" t="s">
        <v>3780</v>
      </c>
      <c r="B16" s="133" t="s">
        <v>3781</v>
      </c>
      <c r="C16" s="134">
        <f>SUM(C17:C22)</f>
        <v>160708229</v>
      </c>
      <c r="D16" s="135">
        <f t="shared" si="0"/>
        <v>0.33877251947209847</v>
      </c>
      <c r="E16" s="134">
        <f>SUM(E17:E22)</f>
        <v>9773063</v>
      </c>
      <c r="F16" s="134">
        <f t="shared" si="1"/>
        <v>170481292</v>
      </c>
    </row>
    <row r="17" spans="1:6">
      <c r="A17" s="136" t="s">
        <v>3782</v>
      </c>
      <c r="B17" s="137" t="s">
        <v>3783</v>
      </c>
      <c r="C17" s="138">
        <f>SUMIF('ПО КОРИСНИЦИМА'!$F$7:$F$13997,'По основ. нам.'!A17,'ПО КОРИСНИЦИМА'!$H$7:$H$13997)</f>
        <v>15975315</v>
      </c>
      <c r="D17" s="139">
        <f t="shared" si="0"/>
        <v>3.3675921547927742E-2</v>
      </c>
      <c r="E17" s="138">
        <f>SUMIF('ПО КОРИСНИЦИМА'!$F$7:$F$13997,'По основ. нам.'!A17,'ПО КОРИСНИЦИМА'!$I$7:$I$13997)</f>
        <v>1888300</v>
      </c>
      <c r="F17" s="138">
        <f t="shared" si="1"/>
        <v>17863615</v>
      </c>
    </row>
    <row r="18" spans="1:6">
      <c r="A18" s="136">
        <v>422</v>
      </c>
      <c r="B18" s="137" t="s">
        <v>3784</v>
      </c>
      <c r="C18" s="138">
        <f>SUMIF('ПО КОРИСНИЦИМА'!$F$7:$F$13997,'По основ. нам.'!A18,'ПО КОРИСНИЦИМА'!$H$7:$H$13997)</f>
        <v>1018000</v>
      </c>
      <c r="D18" s="139">
        <f t="shared" si="0"/>
        <v>2.1459412935388405E-3</v>
      </c>
      <c r="E18" s="138">
        <f>SUMIF('ПО КОРИСНИЦИМА'!$F$7:$F$13997,'По основ. нам.'!A18,'ПО КОРИСНИЦИМА'!$I$7:$I$13997)</f>
        <v>411950</v>
      </c>
      <c r="F18" s="138">
        <f t="shared" si="1"/>
        <v>1429950</v>
      </c>
    </row>
    <row r="19" spans="1:6">
      <c r="A19" s="136">
        <v>423</v>
      </c>
      <c r="B19" s="137" t="s">
        <v>3785</v>
      </c>
      <c r="C19" s="138">
        <f>SUMIF('ПО КОРИСНИЦИМА'!$F$7:$F$13997,'По основ. нам.'!A19,'ПО КОРИСНИЦИМА'!$H$7:$H$13997)</f>
        <v>21302560</v>
      </c>
      <c r="D19" s="139">
        <f t="shared" si="0"/>
        <v>4.4905739844880908E-2</v>
      </c>
      <c r="E19" s="138">
        <f>SUMIF('ПО КОРИСНИЦИМА'!$F$7:$F$13997,'По основ. нам.'!A19,'ПО КОРИСНИЦИМА'!$I$7:$I$13997)</f>
        <v>1865770</v>
      </c>
      <c r="F19" s="138">
        <f t="shared" si="1"/>
        <v>23168330</v>
      </c>
    </row>
    <row r="20" spans="1:6">
      <c r="A20" s="136" t="s">
        <v>3786</v>
      </c>
      <c r="B20" s="137" t="s">
        <v>3787</v>
      </c>
      <c r="C20" s="138">
        <f>SUMIF('ПО КОРИСНИЦИМА'!$F$7:$F$13997,'По основ. нам.'!A20,'ПО КОРИСНИЦИМА'!$H$7:$H$13997)</f>
        <v>108199904</v>
      </c>
      <c r="D20" s="139">
        <f t="shared" si="0"/>
        <v>0.2280851099710593</v>
      </c>
      <c r="E20" s="138">
        <f>SUMIF('ПО КОРИСНИЦИМА'!$F$7:$F$13997,'По основ. нам.'!A20,'ПО КОРИСНИЦИМА'!$I$7:$I$13997)</f>
        <v>294077</v>
      </c>
      <c r="F20" s="138">
        <f t="shared" si="1"/>
        <v>108493981</v>
      </c>
    </row>
    <row r="21" spans="1:6">
      <c r="A21" s="136" t="s">
        <v>3788</v>
      </c>
      <c r="B21" s="137" t="s">
        <v>3789</v>
      </c>
      <c r="C21" s="138">
        <f>SUMIF('ПО КОРИСНИЦИМА'!$F$7:$F$13997,'По основ. нам.'!A21,'ПО КОРИСНИЦИМА'!$H$7:$H$13997)</f>
        <v>3448810</v>
      </c>
      <c r="D21" s="139">
        <f t="shared" si="0"/>
        <v>7.2700823109721896E-3</v>
      </c>
      <c r="E21" s="138">
        <f>SUMIF('ПО КОРИСНИЦИМА'!$F$7:$F$13997,'По основ. нам.'!A21,'ПО КОРИСНИЦИМА'!$I$7:$I$13997)</f>
        <v>976250</v>
      </c>
      <c r="F21" s="138">
        <f t="shared" si="1"/>
        <v>4425060</v>
      </c>
    </row>
    <row r="22" spans="1:6">
      <c r="A22" s="136" t="s">
        <v>3790</v>
      </c>
      <c r="B22" s="137" t="s">
        <v>3791</v>
      </c>
      <c r="C22" s="138">
        <f>SUMIF('ПО КОРИСНИЦИМА'!$F$7:$F$13997,'По основ. нам.'!A22,'ПО КОРИСНИЦИМА'!$H$7:$H$13997)</f>
        <v>10763640</v>
      </c>
      <c r="D22" s="139">
        <f t="shared" si="0"/>
        <v>2.2689724503719456E-2</v>
      </c>
      <c r="E22" s="138">
        <f>SUMIF('ПО КОРИСНИЦИМА'!$F$7:$F$13997,'По основ. нам.'!A22,'ПО КОРИСНИЦИМА'!$I$7:$I$13997)</f>
        <v>4336716</v>
      </c>
      <c r="F22" s="138">
        <f t="shared" si="1"/>
        <v>15100356</v>
      </c>
    </row>
    <row r="23" spans="1:6">
      <c r="A23" s="132" t="s">
        <v>3792</v>
      </c>
      <c r="B23" s="133" t="s">
        <v>3793</v>
      </c>
      <c r="C23" s="134">
        <f>SUM(C24:C28)</f>
        <v>0</v>
      </c>
      <c r="D23" s="135">
        <f t="shared" si="0"/>
        <v>0</v>
      </c>
      <c r="E23" s="134">
        <f>SUM(E24:E28)</f>
        <v>0</v>
      </c>
      <c r="F23" s="134">
        <f t="shared" si="1"/>
        <v>0</v>
      </c>
    </row>
    <row r="24" spans="1:6" ht="0.75" customHeight="1">
      <c r="A24" s="136">
        <v>431</v>
      </c>
      <c r="B24" s="137" t="s">
        <v>3794</v>
      </c>
      <c r="C24" s="138">
        <f>SUMIF('ПО КОРИСНИЦИМА'!$F$7:$F$13997,'По основ. нам.'!A24,'ПО КОРИСНИЦИМА'!$H$7:$H$13997)</f>
        <v>0</v>
      </c>
      <c r="D24" s="139">
        <f t="shared" si="0"/>
        <v>0</v>
      </c>
      <c r="E24" s="138">
        <f>SUMIF('ПО КОРИСНИЦИМА'!$F$7:$F$13997,'По основ. нам.'!A24,'ПО КОРИСНИЦИМА'!$I$7:$I$13997)</f>
        <v>0</v>
      </c>
      <c r="F24" s="138">
        <f t="shared" si="1"/>
        <v>0</v>
      </c>
    </row>
    <row r="25" spans="1:6" hidden="1">
      <c r="A25" s="136">
        <v>432</v>
      </c>
      <c r="B25" s="137" t="s">
        <v>3795</v>
      </c>
      <c r="C25" s="138">
        <f>SUMIF('ПО КОРИСНИЦИМА'!$F$7:$F$13997,'По основ. нам.'!A25,'ПО КОРИСНИЦИМА'!$H$7:$H$13997)</f>
        <v>0</v>
      </c>
      <c r="D25" s="139">
        <f t="shared" si="0"/>
        <v>0</v>
      </c>
      <c r="E25" s="138">
        <f>SUMIF('ПО КОРИСНИЦИМА'!$F$7:$F$13997,'По основ. нам.'!A25,'ПО КОРИСНИЦИМА'!$I$7:$I$13997)</f>
        <v>0</v>
      </c>
      <c r="F25" s="141">
        <f t="shared" si="1"/>
        <v>0</v>
      </c>
    </row>
    <row r="26" spans="1:6" hidden="1">
      <c r="A26" s="136">
        <v>433</v>
      </c>
      <c r="B26" s="137" t="s">
        <v>3796</v>
      </c>
      <c r="C26" s="138">
        <f>SUMIF('ПО КОРИСНИЦИМА'!$F$7:$F$13997,'По основ. нам.'!A26,'ПО КОРИСНИЦИМА'!$H$7:$H$13997)</f>
        <v>0</v>
      </c>
      <c r="D26" s="139">
        <f t="shared" si="0"/>
        <v>0</v>
      </c>
      <c r="E26" s="138">
        <f>SUMIF('ПО КОРИСНИЦИМА'!$F$7:$F$13997,'По основ. нам.'!A26,'ПО КОРИСНИЦИМА'!$I$7:$I$13997)</f>
        <v>0</v>
      </c>
      <c r="F26" s="141">
        <f t="shared" si="1"/>
        <v>0</v>
      </c>
    </row>
    <row r="27" spans="1:6" hidden="1">
      <c r="A27" s="136">
        <v>434</v>
      </c>
      <c r="B27" s="137" t="s">
        <v>3797</v>
      </c>
      <c r="C27" s="138">
        <f>SUMIF('ПО КОРИСНИЦИМА'!$F$7:$F$13997,'По основ. нам.'!A27,'ПО КОРИСНИЦИМА'!$H$7:$H$13997)</f>
        <v>0</v>
      </c>
      <c r="D27" s="139">
        <f t="shared" si="0"/>
        <v>0</v>
      </c>
      <c r="E27" s="138">
        <f>SUMIF('ПО КОРИСНИЦИМА'!$F$7:$F$13997,'По основ. нам.'!A27,'ПО КОРИСНИЦИМА'!$I$7:$I$13997)</f>
        <v>0</v>
      </c>
      <c r="F27" s="138">
        <f t="shared" si="1"/>
        <v>0</v>
      </c>
    </row>
    <row r="28" spans="1:6" hidden="1">
      <c r="A28" s="136">
        <v>435</v>
      </c>
      <c r="B28" s="137" t="s">
        <v>3798</v>
      </c>
      <c r="C28" s="138">
        <f>SUMIF('ПО КОРИСНИЦИМА'!$F$7:$F$13997,'По основ. нам.'!A28,'ПО КОРИСНИЦИМА'!$H$7:$H$13997)</f>
        <v>0</v>
      </c>
      <c r="D28" s="139">
        <f t="shared" si="0"/>
        <v>0</v>
      </c>
      <c r="E28" s="138">
        <f>SUMIF('ПО КОРИСНИЦИМА'!$F$7:$F$13997,'По основ. нам.'!A28,'ПО КОРИСНИЦИМА'!$I$7:$I$13997)</f>
        <v>0</v>
      </c>
      <c r="F28" s="141">
        <f t="shared" si="1"/>
        <v>0</v>
      </c>
    </row>
    <row r="29" spans="1:6">
      <c r="A29" s="132" t="s">
        <v>3799</v>
      </c>
      <c r="B29" s="133" t="s">
        <v>3800</v>
      </c>
      <c r="C29" s="134">
        <f>SUM(C30:C33)</f>
        <v>0</v>
      </c>
      <c r="D29" s="135">
        <f t="shared" si="0"/>
        <v>0</v>
      </c>
      <c r="E29" s="134">
        <f>SUM(E30:E33)</f>
        <v>0</v>
      </c>
      <c r="F29" s="134">
        <f t="shared" si="1"/>
        <v>0</v>
      </c>
    </row>
    <row r="30" spans="1:6" hidden="1">
      <c r="A30" s="136">
        <v>441</v>
      </c>
      <c r="B30" s="137" t="s">
        <v>3801</v>
      </c>
      <c r="C30" s="138">
        <f>SUMIF('ПО КОРИСНИЦИМА'!$F$7:$F$13997,'По основ. нам.'!A30,'ПО КОРИСНИЦИМА'!$H$7:$H$13997)</f>
        <v>0</v>
      </c>
      <c r="D30" s="139">
        <f t="shared" si="0"/>
        <v>0</v>
      </c>
      <c r="E30" s="138">
        <f>SUMIF('ПО КОРИСНИЦИМА'!$F$7:$F$13997,'По основ. нам.'!A30,'ПО КОРИСНИЦИМА'!$I$7:$I$13997)</f>
        <v>0</v>
      </c>
      <c r="F30" s="138">
        <f t="shared" si="1"/>
        <v>0</v>
      </c>
    </row>
    <row r="31" spans="1:6" hidden="1">
      <c r="A31" s="136">
        <v>442</v>
      </c>
      <c r="B31" s="137" t="s">
        <v>3802</v>
      </c>
      <c r="C31" s="138">
        <f>SUMIF('ПО КОРИСНИЦИМА'!$F$7:$F$13997,'По основ. нам.'!A31,'ПО КОРИСНИЦИМА'!$H$7:$H$13997)</f>
        <v>0</v>
      </c>
      <c r="D31" s="139">
        <f t="shared" si="0"/>
        <v>0</v>
      </c>
      <c r="E31" s="138">
        <f>SUMIF('ПО КОРИСНИЦИМА'!$F$7:$F$13997,'По основ. нам.'!A31,'ПО КОРИСНИЦИМА'!$I$7:$I$13997)</f>
        <v>0</v>
      </c>
      <c r="F31" s="141">
        <f t="shared" si="1"/>
        <v>0</v>
      </c>
    </row>
    <row r="32" spans="1:6" hidden="1">
      <c r="A32" s="136">
        <v>443</v>
      </c>
      <c r="B32" s="137" t="s">
        <v>3803</v>
      </c>
      <c r="C32" s="138">
        <f>SUMIF('ПО КОРИСНИЦИМА'!$F$7:$F$13997,'По основ. нам.'!A32,'ПО КОРИСНИЦИМА'!$H$7:$H$13997)</f>
        <v>0</v>
      </c>
      <c r="D32" s="139">
        <f t="shared" si="0"/>
        <v>0</v>
      </c>
      <c r="E32" s="138">
        <f>SUMIF('ПО КОРИСНИЦИМА'!$F$7:$F$13997,'По основ. нам.'!A32,'ПО КОРИСНИЦИМА'!$I$7:$I$13997)</f>
        <v>0</v>
      </c>
      <c r="F32" s="141">
        <f t="shared" si="1"/>
        <v>0</v>
      </c>
    </row>
    <row r="33" spans="1:6" hidden="1">
      <c r="A33" s="142">
        <v>444</v>
      </c>
      <c r="B33" s="143" t="s">
        <v>3804</v>
      </c>
      <c r="C33" s="138">
        <f>SUMIF('ПО КОРИСНИЦИМА'!$F$7:$F$13997,'По основ. нам.'!A33,'ПО КОРИСНИЦИМА'!$H$7:$H$13997)</f>
        <v>0</v>
      </c>
      <c r="D33" s="139">
        <f t="shared" si="0"/>
        <v>0</v>
      </c>
      <c r="E33" s="138">
        <f>SUMIF('ПО КОРИСНИЦИМА'!$F$7:$F$13997,'По основ. нам.'!A33,'ПО КОРИСНИЦИМА'!$I$7:$I$13997)</f>
        <v>0</v>
      </c>
      <c r="F33" s="141">
        <f t="shared" si="1"/>
        <v>0</v>
      </c>
    </row>
    <row r="34" spans="1:6">
      <c r="A34" s="132" t="s">
        <v>3805</v>
      </c>
      <c r="B34" s="133" t="s">
        <v>3806</v>
      </c>
      <c r="C34" s="134">
        <f>SUM(C35:C39)</f>
        <v>72030000</v>
      </c>
      <c r="D34" s="135">
        <f t="shared" si="0"/>
        <v>0.15183904850059204</v>
      </c>
      <c r="E34" s="134">
        <f>SUM(E35:E39)</f>
        <v>0</v>
      </c>
      <c r="F34" s="134">
        <f t="shared" si="1"/>
        <v>72030000</v>
      </c>
    </row>
    <row r="35" spans="1:6">
      <c r="A35" s="136" t="s">
        <v>3860</v>
      </c>
      <c r="B35" s="144" t="s">
        <v>1690</v>
      </c>
      <c r="C35" s="138">
        <f>SUMIF('ПО КОРИСНИЦИМА'!$F$7:$F$13997,'По основ. нам.'!A35,'ПО КОРИСНИЦИМА'!$H$7:$H$13997)</f>
        <v>28900000</v>
      </c>
      <c r="D35" s="139">
        <f t="shared" si="0"/>
        <v>6.0921123166279463E-2</v>
      </c>
      <c r="E35" s="138">
        <f>SUMIF('ПО КОРИСНИЦИМА'!$F$7:$F$13997,'По основ. нам.'!A35,'ПО КОРИСНИЦИМА'!$I$7:$I$13997)</f>
        <v>0</v>
      </c>
      <c r="F35" s="138">
        <f t="shared" si="1"/>
        <v>28900000</v>
      </c>
    </row>
    <row r="36" spans="1:6">
      <c r="A36" s="136" t="s">
        <v>3861</v>
      </c>
      <c r="B36" s="144" t="s">
        <v>1699</v>
      </c>
      <c r="C36" s="138">
        <f>SUMIF('ПО КОРИСНИЦИМА'!$F$7:$F$13997,'По основ. нам.'!A36,'ПО КОРИСНИЦИМА'!$H$7:$H$13997)</f>
        <v>43130000</v>
      </c>
      <c r="D36" s="139">
        <f t="shared" si="0"/>
        <v>9.0917925334312574E-2</v>
      </c>
      <c r="E36" s="138">
        <f>SUMIF('ПО КОРИСНИЦИМА'!$F$7:$F$13997,'По основ. нам.'!A36,'ПО КОРИСНИЦИМА'!$I$7:$I$13997)</f>
        <v>0</v>
      </c>
      <c r="F36" s="141">
        <f t="shared" si="1"/>
        <v>43130000</v>
      </c>
    </row>
    <row r="37" spans="1:6" ht="0.75" customHeight="1">
      <c r="A37" s="136" t="s">
        <v>3862</v>
      </c>
      <c r="B37" s="137" t="s">
        <v>3807</v>
      </c>
      <c r="C37" s="138">
        <f>SUMIF('ПО КОРИСНИЦИМА'!$F$7:$F$13997,'По основ. нам.'!A37,'ПО КОРИСНИЦИМА'!$H$7:$H$13997)</f>
        <v>0</v>
      </c>
      <c r="D37" s="139">
        <f t="shared" si="0"/>
        <v>0</v>
      </c>
      <c r="E37" s="138">
        <f>SUMIF('ПО КОРИСНИЦИМА'!$F$7:$F$13997,'По основ. нам.'!A37,'ПО КОРИСНИЦИМА'!$I$7:$I$13997)</f>
        <v>0</v>
      </c>
      <c r="F37" s="141"/>
    </row>
    <row r="38" spans="1:6" hidden="1">
      <c r="A38" s="136">
        <v>453</v>
      </c>
      <c r="B38" s="137" t="s">
        <v>3808</v>
      </c>
      <c r="C38" s="138">
        <f>SUMIF('ПО КОРИСНИЦИМА'!$F$7:$F$13997,'По основ. нам.'!A38,'ПО КОРИСНИЦИМА'!$H$7:$H$13997)</f>
        <v>0</v>
      </c>
      <c r="D38" s="139">
        <f t="shared" si="0"/>
        <v>0</v>
      </c>
      <c r="E38" s="138">
        <f>SUMIF('ПО КОРИСНИЦИМА'!$F$7:$F$13997,'По основ. нам.'!A38,'ПО КОРИСНИЦИМА'!$I$7:$I$13997)</f>
        <v>0</v>
      </c>
      <c r="F38" s="141">
        <f t="shared" si="1"/>
        <v>0</v>
      </c>
    </row>
    <row r="39" spans="1:6" hidden="1">
      <c r="A39" s="136">
        <v>454</v>
      </c>
      <c r="B39" s="137" t="s">
        <v>3809</v>
      </c>
      <c r="C39" s="138">
        <f>SUMIF('ПО КОРИСНИЦИМА'!$F$7:$F$13997,'По основ. нам.'!A39,'ПО КОРИСНИЦИМА'!$H$7:$H$13997)</f>
        <v>0</v>
      </c>
      <c r="D39" s="139">
        <f t="shared" si="0"/>
        <v>0</v>
      </c>
      <c r="E39" s="138">
        <f>SUMIF('ПО КОРИСНИЦИМА'!$F$7:$F$13997,'По основ. нам.'!A39,'ПО КОРИСНИЦИМА'!$I$7:$I$13997)</f>
        <v>0</v>
      </c>
      <c r="F39" s="141">
        <f t="shared" si="1"/>
        <v>0</v>
      </c>
    </row>
    <row r="40" spans="1:6">
      <c r="A40" s="132" t="s">
        <v>3810</v>
      </c>
      <c r="B40" s="133" t="s">
        <v>3716</v>
      </c>
      <c r="C40" s="134">
        <f>SUM(C41:C46)</f>
        <v>46475871</v>
      </c>
      <c r="D40" s="135">
        <f t="shared" si="0"/>
        <v>9.7971012506959027E-2</v>
      </c>
      <c r="E40" s="134">
        <f>SUM(E41:E46)</f>
        <v>0</v>
      </c>
      <c r="F40" s="134">
        <f t="shared" si="1"/>
        <v>46475871</v>
      </c>
    </row>
    <row r="41" spans="1:6" hidden="1">
      <c r="A41" s="145">
        <v>461</v>
      </c>
      <c r="B41" s="146" t="s">
        <v>3811</v>
      </c>
      <c r="C41" s="138">
        <f>SUMIF('ПО КОРИСНИЦИМА'!$F$7:$F$13997,'По основ. нам.'!A41,'ПО КОРИСНИЦИМА'!$H$7:$H$13997)</f>
        <v>0</v>
      </c>
      <c r="D41" s="139">
        <f t="shared" si="0"/>
        <v>0</v>
      </c>
      <c r="E41" s="138">
        <f>SUMIF('ПО КОРИСНИЦИМА'!$F$7:$F$13997,'По основ. нам.'!A41,'ПО КОРИСНИЦИМА'!$I$7:$I$13997)</f>
        <v>0</v>
      </c>
      <c r="F41" s="141">
        <f t="shared" si="1"/>
        <v>0</v>
      </c>
    </row>
    <row r="42" spans="1:6" hidden="1">
      <c r="A42" s="145">
        <v>462</v>
      </c>
      <c r="B42" s="146" t="s">
        <v>3812</v>
      </c>
      <c r="C42" s="138">
        <f>SUMIF('ПО КОРИСНИЦИМА'!$F$7:$F$13997,'По основ. нам.'!A42,'ПО КОРИСНИЦИМА'!$H$7:$H$13997)</f>
        <v>0</v>
      </c>
      <c r="D42" s="139">
        <f t="shared" si="0"/>
        <v>0</v>
      </c>
      <c r="E42" s="138">
        <f>SUMIF('ПО КОРИСНИЦИМА'!$F$7:$F$13997,'По основ. нам.'!A42,'ПО КОРИСНИЦИМА'!$I$7:$I$13997)</f>
        <v>0</v>
      </c>
      <c r="F42" s="141">
        <f t="shared" si="1"/>
        <v>0</v>
      </c>
    </row>
    <row r="43" spans="1:6">
      <c r="A43" s="145">
        <v>4631</v>
      </c>
      <c r="B43" s="146" t="s">
        <v>3813</v>
      </c>
      <c r="C43" s="138">
        <f>SUMIF('ПО КОРИСНИЦИМА'!$F$7:$F$13997,'По основ. нам.'!A43,'ПО КОРИСНИЦИМА'!$H$7:$H$13997)</f>
        <v>32353840</v>
      </c>
      <c r="D43" s="139">
        <f t="shared" si="0"/>
        <v>6.8201808703878861E-2</v>
      </c>
      <c r="E43" s="138">
        <f>SUMIF('ПО КОРИСНИЦИМА'!$F$7:$F$13997,'По основ. нам.'!A43,'ПО КОРИСНИЦИМА'!$I$7:$I$13997)</f>
        <v>0</v>
      </c>
      <c r="F43" s="138">
        <f t="shared" si="1"/>
        <v>32353840</v>
      </c>
    </row>
    <row r="44" spans="1:6">
      <c r="A44" s="145">
        <v>4632</v>
      </c>
      <c r="B44" s="146" t="s">
        <v>3814</v>
      </c>
      <c r="C44" s="138">
        <f>SUMIF('ПО КОРИСНИЦИМА'!$F$7:$F$13997,'По основ. нам.'!A44,'ПО КОРИСНИЦИМА'!$H$7:$H$13997)</f>
        <v>3100000</v>
      </c>
      <c r="D44" s="139">
        <f t="shared" si="0"/>
        <v>6.5347917583206344E-3</v>
      </c>
      <c r="E44" s="138">
        <f>SUMIF('ПО КОРИСНИЦИМА'!$F$7:$F$13997,'По основ. нам.'!A44,'ПО КОРИСНИЦИМА'!$I$7:$I$13997)</f>
        <v>0</v>
      </c>
      <c r="F44" s="138">
        <f t="shared" si="1"/>
        <v>3100000</v>
      </c>
    </row>
    <row r="45" spans="1:6" ht="22.5">
      <c r="A45" s="145">
        <v>464</v>
      </c>
      <c r="B45" s="146" t="s">
        <v>3815</v>
      </c>
      <c r="C45" s="138">
        <f>SUMIF('ПО КОРИСНИЦИМА'!$F$7:$F$13997,'По основ. нам.'!A45,'ПО КОРИСНИЦИМА'!$H$7:$H$13997)</f>
        <v>4500000</v>
      </c>
      <c r="D45" s="139">
        <f t="shared" si="0"/>
        <v>9.485988036271889E-3</v>
      </c>
      <c r="E45" s="138">
        <f>SUMIF('ПО КОРИСНИЦИМА'!$F$7:$F$13997,'По основ. нам.'!A45,'ПО КОРИСНИЦИМА'!$I$7:$I$13997)</f>
        <v>0</v>
      </c>
      <c r="F45" s="141">
        <f t="shared" si="1"/>
        <v>4500000</v>
      </c>
    </row>
    <row r="46" spans="1:6">
      <c r="A46" s="145">
        <v>465</v>
      </c>
      <c r="B46" s="146" t="s">
        <v>3816</v>
      </c>
      <c r="C46" s="138">
        <f>SUMIF('ПО КОРИСНИЦИМА'!$F$7:$F$13997,'По основ. нам.'!A46,'ПО КОРИСНИЦИМА'!$H$7:$H$13997)</f>
        <v>6522031</v>
      </c>
      <c r="D46" s="139">
        <f t="shared" si="0"/>
        <v>1.374842400848764E-2</v>
      </c>
      <c r="E46" s="138">
        <f>SUMIF('ПО КОРИСНИЦИМА'!$F$7:$F$13997,'По основ. нам.'!A46,'ПО КОРИСНИЦИМА'!$I$7:$I$13997)</f>
        <v>0</v>
      </c>
      <c r="F46" s="141">
        <f t="shared" si="1"/>
        <v>6522031</v>
      </c>
    </row>
    <row r="47" spans="1:6">
      <c r="A47" s="132" t="s">
        <v>3817</v>
      </c>
      <c r="B47" s="133" t="s">
        <v>3818</v>
      </c>
      <c r="C47" s="134">
        <f>SUM(C48)</f>
        <v>4300000</v>
      </c>
      <c r="D47" s="135">
        <f t="shared" si="0"/>
        <v>9.0643885679931382E-3</v>
      </c>
      <c r="E47" s="134">
        <f>SUM(E48)</f>
        <v>0</v>
      </c>
      <c r="F47" s="134">
        <f t="shared" si="1"/>
        <v>4300000</v>
      </c>
    </row>
    <row r="48" spans="1:6">
      <c r="A48" s="136">
        <v>472</v>
      </c>
      <c r="B48" s="137" t="s">
        <v>3819</v>
      </c>
      <c r="C48" s="138">
        <f>SUMIF('ПО КОРИСНИЦИМА'!$F$7:$F$13997,'По основ. нам.'!A48,'ПО КОРИСНИЦИМА'!$H$7:$H$13997)</f>
        <v>4300000</v>
      </c>
      <c r="D48" s="139">
        <f t="shared" si="0"/>
        <v>9.0643885679931382E-3</v>
      </c>
      <c r="E48" s="138">
        <f>SUMIF('ПО КОРИСНИЦИМА'!$F$7:$F$13997,'По основ. нам.'!A48,'ПО КОРИСНИЦИМА'!$I$7:$I$13997)</f>
        <v>0</v>
      </c>
      <c r="F48" s="138">
        <f t="shared" si="1"/>
        <v>4300000</v>
      </c>
    </row>
    <row r="49" spans="1:6">
      <c r="A49" s="132" t="s">
        <v>3820</v>
      </c>
      <c r="B49" s="133" t="s">
        <v>3821</v>
      </c>
      <c r="C49" s="134">
        <f>SUM(C50:C55)</f>
        <v>22987500</v>
      </c>
      <c r="D49" s="135">
        <f t="shared" si="0"/>
        <v>4.8457588885288901E-2</v>
      </c>
      <c r="E49" s="134">
        <f>SUM(E50:E55)</f>
        <v>10540</v>
      </c>
      <c r="F49" s="134">
        <f>C49+E49</f>
        <v>22998040</v>
      </c>
    </row>
    <row r="50" spans="1:6">
      <c r="A50" s="136">
        <v>481</v>
      </c>
      <c r="B50" s="137" t="s">
        <v>3822</v>
      </c>
      <c r="C50" s="138">
        <f>SUMIF('ПО КОРИСНИЦИМА'!$F$7:$F$13997,'По основ. нам.'!A50,'ПО КОРИСНИЦИМА'!$H$7:$H$13997)</f>
        <v>17616500</v>
      </c>
      <c r="D50" s="139">
        <f t="shared" si="0"/>
        <v>3.7135535164663051E-2</v>
      </c>
      <c r="E50" s="138">
        <f>SUMIF('ПО КОРИСНИЦИМА'!$F$7:$F$13997,'По основ. нам.'!A50,'ПО КОРИСНИЦИМА'!$I$7:$I$13997)</f>
        <v>0</v>
      </c>
      <c r="F50" s="138">
        <f>C50+E50</f>
        <v>17616500</v>
      </c>
    </row>
    <row r="51" spans="1:6">
      <c r="A51" s="136">
        <v>482</v>
      </c>
      <c r="B51" s="137" t="s">
        <v>3823</v>
      </c>
      <c r="C51" s="138">
        <f>SUMIF('ПО КОРИСНИЦИМА'!$F$7:$F$13997,'По основ. нам.'!A51,'ПО КОРИСНИЦИМА'!$H$7:$H$13997)</f>
        <v>521000</v>
      </c>
      <c r="D51" s="139">
        <f t="shared" si="0"/>
        <v>1.0982666148661453E-3</v>
      </c>
      <c r="E51" s="138">
        <f>SUMIF('ПО КОРИСНИЦИМА'!$F$7:$F$13997,'По основ. нам.'!A51,'ПО КОРИСНИЦИМА'!$I$7:$I$13997)</f>
        <v>9040</v>
      </c>
      <c r="F51" s="138">
        <f>C51+E51</f>
        <v>530040</v>
      </c>
    </row>
    <row r="52" spans="1:6">
      <c r="A52" s="136">
        <v>483</v>
      </c>
      <c r="B52" s="137" t="s">
        <v>3824</v>
      </c>
      <c r="C52" s="138">
        <f>SUMIF('ПО КОРИСНИЦИМА'!$F$7:$F$13997,'По основ. нам.'!A52,'ПО КОРИСНИЦИМА'!$H$7:$H$13997)</f>
        <v>1750000</v>
      </c>
      <c r="D52" s="139">
        <f t="shared" si="0"/>
        <v>3.688995347439068E-3</v>
      </c>
      <c r="E52" s="138">
        <v>1500</v>
      </c>
      <c r="F52" s="138">
        <f t="shared" si="1"/>
        <v>1751500</v>
      </c>
    </row>
    <row r="53" spans="1:6" ht="0.75" customHeight="1">
      <c r="A53" s="136">
        <v>484</v>
      </c>
      <c r="B53" s="137" t="s">
        <v>3825</v>
      </c>
      <c r="C53" s="138">
        <f>SUMIF('ПО КОРИСНИЦИМА'!$F$7:$F$13997,'По основ. нам.'!A53,'ПО КОРИСНИЦИМА'!$H$7:$H$13997)</f>
        <v>0</v>
      </c>
      <c r="D53" s="139">
        <f t="shared" si="0"/>
        <v>0</v>
      </c>
      <c r="E53" s="138">
        <f>SUMIF('ПО КОРИСНИЦИМА'!$F$7:$F$13997,'По основ. нам.'!A53,'ПО КОРИСНИЦИМА'!$I$7:$I$13997)</f>
        <v>0</v>
      </c>
      <c r="F53" s="138">
        <f t="shared" si="1"/>
        <v>0</v>
      </c>
    </row>
    <row r="54" spans="1:6">
      <c r="A54" s="136">
        <v>485</v>
      </c>
      <c r="B54" s="137" t="s">
        <v>3826</v>
      </c>
      <c r="C54" s="138">
        <f>SUMIF('ПО КОРИСНИЦИМА'!$F$7:$F$13997,'По основ. нам.'!A54,'ПО КОРИСНИЦИМА'!$H$7:$H$13997)</f>
        <v>3100000</v>
      </c>
      <c r="D54" s="139">
        <f t="shared" si="0"/>
        <v>6.5347917583206344E-3</v>
      </c>
      <c r="E54" s="138">
        <f>SUMIF('ПО КОРИСНИЦИМА'!$F$7:$F$13997,'По основ. нам.'!A54,'ПО КОРИСНИЦИМА'!$I$7:$I$13997)</f>
        <v>0</v>
      </c>
      <c r="F54" s="138">
        <f t="shared" si="1"/>
        <v>3100000</v>
      </c>
    </row>
    <row r="55" spans="1:6" ht="0.75" customHeight="1">
      <c r="A55" s="136">
        <v>489</v>
      </c>
      <c r="B55" s="137" t="s">
        <v>3827</v>
      </c>
      <c r="C55" s="138">
        <f>SUMIF('ПО КОРИСНИЦИМА'!$F$7:$F$13997,'По основ. нам.'!A55,'ПО КОРИСНИЦИМА'!$H$7:$H$13997)</f>
        <v>0</v>
      </c>
      <c r="D55" s="139">
        <f t="shared" si="0"/>
        <v>0</v>
      </c>
      <c r="E55" s="138">
        <f>SUMIF('ПО КОРИСНИЦИМА'!$F$7:$F$13997,'По основ. нам.'!A55,'ПО КОРИСНИЦИМА'!$I$7:$I$13997)</f>
        <v>0</v>
      </c>
      <c r="F55" s="138">
        <f t="shared" si="1"/>
        <v>0</v>
      </c>
    </row>
    <row r="56" spans="1:6">
      <c r="A56" s="147">
        <v>490</v>
      </c>
      <c r="B56" s="148" t="s">
        <v>3828</v>
      </c>
      <c r="C56" s="134">
        <f>SUM(C57:C62)</f>
        <v>5100000</v>
      </c>
      <c r="D56" s="135">
        <f t="shared" si="0"/>
        <v>1.075078644110814E-2</v>
      </c>
      <c r="E56" s="134">
        <f>SUM(E61:E62)</f>
        <v>0</v>
      </c>
      <c r="F56" s="134">
        <f t="shared" si="1"/>
        <v>5100000</v>
      </c>
    </row>
    <row r="57" spans="1:6" ht="0.75" customHeight="1">
      <c r="A57" s="149">
        <v>494</v>
      </c>
      <c r="B57" s="150" t="s">
        <v>4177</v>
      </c>
      <c r="C57" s="138">
        <f>SUMIF('ПО КОРИСНИЦИМА'!$F$7:$F$13997,'По основ. нам.'!A57,'ПО КОРИСНИЦИМА'!$H$7:$H$13997)</f>
        <v>0</v>
      </c>
      <c r="D57" s="139">
        <f t="shared" si="0"/>
        <v>0</v>
      </c>
      <c r="E57" s="138">
        <f>SUMIF('ПО КОРИСНИЦИМА'!$F$7:$F$13997,'По основ. нам.'!A57,'ПО КОРИСНИЦИМА'!$I$7:$I$13997)</f>
        <v>0</v>
      </c>
      <c r="F57" s="138">
        <f t="shared" si="1"/>
        <v>0</v>
      </c>
    </row>
    <row r="58" spans="1:6" ht="23.25" hidden="1">
      <c r="A58" s="149">
        <v>495</v>
      </c>
      <c r="B58" s="150" t="s">
        <v>4178</v>
      </c>
      <c r="C58" s="138">
        <f>SUMIF('ПО КОРИСНИЦИМА'!$F$7:$F$13997,'По основ. нам.'!A58,'ПО КОРИСНИЦИМА'!$H$7:$H$13997)</f>
        <v>0</v>
      </c>
      <c r="D58" s="139">
        <f t="shared" si="0"/>
        <v>0</v>
      </c>
      <c r="E58" s="138">
        <f>SUMIF('ПО КОРИСНИЦИМА'!$F$7:$F$13997,'По основ. нам.'!A58,'ПО КОРИСНИЦИМА'!$I$7:$I$13997)</f>
        <v>0</v>
      </c>
      <c r="F58" s="138">
        <f t="shared" si="1"/>
        <v>0</v>
      </c>
    </row>
    <row r="59" spans="1:6" ht="23.25" hidden="1">
      <c r="A59" s="149">
        <v>496</v>
      </c>
      <c r="B59" s="150" t="s">
        <v>4179</v>
      </c>
      <c r="C59" s="138">
        <f>SUMIF('ПО КОРИСНИЦИМА'!$F$7:$F$13997,'По основ. нам.'!A59,'ПО КОРИСНИЦИМА'!$H$7:$H$13997)</f>
        <v>0</v>
      </c>
      <c r="D59" s="139">
        <f t="shared" si="0"/>
        <v>0</v>
      </c>
      <c r="E59" s="138">
        <f>SUMIF('ПО КОРИСНИЦИМА'!$F$7:$F$13997,'По основ. нам.'!A59,'ПО КОРИСНИЦИМА'!$I$7:$I$13997)</f>
        <v>0</v>
      </c>
      <c r="F59" s="138">
        <f t="shared" si="1"/>
        <v>0</v>
      </c>
    </row>
    <row r="60" spans="1:6" ht="23.25">
      <c r="A60" s="149">
        <v>499</v>
      </c>
      <c r="B60" s="150" t="s">
        <v>4180</v>
      </c>
      <c r="C60" s="138">
        <f>SUMIF('ПО КОРИСНИЦИМА'!$F$7:$F$13997,'По основ. нам.'!A60,'ПО КОРИСНИЦИМА'!$H$7:$H$13997)</f>
        <v>0</v>
      </c>
      <c r="D60" s="139">
        <f t="shared" si="0"/>
        <v>0</v>
      </c>
      <c r="E60" s="138">
        <f>SUMIF('ПО КОРИСНИЦИМА'!$F$7:$F$13997,'По основ. нам.'!A60,'ПО КОРИСНИЦИМА'!$I$7:$I$13997)</f>
        <v>0</v>
      </c>
      <c r="F60" s="138">
        <f t="shared" si="1"/>
        <v>0</v>
      </c>
    </row>
    <row r="61" spans="1:6">
      <c r="A61" s="149">
        <v>49911</v>
      </c>
      <c r="B61" s="150" t="s">
        <v>3829</v>
      </c>
      <c r="C61" s="138">
        <f>SUMIF('ПО КОРИСНИЦИМА'!$F$7:$F$13997,'По основ. нам.'!A61,'ПО КОРИСНИЦИМА'!$H$7:$H$13997)</f>
        <v>100000</v>
      </c>
      <c r="D61" s="139">
        <f t="shared" si="0"/>
        <v>2.1079973413937531E-4</v>
      </c>
      <c r="E61" s="138">
        <f>SUMIF('ПО КОРИСНИЦИМА'!$F$7:$F$13997,'По основ. нам.'!A61,'ПО КОРИСНИЦИМА'!$I$7:$I$13997)</f>
        <v>0</v>
      </c>
      <c r="F61" s="138">
        <f t="shared" si="1"/>
        <v>100000</v>
      </c>
    </row>
    <row r="62" spans="1:6">
      <c r="A62" s="136" t="s">
        <v>3830</v>
      </c>
      <c r="B62" s="137" t="s">
        <v>3831</v>
      </c>
      <c r="C62" s="138">
        <f>SUMIF('ПО КОРИСНИЦИМА'!$F$7:$F$13997,'По основ. нам.'!A62,'ПО КОРИСНИЦИМА'!$H$7:$H$13997)</f>
        <v>5000000</v>
      </c>
      <c r="D62" s="139">
        <f t="shared" si="0"/>
        <v>1.0539986706968766E-2</v>
      </c>
      <c r="E62" s="138">
        <f>SUMIF('ПО КОРИСНИЦИМА'!$F$7:$F$13997,'По основ. нам.'!A62,'ПО КОРИСНИЦИМА'!$I$7:$I$13997)</f>
        <v>0</v>
      </c>
      <c r="F62" s="138">
        <f t="shared" si="1"/>
        <v>5000000</v>
      </c>
    </row>
    <row r="63" spans="1:6">
      <c r="A63" s="588" t="s">
        <v>3968</v>
      </c>
      <c r="B63" s="589" t="s">
        <v>4481</v>
      </c>
      <c r="C63" s="590">
        <f>SUM(C64,C70,C75,C79)</f>
        <v>92643096</v>
      </c>
      <c r="D63" s="587">
        <f>IFERROR(C63/$C$87,"-")</f>
        <v>0.19529140006648624</v>
      </c>
      <c r="E63" s="590">
        <f>SUM(E64,E70,E75,E79)</f>
        <v>2330168</v>
      </c>
      <c r="F63" s="590">
        <f>SUM(C63,E63)</f>
        <v>94973264</v>
      </c>
    </row>
    <row r="64" spans="1:6">
      <c r="A64" s="132" t="s">
        <v>3832</v>
      </c>
      <c r="B64" s="133" t="s">
        <v>3833</v>
      </c>
      <c r="C64" s="134">
        <f>SUM(C65:C69)</f>
        <v>89643096</v>
      </c>
      <c r="D64" s="135">
        <f t="shared" si="0"/>
        <v>0.18896740804230497</v>
      </c>
      <c r="E64" s="134">
        <f>SUM(E65:E69)</f>
        <v>2330168</v>
      </c>
      <c r="F64" s="134">
        <f t="shared" si="1"/>
        <v>91973264</v>
      </c>
    </row>
    <row r="65" spans="1:6">
      <c r="A65" s="136">
        <v>511</v>
      </c>
      <c r="B65" s="137" t="s">
        <v>3834</v>
      </c>
      <c r="C65" s="138">
        <f>SUMIF('ПО КОРИСНИЦИМА'!$F$7:$F$13997,'По основ. нам.'!A65,'ПО КОРИСНИЦИМА'!$H$7:$H$13997)</f>
        <v>83828596</v>
      </c>
      <c r="D65" s="139">
        <f t="shared" si="0"/>
        <v>0.176710457500771</v>
      </c>
      <c r="E65" s="138">
        <f>SUMIF('ПО КОРИСНИЦИМА'!$F$7:$F$13997,'По основ. нам.'!A65,'ПО КОРИСНИЦИМА'!$I$7:$I$13997)</f>
        <v>336568</v>
      </c>
      <c r="F65" s="138">
        <f t="shared" si="1"/>
        <v>84165164</v>
      </c>
    </row>
    <row r="66" spans="1:6">
      <c r="A66" s="136">
        <v>512</v>
      </c>
      <c r="B66" s="137" t="s">
        <v>3835</v>
      </c>
      <c r="C66" s="138">
        <f>SUMIF('ПО КОРИСНИЦИМА'!$F$7:$F$13997,'По основ. нам.'!A66,'ПО КОРИСНИЦИМА'!$H$7:$H$13997)</f>
        <v>5524500</v>
      </c>
      <c r="D66" s="139">
        <f t="shared" si="0"/>
        <v>1.1645631312529789E-2</v>
      </c>
      <c r="E66" s="138">
        <f>SUMIF('ПО КОРИСНИЦИМА'!$F$7:$F$13997,'По основ. нам.'!A66,'ПО КОРИСНИЦИМА'!$I$7:$I$13997)</f>
        <v>1931200</v>
      </c>
      <c r="F66" s="138">
        <f t="shared" si="1"/>
        <v>7455700</v>
      </c>
    </row>
    <row r="67" spans="1:6" ht="0.75" customHeight="1">
      <c r="A67" s="136">
        <v>513</v>
      </c>
      <c r="B67" s="137" t="s">
        <v>3836</v>
      </c>
      <c r="C67" s="138">
        <f>SUMIF('ПО КОРИСНИЦИМА'!$F$7:$F$13997,'По основ. нам.'!A67,'ПО КОРИСНИЦИМА'!$H$7:$H$13997)</f>
        <v>0</v>
      </c>
      <c r="D67" s="139">
        <f t="shared" si="0"/>
        <v>0</v>
      </c>
      <c r="E67" s="138">
        <f>SUMIF('ПО КОРИСНИЦИМА'!$F$7:$F$13997,'По основ. нам.'!A67,'ПО КОРИСНИЦИМА'!$I$7:$I$13997)</f>
        <v>0</v>
      </c>
      <c r="F67" s="141">
        <f t="shared" si="1"/>
        <v>0</v>
      </c>
    </row>
    <row r="68" spans="1:6" hidden="1">
      <c r="A68" s="136">
        <v>514</v>
      </c>
      <c r="B68" s="137" t="s">
        <v>3837</v>
      </c>
      <c r="C68" s="138">
        <f>SUMIF('ПО КОРИСНИЦИМА'!$F$7:$F$13997,'По основ. нам.'!A68,'ПО КОРИСНИЦИМА'!$H$7:$H$13997)</f>
        <v>0</v>
      </c>
      <c r="D68" s="139">
        <f t="shared" si="0"/>
        <v>0</v>
      </c>
      <c r="E68" s="138">
        <f>SUMIF('ПО КОРИСНИЦИМА'!$F$7:$F$13997,'По основ. нам.'!A68,'ПО КОРИСНИЦИМА'!$I$7:$I$13997)</f>
        <v>0</v>
      </c>
      <c r="F68" s="138">
        <f t="shared" si="1"/>
        <v>0</v>
      </c>
    </row>
    <row r="69" spans="1:6">
      <c r="A69" s="136">
        <v>515</v>
      </c>
      <c r="B69" s="137" t="s">
        <v>3838</v>
      </c>
      <c r="C69" s="138">
        <f>SUMIF('ПО КОРИСНИЦИМА'!$F$7:$F$13997,'По основ. нам.'!A69,'ПО КОРИСНИЦИМА'!$H$7:$H$13997)</f>
        <v>290000</v>
      </c>
      <c r="D69" s="139">
        <f t="shared" si="0"/>
        <v>6.1131922900418837E-4</v>
      </c>
      <c r="E69" s="138">
        <f>SUMIF('ПО КОРИСНИЦИМА'!$F$7:$F$13997,'По основ. нам.'!A69,'ПО КОРИСНИЦИМА'!$I$7:$I$13997)</f>
        <v>62400</v>
      </c>
      <c r="F69" s="138">
        <f t="shared" si="1"/>
        <v>352400</v>
      </c>
    </row>
    <row r="70" spans="1:6" ht="14.25" customHeight="1">
      <c r="A70" s="132" t="s">
        <v>3839</v>
      </c>
      <c r="B70" s="133" t="s">
        <v>3840</v>
      </c>
      <c r="C70" s="134">
        <f>SUM(C71:C74)</f>
        <v>0</v>
      </c>
      <c r="D70" s="135">
        <f t="shared" si="0"/>
        <v>0</v>
      </c>
      <c r="E70" s="134">
        <f>SUM(E71:E73)</f>
        <v>0</v>
      </c>
      <c r="F70" s="134">
        <f t="shared" si="1"/>
        <v>0</v>
      </c>
    </row>
    <row r="71" spans="1:6" hidden="1">
      <c r="A71" s="145">
        <v>521</v>
      </c>
      <c r="B71" s="151" t="s">
        <v>3841</v>
      </c>
      <c r="C71" s="138">
        <f>SUMIF('ПО КОРИСНИЦИМА'!$F$7:$F$13997,'По основ. нам.'!A71,'ПО КОРИСНИЦИМА'!$H$7:$H$13997)</f>
        <v>0</v>
      </c>
      <c r="D71" s="152">
        <f t="shared" si="0"/>
        <v>0</v>
      </c>
      <c r="E71" s="138">
        <f>SUMIF('ПО КОРИСНИЦИМА'!$F$7:$F$13997,'По основ. нам.'!A71,'ПО КОРИСНИЦИМА'!$I$7:$I$13997)</f>
        <v>0</v>
      </c>
      <c r="F71" s="138">
        <f t="shared" si="1"/>
        <v>0</v>
      </c>
    </row>
    <row r="72" spans="1:6" hidden="1">
      <c r="A72" s="145">
        <v>522</v>
      </c>
      <c r="B72" s="151" t="s">
        <v>3842</v>
      </c>
      <c r="C72" s="138">
        <f>SUMIF('ПО КОРИСНИЦИМА'!$F$7:$F$13997,'По основ. нам.'!A72,'ПО КОРИСНИЦИМА'!$H$7:$H$13997)</f>
        <v>0</v>
      </c>
      <c r="D72" s="152">
        <f t="shared" si="0"/>
        <v>0</v>
      </c>
      <c r="E72" s="138">
        <f>SUMIF('ПО КОРИСНИЦИМА'!$F$7:$F$13997,'По основ. нам.'!A72,'ПО КОРИСНИЦИМА'!$I$7:$I$13997)</f>
        <v>0</v>
      </c>
      <c r="F72" s="138">
        <f t="shared" si="1"/>
        <v>0</v>
      </c>
    </row>
    <row r="73" spans="1:6" hidden="1">
      <c r="A73" s="145">
        <v>523</v>
      </c>
      <c r="B73" s="153" t="s">
        <v>3843</v>
      </c>
      <c r="C73" s="138">
        <f>SUMIF('ПО КОРИСНИЦИМА'!$F$7:$F$13997,'По основ. нам.'!A73,'ПО КОРИСНИЦИМА'!$H$7:$H$13997)</f>
        <v>0</v>
      </c>
      <c r="D73" s="152">
        <f t="shared" si="0"/>
        <v>0</v>
      </c>
      <c r="E73" s="138">
        <f>SUMIF('ПО КОРИСНИЦИМА'!$F$7:$F$13997,'По основ. нам.'!A73,'ПО КОРИСНИЦИМА'!$I$7:$I$13997)</f>
        <v>0</v>
      </c>
      <c r="F73" s="138">
        <f t="shared" si="1"/>
        <v>0</v>
      </c>
    </row>
    <row r="74" spans="1:6" hidden="1">
      <c r="A74" s="145">
        <v>531</v>
      </c>
      <c r="B74" s="153" t="s">
        <v>4181</v>
      </c>
      <c r="C74" s="138">
        <f>SUMIF('ПО КОРИСНИЦИМА'!$F$7:$F$13997,'По основ. нам.'!A74,'ПО КОРИСНИЦИМА'!$H$7:$H$13997)</f>
        <v>0</v>
      </c>
      <c r="D74" s="152">
        <f t="shared" si="0"/>
        <v>0</v>
      </c>
      <c r="E74" s="138"/>
      <c r="F74" s="138"/>
    </row>
    <row r="75" spans="1:6" ht="15.75" customHeight="1">
      <c r="A75" s="132" t="s">
        <v>3844</v>
      </c>
      <c r="B75" s="133" t="s">
        <v>3845</v>
      </c>
      <c r="C75" s="154">
        <f>SUM(C76:C78)</f>
        <v>3000000</v>
      </c>
      <c r="D75" s="155">
        <f t="shared" si="0"/>
        <v>6.3239920241812591E-3</v>
      </c>
      <c r="E75" s="156">
        <f>SUM(E76:E78)</f>
        <v>0</v>
      </c>
      <c r="F75" s="134">
        <f t="shared" si="1"/>
        <v>3000000</v>
      </c>
    </row>
    <row r="76" spans="1:6">
      <c r="A76" s="145">
        <v>541</v>
      </c>
      <c r="B76" s="151" t="s">
        <v>3846</v>
      </c>
      <c r="C76" s="138">
        <f>SUMIF('ПО КОРИСНИЦИМА'!$F$7:$F$13997,'По основ. нам.'!A76,'ПО КОРИСНИЦИМА'!$H$7:$H$13997)</f>
        <v>3000000</v>
      </c>
      <c r="D76" s="152">
        <f t="shared" si="0"/>
        <v>6.3239920241812591E-3</v>
      </c>
      <c r="E76" s="138">
        <f>SUMIF('ПО КОРИСНИЦИМА'!$F$7:$F$13997,'По основ. нам.'!A76,'ПО КОРИСНИЦИМА'!$I$7:$I$13997)</f>
        <v>0</v>
      </c>
      <c r="F76" s="138">
        <f t="shared" si="1"/>
        <v>3000000</v>
      </c>
    </row>
    <row r="77" spans="1:6" hidden="1">
      <c r="A77" s="145">
        <v>542</v>
      </c>
      <c r="B77" s="151" t="s">
        <v>3847</v>
      </c>
      <c r="C77" s="138">
        <f>SUMIF('ПО КОРИСНИЦИМА'!$F$7:$F$13997,'По основ. нам.'!A77,'ПО КОРИСНИЦИМА'!$H$7:$H$13997)</f>
        <v>0</v>
      </c>
      <c r="D77" s="152">
        <f t="shared" si="0"/>
        <v>0</v>
      </c>
      <c r="E77" s="138">
        <f>SUMIF('ПО КОРИСНИЦИМА'!$F$7:$F$13997,'По основ. нам.'!A77,'ПО КОРИСНИЦИМА'!$I$7:$I$13997)</f>
        <v>0</v>
      </c>
      <c r="F77" s="141">
        <f t="shared" si="1"/>
        <v>0</v>
      </c>
    </row>
    <row r="78" spans="1:6" hidden="1">
      <c r="A78" s="145">
        <v>543</v>
      </c>
      <c r="B78" s="153" t="s">
        <v>3848</v>
      </c>
      <c r="C78" s="138">
        <f>SUMIF('ПО КОРИСНИЦИМА'!$F$7:$F$13997,'По основ. нам.'!A78,'ПО КОРИСНИЦИМА'!$H$7:$H$13997)</f>
        <v>0</v>
      </c>
      <c r="D78" s="152">
        <f t="shared" ref="D78:D87" si="2">IFERROR(C78/$C$87,"-")</f>
        <v>0</v>
      </c>
      <c r="E78" s="138">
        <f>SUMIF('ПО КОРИСНИЦИМА'!$F$7:$F$13997,'По основ. нам.'!A78,'ПО КОРИСНИЦИМА'!$I$7:$I$13997)</f>
        <v>0</v>
      </c>
      <c r="F78" s="141">
        <f t="shared" si="1"/>
        <v>0</v>
      </c>
    </row>
    <row r="79" spans="1:6">
      <c r="A79" s="157">
        <v>550</v>
      </c>
      <c r="B79" s="158" t="s">
        <v>3849</v>
      </c>
      <c r="C79" s="156">
        <f>SUM(C80)</f>
        <v>0</v>
      </c>
      <c r="D79" s="159">
        <f t="shared" si="2"/>
        <v>0</v>
      </c>
      <c r="E79" s="156">
        <f>SUM(E80)</f>
        <v>0</v>
      </c>
      <c r="F79" s="134">
        <f>C79+E79</f>
        <v>0</v>
      </c>
    </row>
    <row r="80" spans="1:6" hidden="1">
      <c r="A80" s="145">
        <v>551</v>
      </c>
      <c r="B80" s="160" t="s">
        <v>3850</v>
      </c>
      <c r="C80" s="138">
        <f>SUMIF('ПО КОРИСНИЦИМА'!$F$7:$F$13997,'По основ. нам.'!A80,'ПО КОРИСНИЦИМА'!$H$7:$H$13997)</f>
        <v>0</v>
      </c>
      <c r="D80" s="152">
        <f t="shared" si="2"/>
        <v>0</v>
      </c>
      <c r="E80" s="138">
        <f>SUMIF('ПО КОРИСНИЦИМА'!$F$7:$F$13997,'По основ. нам.'!A80,'ПО КОРИСНИЦИМА'!$I$7:$I$13997)</f>
        <v>0</v>
      </c>
      <c r="F80" s="141">
        <f t="shared" ref="F80:F82" si="3">C80+E80</f>
        <v>0</v>
      </c>
    </row>
    <row r="81" spans="1:6">
      <c r="A81" s="132" t="s">
        <v>3851</v>
      </c>
      <c r="B81" s="133" t="s">
        <v>3852</v>
      </c>
      <c r="C81" s="156">
        <f>SUM(C82:C84)</f>
        <v>0</v>
      </c>
      <c r="D81" s="155">
        <f t="shared" si="2"/>
        <v>0</v>
      </c>
      <c r="E81" s="156">
        <f>SUM(E82:E84)</f>
        <v>0</v>
      </c>
      <c r="F81" s="134">
        <f t="shared" si="3"/>
        <v>0</v>
      </c>
    </row>
    <row r="82" spans="1:6" hidden="1">
      <c r="A82" s="136" t="s">
        <v>3853</v>
      </c>
      <c r="B82" s="137" t="s">
        <v>3854</v>
      </c>
      <c r="C82" s="138">
        <f>SUMIF('ПО КОРИСНИЦИМА'!$F$7:$F$13997,'По основ. нам.'!A82,'ПО КОРИСНИЦИМА'!$H$7:$H$13997)</f>
        <v>0</v>
      </c>
      <c r="D82" s="152">
        <f t="shared" si="2"/>
        <v>0</v>
      </c>
      <c r="E82" s="138">
        <f>SUMIF('ПО КОРИСНИЦИМА'!$F$7:$F$13997,'По основ. нам.'!A82,'ПО КОРИСНИЦИМА'!$I$7:$I$13997)</f>
        <v>0</v>
      </c>
      <c r="F82" s="138">
        <f t="shared" si="3"/>
        <v>0</v>
      </c>
    </row>
    <row r="83" spans="1:6" hidden="1">
      <c r="A83" s="161" t="s">
        <v>3855</v>
      </c>
      <c r="B83" s="162" t="s">
        <v>3856</v>
      </c>
      <c r="C83" s="138">
        <f>SUMIF('ПО КОРИСНИЦИМА'!$F$7:$F$13997,'По основ. нам.'!A83,'ПО КОРИСНИЦИМА'!$H$7:$H$13997)</f>
        <v>0</v>
      </c>
      <c r="D83" s="163">
        <f t="shared" si="2"/>
        <v>0</v>
      </c>
      <c r="E83" s="138">
        <f>SUMIF('ПО КОРИСНИЦИМА'!$F$7:$F$13997,'По основ. нам.'!A83,'ПО КОРИСНИЦИМА'!$I$7:$I$13997)</f>
        <v>0</v>
      </c>
      <c r="F83" s="141"/>
    </row>
    <row r="84" spans="1:6" hidden="1">
      <c r="A84" s="161" t="s">
        <v>3857</v>
      </c>
      <c r="B84" s="162" t="s">
        <v>87</v>
      </c>
      <c r="C84" s="138">
        <f>SUMIF('ПО КОРИСНИЦИМА'!$F$7:$F$13997,'По основ. нам.'!A84,'ПО КОРИСНИЦИМА'!$H$7:$H$13997)</f>
        <v>0</v>
      </c>
      <c r="D84" s="163">
        <f t="shared" si="2"/>
        <v>0</v>
      </c>
      <c r="E84" s="138">
        <f>SUMIF('ПО КОРИСНИЦИМА'!$F$7:$F$13997,'По основ. нам.'!A84,'ПО КОРИСНИЦИМА'!$I$7:$I$13997)</f>
        <v>0</v>
      </c>
      <c r="F84" s="141"/>
    </row>
    <row r="85" spans="1:6">
      <c r="A85" s="132" t="s">
        <v>3858</v>
      </c>
      <c r="B85" s="133" t="s">
        <v>88</v>
      </c>
      <c r="C85" s="156">
        <f>SUMIF('ПО КОРИСНИЦИМА'!$F$7:$F$13997,'По основ. нам.'!A85,'ПО КОРИСНИЦИМА'!$H$7:$H$13997)</f>
        <v>0</v>
      </c>
      <c r="D85" s="159">
        <f t="shared" si="2"/>
        <v>0</v>
      </c>
      <c r="E85" s="156">
        <f>SUM(E86)</f>
        <v>0</v>
      </c>
      <c r="F85" s="134">
        <f>C85+E85</f>
        <v>0</v>
      </c>
    </row>
    <row r="86" spans="1:6" ht="0.75" customHeight="1">
      <c r="A86" s="161" t="s">
        <v>5124</v>
      </c>
      <c r="B86" s="144" t="s">
        <v>1998</v>
      </c>
      <c r="C86" s="138">
        <f>SUMIF('ПО КОРИСНИЦИМА'!$F$7:$F$13997,'По основ. нам.'!A86,'ПО КОРИСНИЦИМА'!$H$7:$H$13997)</f>
        <v>0</v>
      </c>
      <c r="D86" s="163">
        <f t="shared" si="2"/>
        <v>0</v>
      </c>
      <c r="E86" s="138">
        <f>SUMIF('ПО КОРИСНИЦИМА'!$F$7:$F$13997,'По основ. нам.'!A86,'ПО КОРИСНИЦИМА'!$I$7:$I$13997)</f>
        <v>0</v>
      </c>
      <c r="F86" s="141">
        <f>C86+E86</f>
        <v>0</v>
      </c>
    </row>
    <row r="87" spans="1:6">
      <c r="A87" s="164"/>
      <c r="B87" s="165" t="s">
        <v>3859</v>
      </c>
      <c r="C87" s="166">
        <f>SUM(C7,C16,C23,C29,C34,C40,C47,C49,C56,C64,C70,C75,C79,C81,C85)</f>
        <v>474383900</v>
      </c>
      <c r="D87" s="167">
        <f t="shared" si="2"/>
        <v>1</v>
      </c>
      <c r="E87" s="166">
        <f>SUM(E64,E49,E16,E7)</f>
        <v>13773771</v>
      </c>
      <c r="F87" s="168">
        <f>C87+E87</f>
        <v>488157671</v>
      </c>
    </row>
    <row r="88" spans="1:6">
      <c r="A88" s="169"/>
      <c r="B88" s="169"/>
      <c r="C88" s="170"/>
      <c r="D88" s="169"/>
      <c r="E88" s="170"/>
      <c r="F88" s="170"/>
    </row>
  </sheetData>
  <sheetProtection password="CA6E" sheet="1" objects="1" scenarios="1"/>
  <mergeCells count="2">
    <mergeCell ref="B1:F1"/>
    <mergeCell ref="A2:F2"/>
  </mergeCells>
  <conditionalFormatting sqref="C88 E88:F88">
    <cfRule type="cellIs" dxfId="3" priority="5" stopIfTrue="1" operator="notEqual">
      <formula>0</formula>
    </cfRule>
  </conditionalFormatting>
  <conditionalFormatting sqref="C8:C15 C17:C22 C24:C28 C30:C33 C35:C39 C41:C46 C48 C50:C55 C61:C63 C65:C69 C76:C78 C80 C82:C84 C86 E8:E15 E17:E22 E24:E28 E30:E33 E35:E39 E41:E46 E48 E50:E55 E65:E69 E71:E74 E76:E78 E80 E82:E84 E86 C71:C74 E61:E63">
    <cfRule type="expression" priority="4" stopIfTrue="1">
      <formula>NOT(ISERROR(SEARCH("411",C8)))</formula>
    </cfRule>
  </conditionalFormatting>
  <conditionalFormatting sqref="C57:C62">
    <cfRule type="expression" priority="3" stopIfTrue="1">
      <formula>NOT(ISERROR(SEARCH("411",C57)))</formula>
    </cfRule>
  </conditionalFormatting>
  <conditionalFormatting sqref="E57:E62">
    <cfRule type="expression" priority="2" stopIfTrue="1">
      <formula>NOT(ISERROR(SEARCH("411",E57)))</formula>
    </cfRule>
  </conditionalFormatting>
  <conditionalFormatting sqref="C88:F88">
    <cfRule type="cellIs" dxfId="2" priority="1" operator="notEqual">
      <formula>0</formula>
    </cfRule>
  </conditionalFormatting>
  <pageMargins left="0.51181102362204722" right="0.31496062992125984" top="0.74803149606299213" bottom="0.74803149606299213" header="0.31496062992125984" footer="0.31496062992125984"/>
  <pageSetup paperSize="9" scale="90" orientation="portrait" r:id="rId1"/>
  <cellWatches>
    <cellWatch r="C88"/>
  </cellWatches>
</worksheet>
</file>

<file path=xl/worksheets/sheet6.xml><?xml version="1.0" encoding="utf-8"?>
<worksheet xmlns="http://schemas.openxmlformats.org/spreadsheetml/2006/main" xmlns:r="http://schemas.openxmlformats.org/officeDocument/2006/relationships">
  <sheetPr codeName="Sheet6">
    <tabColor theme="1"/>
  </sheetPr>
  <dimension ref="A1:H619"/>
  <sheetViews>
    <sheetView topLeftCell="A247" workbookViewId="0">
      <selection activeCell="K130" sqref="K130"/>
    </sheetView>
  </sheetViews>
  <sheetFormatPr defaultRowHeight="12.75"/>
  <cols>
    <col min="1" max="1" width="6.5703125" style="684" customWidth="1"/>
    <col min="2" max="2" width="11.7109375" style="684" customWidth="1"/>
    <col min="3" max="3" width="46.85546875" style="702" customWidth="1"/>
    <col min="4" max="4" width="11.28515625" style="704" customWidth="1"/>
    <col min="5" max="5" width="7.85546875" style="684" customWidth="1"/>
    <col min="6" max="6" width="10.140625" style="684" customWidth="1"/>
    <col min="7" max="7" width="11" style="704" customWidth="1"/>
    <col min="8" max="8" width="15.5703125" style="684" customWidth="1"/>
    <col min="9" max="16384" width="9.140625" style="684"/>
  </cols>
  <sheetData>
    <row r="1" spans="1:8" ht="15">
      <c r="C1" s="853" t="s">
        <v>5161</v>
      </c>
      <c r="D1" s="853"/>
      <c r="E1" s="853"/>
      <c r="F1" s="853"/>
      <c r="G1" s="853"/>
    </row>
    <row r="2" spans="1:8" ht="30.75" customHeight="1">
      <c r="A2" s="872" t="s">
        <v>5280</v>
      </c>
      <c r="B2" s="872"/>
      <c r="C2" s="872"/>
      <c r="D2" s="872"/>
      <c r="E2" s="872"/>
      <c r="F2" s="872"/>
      <c r="G2" s="872"/>
      <c r="H2" s="872"/>
    </row>
    <row r="3" spans="1:8" ht="15" customHeight="1">
      <c r="A3" s="868" t="s">
        <v>3603</v>
      </c>
      <c r="B3" s="869"/>
      <c r="C3" s="870" t="s">
        <v>4157</v>
      </c>
      <c r="D3" s="871" t="s">
        <v>24</v>
      </c>
      <c r="E3" s="870" t="s">
        <v>3683</v>
      </c>
      <c r="F3" s="870" t="s">
        <v>3764</v>
      </c>
      <c r="G3" s="871" t="s">
        <v>3765</v>
      </c>
      <c r="H3" s="870" t="s">
        <v>4171</v>
      </c>
    </row>
    <row r="4" spans="1:8" ht="36" customHeight="1">
      <c r="A4" s="685" t="s">
        <v>4054</v>
      </c>
      <c r="B4" s="685" t="s">
        <v>4156</v>
      </c>
      <c r="C4" s="870"/>
      <c r="D4" s="871"/>
      <c r="E4" s="870"/>
      <c r="F4" s="870"/>
      <c r="G4" s="871"/>
      <c r="H4" s="870"/>
    </row>
    <row r="5" spans="1:8">
      <c r="A5" s="85" t="s">
        <v>3766</v>
      </c>
      <c r="B5" s="85" t="s">
        <v>4055</v>
      </c>
      <c r="C5" s="85" t="s">
        <v>4170</v>
      </c>
      <c r="D5" s="712">
        <v>4</v>
      </c>
      <c r="E5" s="713">
        <v>5</v>
      </c>
      <c r="F5" s="713">
        <v>6</v>
      </c>
      <c r="G5" s="712">
        <v>7</v>
      </c>
      <c r="H5" s="686">
        <v>8</v>
      </c>
    </row>
    <row r="6" spans="1:8" hidden="1">
      <c r="A6" s="687" t="s">
        <v>3558</v>
      </c>
      <c r="B6" s="688"/>
      <c r="C6" s="608" t="s">
        <v>3665</v>
      </c>
      <c r="D6" s="714">
        <f>SUM(D7:D32)</f>
        <v>0</v>
      </c>
      <c r="E6" s="715">
        <f>IFERROR(D6/$D$599,"-")</f>
        <v>0</v>
      </c>
      <c r="F6" s="716">
        <f>SUM(F7:F32)</f>
        <v>0</v>
      </c>
      <c r="G6" s="714">
        <f>D6+F6</f>
        <v>0</v>
      </c>
      <c r="H6" s="717"/>
    </row>
    <row r="7" spans="1:8" hidden="1">
      <c r="A7" s="689"/>
      <c r="B7" s="689" t="s">
        <v>4483</v>
      </c>
      <c r="C7" s="609" t="s">
        <v>4058</v>
      </c>
      <c r="D7" s="718">
        <f>SUMIF('ПО КОРИСНИЦИМА'!$G$6:$G$13997,"Свега за програмску активност 1101-0001:",'ПО КОРИСНИЦИМА'!$H$6:$H$13997)</f>
        <v>0</v>
      </c>
      <c r="E7" s="719">
        <f>IFERROR(D7/$D$599,"-")</f>
        <v>0</v>
      </c>
      <c r="F7" s="720">
        <f>SUMIF('ПО КОРИСНИЦИМА'!$G$6:$G$13997,"Свега за програмску активност 1101-0001:",'ПО КОРИСНИЦИМА'!$I$6:$I$13997)</f>
        <v>0</v>
      </c>
      <c r="G7" s="718">
        <f>D7+F7</f>
        <v>0</v>
      </c>
      <c r="H7" s="721"/>
    </row>
    <row r="8" spans="1:8" hidden="1">
      <c r="A8" s="691"/>
      <c r="B8" s="691" t="s">
        <v>4484</v>
      </c>
      <c r="C8" s="610" t="s">
        <v>4057</v>
      </c>
      <c r="D8" s="722">
        <f>SUMIF('ПО КОРИСНИЦИМА'!$G$6:$G$13997,"Свега за програмску активност 1101-0002:",'ПО КОРИСНИЦИМА'!$H$6:$H$13997)</f>
        <v>0</v>
      </c>
      <c r="E8" s="723">
        <f>IFERROR(D8/$D$599,"-")</f>
        <v>0</v>
      </c>
      <c r="F8" s="724">
        <f>SUMIF('ПО КОРИСНИЦИМА'!$G$6:$G$13997,"Свега за програмску активност 1101-0002:",'ПО КОРИСНИЦИМА'!$I$6:$I$13997)</f>
        <v>0</v>
      </c>
      <c r="G8" s="722">
        <f t="shared" ref="G8:G192" si="0">D8+F8</f>
        <v>0</v>
      </c>
      <c r="H8" s="725"/>
    </row>
    <row r="9" spans="1:8" hidden="1">
      <c r="A9" s="691"/>
      <c r="B9" s="691" t="s">
        <v>4485</v>
      </c>
      <c r="C9" s="610" t="str">
        <f>IFERROR(VLOOKUP(B9,'ПО КОРИСНИЦИМА'!$C$6:$J$13997,5,FALSE),"")</f>
        <v/>
      </c>
      <c r="D9" s="726">
        <f>SUMIF('ПО КОРИСНИЦИМА'!$G$6:$G$13997,"Свега за пројекат 1101-П1:",'ПО КОРИСНИЦИМА'!$H$6:$H$13997)</f>
        <v>0</v>
      </c>
      <c r="E9" s="723">
        <f>IFERROR(D9/$D$599,"-")</f>
        <v>0</v>
      </c>
      <c r="F9" s="727">
        <f>SUMIF('ПО КОРИСНИЦИМА'!$G$6:$G$13997,"Свега за пројекат 1101-П1:",'ПО КОРИСНИЦИМА'!$I$6:$I$13997)</f>
        <v>0</v>
      </c>
      <c r="G9" s="722">
        <f t="shared" si="0"/>
        <v>0</v>
      </c>
      <c r="H9" s="725"/>
    </row>
    <row r="10" spans="1:8" hidden="1">
      <c r="A10" s="691"/>
      <c r="B10" s="691" t="s">
        <v>4486</v>
      </c>
      <c r="C10" s="610" t="str">
        <f>IFERROR(VLOOKUP(B10,'ПО КОРИСНИЦИМА'!$C$6:$J$13997,5,FALSE),"")</f>
        <v/>
      </c>
      <c r="D10" s="726">
        <f>SUMIF('ПО КОРИСНИЦИМА'!$G$6:$G$13997,"Свега за пројекат 1101-П2:",'ПО КОРИСНИЦИМА'!$H$6:$H$13997)</f>
        <v>0</v>
      </c>
      <c r="E10" s="723">
        <f t="shared" ref="E10:E32" si="1">IFERROR(D10/$D$599,"-")</f>
        <v>0</v>
      </c>
      <c r="F10" s="727">
        <f>SUMIF('ПО КОРИСНИЦИМА'!$G$6:$G$13997,"Свега за пројекат 1101-П2:",'ПО КОРИСНИЦИМА'!$I$6:$I$13997)</f>
        <v>0</v>
      </c>
      <c r="G10" s="722">
        <f t="shared" si="0"/>
        <v>0</v>
      </c>
      <c r="H10" s="728"/>
    </row>
    <row r="11" spans="1:8" hidden="1">
      <c r="A11" s="691"/>
      <c r="B11" s="691" t="s">
        <v>4487</v>
      </c>
      <c r="C11" s="610" t="str">
        <f>IFERROR(VLOOKUP(B11,'ПО КОРИСНИЦИМА'!$C$6:$J$13997,5,FALSE),"")</f>
        <v/>
      </c>
      <c r="D11" s="726">
        <f>SUMIF('ПО КОРИСНИЦИМА'!$G$6:$G$13997,"Свега за пројекат 1101-П3:",'ПО КОРИСНИЦИМА'!$H$6:$H$13997)</f>
        <v>0</v>
      </c>
      <c r="E11" s="723">
        <f t="shared" si="1"/>
        <v>0</v>
      </c>
      <c r="F11" s="727">
        <f>SUMIF('ПО КОРИСНИЦИМА'!$G$6:$G$13997,"Свега за пројекат 1101-П3:",'ПО КОРИСНИЦИМА'!$I$6:$I$13997)</f>
        <v>0</v>
      </c>
      <c r="G11" s="722">
        <f t="shared" si="0"/>
        <v>0</v>
      </c>
      <c r="H11" s="728"/>
    </row>
    <row r="12" spans="1:8" hidden="1">
      <c r="A12" s="691"/>
      <c r="B12" s="691" t="s">
        <v>4488</v>
      </c>
      <c r="C12" s="610" t="str">
        <f>IFERROR(VLOOKUP(B12,'ПО КОРИСНИЦИМА'!$C$6:$J$13997,5,FALSE),"")</f>
        <v/>
      </c>
      <c r="D12" s="726">
        <f>SUMIF('ПО КОРИСНИЦИМА'!$G$6:$G$13997,"Свега за пројекат 1101-П4:",'ПО КОРИСНИЦИМА'!$H$6:$H$13997)</f>
        <v>0</v>
      </c>
      <c r="E12" s="723">
        <f t="shared" si="1"/>
        <v>0</v>
      </c>
      <c r="F12" s="727">
        <f>SUMIF('ПО КОРИСНИЦИМА'!$G$6:$G$13997,"Свега за пројекат 1101-П4:",'ПО КОРИСНИЦИМА'!$I$6:$I$13997)</f>
        <v>0</v>
      </c>
      <c r="G12" s="722">
        <f t="shared" si="0"/>
        <v>0</v>
      </c>
      <c r="H12" s="728"/>
    </row>
    <row r="13" spans="1:8" hidden="1">
      <c r="A13" s="691"/>
      <c r="B13" s="691" t="s">
        <v>4489</v>
      </c>
      <c r="C13" s="610" t="str">
        <f>IFERROR(VLOOKUP(B13,'ПО КОРИСНИЦИМА'!$C$6:$J$13997,5,FALSE),"")</f>
        <v/>
      </c>
      <c r="D13" s="726">
        <f>SUMIF('ПО КОРИСНИЦИМА'!$G$6:$G$13997,"Свега за пројекат 1101-П5:",'ПО КОРИСНИЦИМА'!$H$6:$H$13997)</f>
        <v>0</v>
      </c>
      <c r="E13" s="723">
        <f t="shared" si="1"/>
        <v>0</v>
      </c>
      <c r="F13" s="727">
        <f>SUMIF('ПО КОРИСНИЦИМА'!$G$6:$G$13997,"Свега за пројекат 1101-П5:",'ПО КОРИСНИЦИМА'!$I$6:$I$13997)</f>
        <v>0</v>
      </c>
      <c r="G13" s="722">
        <f t="shared" si="0"/>
        <v>0</v>
      </c>
      <c r="H13" s="728"/>
    </row>
    <row r="14" spans="1:8" hidden="1">
      <c r="A14" s="691"/>
      <c r="B14" s="691" t="s">
        <v>4490</v>
      </c>
      <c r="C14" s="610" t="str">
        <f>IFERROR(VLOOKUP(B14,'ПО КОРИСНИЦИМА'!$C$6:$J$13997,5,FALSE),"")</f>
        <v/>
      </c>
      <c r="D14" s="726">
        <f>SUMIF('ПО КОРИСНИЦИМА'!$G$6:$G$13997,"Свега за пројекат 1101-П6:",'ПО КОРИСНИЦИМА'!$H$6:$H$13997)</f>
        <v>0</v>
      </c>
      <c r="E14" s="723">
        <f t="shared" si="1"/>
        <v>0</v>
      </c>
      <c r="F14" s="727">
        <f>SUMIF('ПО КОРИСНИЦИМА'!$G$6:$G$13997,"Свега за пројекат 1101-П6:",'ПО КОРИСНИЦИМА'!$I$6:$I$13997)</f>
        <v>0</v>
      </c>
      <c r="G14" s="722">
        <f>D14+F14</f>
        <v>0</v>
      </c>
      <c r="H14" s="728"/>
    </row>
    <row r="15" spans="1:8" hidden="1">
      <c r="A15" s="691"/>
      <c r="B15" s="691" t="s">
        <v>4491</v>
      </c>
      <c r="C15" s="610" t="str">
        <f>IFERROR(VLOOKUP(B15,'ПО КОРИСНИЦИМА'!$C$6:$J$13997,5,FALSE),"")</f>
        <v/>
      </c>
      <c r="D15" s="726">
        <f>SUMIF('ПО КОРИСНИЦИМА'!$G$6:$G$13997,"Свега за пројекат 1101-П7:",'ПО КОРИСНИЦИМА'!$H$6:$H$13997)</f>
        <v>0</v>
      </c>
      <c r="E15" s="723">
        <f t="shared" si="1"/>
        <v>0</v>
      </c>
      <c r="F15" s="727">
        <f>SUMIF('ПО КОРИСНИЦИМА'!$G$6:$G$13997,"Свега за пројекат 1101-П7:",'ПО КОРИСНИЦИМА'!$I$6:$I$13997)</f>
        <v>0</v>
      </c>
      <c r="G15" s="722">
        <f t="shared" si="0"/>
        <v>0</v>
      </c>
      <c r="H15" s="728"/>
    </row>
    <row r="16" spans="1:8" hidden="1">
      <c r="A16" s="691"/>
      <c r="B16" s="691" t="s">
        <v>4492</v>
      </c>
      <c r="C16" s="610" t="str">
        <f>IFERROR(VLOOKUP(B16,'ПО КОРИСНИЦИМА'!$C$6:$J$13997,5,FALSE),"")</f>
        <v/>
      </c>
      <c r="D16" s="726">
        <f>SUMIF('ПО КОРИСНИЦИМА'!$G$6:$G$13997,"Свега за пројекат 1101-П8:",'ПО КОРИСНИЦИМА'!$H$6:$H$13997)</f>
        <v>0</v>
      </c>
      <c r="E16" s="723">
        <f t="shared" si="1"/>
        <v>0</v>
      </c>
      <c r="F16" s="727">
        <f>SUMIF('ПО КОРИСНИЦИМА'!$G$6:$G$13997,"Свега за пројекат 1101-П8:",'ПО КОРИСНИЦИМА'!$I$6:$I$13997)</f>
        <v>0</v>
      </c>
      <c r="G16" s="722">
        <f t="shared" si="0"/>
        <v>0</v>
      </c>
      <c r="H16" s="728"/>
    </row>
    <row r="17" spans="1:8" hidden="1">
      <c r="A17" s="691"/>
      <c r="B17" s="691" t="s">
        <v>4493</v>
      </c>
      <c r="C17" s="610" t="str">
        <f>IFERROR(VLOOKUP(B17,'ПО КОРИСНИЦИМА'!$C$6:$J$13997,5,FALSE),"")</f>
        <v/>
      </c>
      <c r="D17" s="726">
        <f>SUMIF('ПО КОРИСНИЦИМА'!$G$6:$G$13997,"Свега за пројекат 1101-П9:",'ПО КОРИСНИЦИМА'!$H$6:$H$13997)</f>
        <v>0</v>
      </c>
      <c r="E17" s="723">
        <f t="shared" si="1"/>
        <v>0</v>
      </c>
      <c r="F17" s="727">
        <f>SUMIF('ПО КОРИСНИЦИМА'!$G$6:$G$13997,"Свега за пројекат 1101-П9:",'ПО КОРИСНИЦИМА'!$I$6:$I$13997)</f>
        <v>0</v>
      </c>
      <c r="G17" s="722">
        <f t="shared" si="0"/>
        <v>0</v>
      </c>
      <c r="H17" s="728"/>
    </row>
    <row r="18" spans="1:8" hidden="1">
      <c r="A18" s="691"/>
      <c r="B18" s="691" t="s">
        <v>4494</v>
      </c>
      <c r="C18" s="610" t="str">
        <f>IFERROR(VLOOKUP(B18,'ПО КОРИСНИЦИМА'!$C$6:$J$13997,5,FALSE),"")</f>
        <v/>
      </c>
      <c r="D18" s="726">
        <f>SUMIF('ПО КОРИСНИЦИМА'!$G$6:$G$13997,"Свега за пројекат 1101-П10:",'ПО КОРИСНИЦИМА'!$H$6:$H$13997)</f>
        <v>0</v>
      </c>
      <c r="E18" s="723">
        <f t="shared" si="1"/>
        <v>0</v>
      </c>
      <c r="F18" s="727">
        <f>SUMIF('ПО КОРИСНИЦИМА'!$G$6:$G$13997,"Свега за пројекат 1101-П10:",'ПО КОРИСНИЦИМА'!$I$6:$I$13997)</f>
        <v>0</v>
      </c>
      <c r="G18" s="722">
        <f t="shared" si="0"/>
        <v>0</v>
      </c>
      <c r="H18" s="728"/>
    </row>
    <row r="19" spans="1:8" hidden="1">
      <c r="A19" s="691"/>
      <c r="B19" s="691" t="s">
        <v>4495</v>
      </c>
      <c r="C19" s="610" t="str">
        <f>IFERROR(VLOOKUP(B19,'ПО КОРИСНИЦИМА'!$C$6:$J$13997,5,FALSE),"")</f>
        <v/>
      </c>
      <c r="D19" s="726">
        <f>SUMIF('ПО КОРИСНИЦИМА'!$G$6:$G$13997,"Свега за пројекат 1101-П11:",'ПО КОРИСНИЦИМА'!$H$6:$H$13997)</f>
        <v>0</v>
      </c>
      <c r="E19" s="723">
        <f t="shared" si="1"/>
        <v>0</v>
      </c>
      <c r="F19" s="727">
        <f>SUMIF('ПО КОРИСНИЦИМА'!$G$6:$G$13997,"Свега за пројекат 1101-П11:",'ПО КОРИСНИЦИМА'!$I$6:$I$13997)</f>
        <v>0</v>
      </c>
      <c r="G19" s="722">
        <f t="shared" si="0"/>
        <v>0</v>
      </c>
      <c r="H19" s="728"/>
    </row>
    <row r="20" spans="1:8" hidden="1">
      <c r="A20" s="691"/>
      <c r="B20" s="691" t="s">
        <v>4496</v>
      </c>
      <c r="C20" s="610" t="str">
        <f>IFERROR(VLOOKUP(B20,'ПО КОРИСНИЦИМА'!$C$6:$J$13997,5,FALSE),"")</f>
        <v/>
      </c>
      <c r="D20" s="726">
        <f>SUMIF('ПО КОРИСНИЦИМА'!$G$6:$G$13997,"Свега за пројекат 1101-П12:",'ПО КОРИСНИЦИМА'!$H$6:$H$13997)</f>
        <v>0</v>
      </c>
      <c r="E20" s="723">
        <f t="shared" si="1"/>
        <v>0</v>
      </c>
      <c r="F20" s="727">
        <f>SUMIF('ПО КОРИСНИЦИМА'!$G$6:$G$13997,"Свега за пројекат 1101-П12:",'ПО КОРИСНИЦИМА'!$I$6:$I$13997)</f>
        <v>0</v>
      </c>
      <c r="G20" s="722">
        <f t="shared" si="0"/>
        <v>0</v>
      </c>
      <c r="H20" s="728"/>
    </row>
    <row r="21" spans="1:8" hidden="1">
      <c r="A21" s="691"/>
      <c r="B21" s="691" t="s">
        <v>4497</v>
      </c>
      <c r="C21" s="610" t="str">
        <f>IFERROR(VLOOKUP(B21,'ПО КОРИСНИЦИМА'!$C$6:$J$13997,5,FALSE),"")</f>
        <v/>
      </c>
      <c r="D21" s="726">
        <f>SUMIF('ПО КОРИСНИЦИМА'!$G$6:$G$13997,"Свега за пројекат 1101-П13:",'ПО КОРИСНИЦИМА'!$H$6:$H$13997)</f>
        <v>0</v>
      </c>
      <c r="E21" s="723">
        <f t="shared" si="1"/>
        <v>0</v>
      </c>
      <c r="F21" s="727">
        <f>SUMIF('ПО КОРИСНИЦИМА'!$G$6:$G$13997,"Свега за пројекат 1101-П13:",'ПО КОРИСНИЦИМА'!$I$6:$I$13997)</f>
        <v>0</v>
      </c>
      <c r="G21" s="722">
        <f t="shared" si="0"/>
        <v>0</v>
      </c>
      <c r="H21" s="728"/>
    </row>
    <row r="22" spans="1:8" hidden="1">
      <c r="A22" s="691"/>
      <c r="B22" s="691" t="s">
        <v>4498</v>
      </c>
      <c r="C22" s="610" t="str">
        <f>IFERROR(VLOOKUP(B22,'ПО КОРИСНИЦИМА'!$C$6:$J$13997,5,FALSE),"")</f>
        <v/>
      </c>
      <c r="D22" s="726">
        <f>SUMIF('ПО КОРИСНИЦИМА'!$G$6:$G$13997,"Свега за пројекат 1101-П14:",'ПО КОРИСНИЦИМА'!$H$6:$H$13997)</f>
        <v>0</v>
      </c>
      <c r="E22" s="723">
        <f t="shared" si="1"/>
        <v>0</v>
      </c>
      <c r="F22" s="727">
        <f>SUMIF('ПО КОРИСНИЦИМА'!$G$6:$G$13997,"Свега за пројекат 1101-П14:",'ПО КОРИСНИЦИМА'!$I$6:$I$13997)</f>
        <v>0</v>
      </c>
      <c r="G22" s="722">
        <f t="shared" si="0"/>
        <v>0</v>
      </c>
      <c r="H22" s="725"/>
    </row>
    <row r="23" spans="1:8" hidden="1">
      <c r="A23" s="691"/>
      <c r="B23" s="691" t="s">
        <v>4499</v>
      </c>
      <c r="C23" s="610" t="str">
        <f>IFERROR(VLOOKUP(B23,'ПО КОРИСНИЦИМА'!$C$6:$J$13997,5,FALSE),"")</f>
        <v/>
      </c>
      <c r="D23" s="726">
        <f>SUMIF('ПО КОРИСНИЦИМА'!$G$6:$G$13997,"Свега за пројекат 1101-П15:",'ПО КОРИСНИЦИМА'!$H$6:$H$13997)</f>
        <v>0</v>
      </c>
      <c r="E23" s="723">
        <f t="shared" si="1"/>
        <v>0</v>
      </c>
      <c r="F23" s="727">
        <f>SUMIF('ПО КОРИСНИЦИМА'!$G$6:$G$13997,"Свега за пројекат 1101-П15:",'ПО КОРИСНИЦИМА'!$I$6:$I$13997)</f>
        <v>0</v>
      </c>
      <c r="G23" s="722">
        <f t="shared" si="0"/>
        <v>0</v>
      </c>
      <c r="H23" s="725"/>
    </row>
    <row r="24" spans="1:8" hidden="1">
      <c r="A24" s="691"/>
      <c r="B24" s="691" t="s">
        <v>4500</v>
      </c>
      <c r="C24" s="610" t="str">
        <f>IFERROR(VLOOKUP(B24,'ПО КОРИСНИЦИМА'!$C$6:$J$13997,5,FALSE),"")</f>
        <v/>
      </c>
      <c r="D24" s="726">
        <f>SUMIF('ПО КОРИСНИЦИМА'!$G$6:$G$13997,"Свега за пројекат 1101-П16:",'ПО КОРИСНИЦИМА'!$H$6:$H$13997)</f>
        <v>0</v>
      </c>
      <c r="E24" s="723">
        <f t="shared" si="1"/>
        <v>0</v>
      </c>
      <c r="F24" s="727">
        <f>SUMIF('ПО КОРИСНИЦИМА'!$G$6:$G$13997,"Свега за пројекат 1101-П16:",'ПО КОРИСНИЦИМА'!$I$6:$I$13997)</f>
        <v>0</v>
      </c>
      <c r="G24" s="722">
        <f t="shared" si="0"/>
        <v>0</v>
      </c>
      <c r="H24" s="728"/>
    </row>
    <row r="25" spans="1:8" hidden="1">
      <c r="A25" s="691"/>
      <c r="B25" s="691" t="s">
        <v>4501</v>
      </c>
      <c r="C25" s="610" t="str">
        <f>IFERROR(VLOOKUP(B25,'ПО КОРИСНИЦИМА'!$C$6:$J$13997,5,FALSE),"")</f>
        <v/>
      </c>
      <c r="D25" s="726">
        <f>SUMIF('ПО КОРИСНИЦИМА'!$G$6:$G$13997,"Свега за пројекат 1101-П17:",'ПО КОРИСНИЦИМА'!$H$6:$H$13997)</f>
        <v>0</v>
      </c>
      <c r="E25" s="723">
        <f t="shared" si="1"/>
        <v>0</v>
      </c>
      <c r="F25" s="727">
        <f>SUMIF('ПО КОРИСНИЦИМА'!$G$6:$G$13997,"Свега за пројекат 1101-П17:",'ПО КОРИСНИЦИМА'!$I$6:$I$13997)</f>
        <v>0</v>
      </c>
      <c r="G25" s="722">
        <f t="shared" si="0"/>
        <v>0</v>
      </c>
      <c r="H25" s="728"/>
    </row>
    <row r="26" spans="1:8" hidden="1">
      <c r="A26" s="691"/>
      <c r="B26" s="691" t="s">
        <v>4502</v>
      </c>
      <c r="C26" s="610" t="str">
        <f>IFERROR(VLOOKUP(B26,'ПО КОРИСНИЦИМА'!$C$6:$J$13997,5,FALSE),"")</f>
        <v/>
      </c>
      <c r="D26" s="726">
        <f>SUMIF('ПО КОРИСНИЦИМА'!$G$6:$G$13997,"Свега за пројекат 1101-П18:",'ПО КОРИСНИЦИМА'!$H$6:$H$13997)</f>
        <v>0</v>
      </c>
      <c r="E26" s="723">
        <f t="shared" si="1"/>
        <v>0</v>
      </c>
      <c r="F26" s="727">
        <f>SUMIF('ПО КОРИСНИЦИМА'!$G$6:$G$13997,"Свега за пројекат 1101-П18:",'ПО КОРИСНИЦИМА'!$I$6:$I$13997)</f>
        <v>0</v>
      </c>
      <c r="G26" s="722">
        <f t="shared" si="0"/>
        <v>0</v>
      </c>
      <c r="H26" s="728"/>
    </row>
    <row r="27" spans="1:8" hidden="1">
      <c r="A27" s="691"/>
      <c r="B27" s="691" t="s">
        <v>4503</v>
      </c>
      <c r="C27" s="610" t="str">
        <f>IFERROR(VLOOKUP(B27,'ПО КОРИСНИЦИМА'!$C$6:$J$13997,5,FALSE),"")</f>
        <v/>
      </c>
      <c r="D27" s="726">
        <f>SUMIF('ПО КОРИСНИЦИМА'!$G$6:$G$13997,"Свега за пројекат 1101-П19:",'ПО КОРИСНИЦИМА'!$H$6:$H$13997)</f>
        <v>0</v>
      </c>
      <c r="E27" s="723">
        <f t="shared" si="1"/>
        <v>0</v>
      </c>
      <c r="F27" s="727">
        <f>SUMIF('ПО КОРИСНИЦИМА'!$G$6:$G$13997,"Свега за пројекат 1101-П19:",'ПО КОРИСНИЦИМА'!$I$6:$I$13997)</f>
        <v>0</v>
      </c>
      <c r="G27" s="722">
        <f t="shared" si="0"/>
        <v>0</v>
      </c>
      <c r="H27" s="728"/>
    </row>
    <row r="28" spans="1:8" hidden="1">
      <c r="A28" s="691"/>
      <c r="B28" s="691" t="s">
        <v>4504</v>
      </c>
      <c r="C28" s="610" t="str">
        <f>IFERROR(VLOOKUP(B28,'ПО КОРИСНИЦИМА'!$C$6:$J$13997,5,FALSE),"")</f>
        <v/>
      </c>
      <c r="D28" s="726">
        <f>SUMIF('ПО КОРИСНИЦИМА'!$G$6:$G$13997,"Свега за пројекат 1101-П20:",'ПО КОРИСНИЦИМА'!$H$6:$H$13997)</f>
        <v>0</v>
      </c>
      <c r="E28" s="723">
        <f t="shared" si="1"/>
        <v>0</v>
      </c>
      <c r="F28" s="727">
        <f>SUMIF('ПО КОРИСНИЦИМА'!$G$6:$G$13997,"Свега за пројекат 1101-П20:",'ПО КОРИСНИЦИМА'!$I$6:$I$13997)</f>
        <v>0</v>
      </c>
      <c r="G28" s="722">
        <f t="shared" si="0"/>
        <v>0</v>
      </c>
      <c r="H28" s="728"/>
    </row>
    <row r="29" spans="1:8" hidden="1">
      <c r="A29" s="691"/>
      <c r="B29" s="691" t="s">
        <v>4505</v>
      </c>
      <c r="C29" s="610" t="str">
        <f>IFERROR(VLOOKUP(B29,'ПО КОРИСНИЦИМА'!$C$6:$J$13997,5,FALSE),"")</f>
        <v/>
      </c>
      <c r="D29" s="726">
        <f>SUMIF('ПО КОРИСНИЦИМА'!$G$6:$G$13997,"Свега за пројекат 1101-П21:",'ПО КОРИСНИЦИМА'!$H$6:$H$13997)</f>
        <v>0</v>
      </c>
      <c r="E29" s="723">
        <f t="shared" si="1"/>
        <v>0</v>
      </c>
      <c r="F29" s="727">
        <f>SUMIF('ПО КОРИСНИЦИМА'!$G$6:$G$13997,"Свега за пројекат 1101-П21:",'ПО КОРИСНИЦИМА'!$I$6:$I$13997)</f>
        <v>0</v>
      </c>
      <c r="G29" s="722">
        <f t="shared" si="0"/>
        <v>0</v>
      </c>
      <c r="H29" s="728"/>
    </row>
    <row r="30" spans="1:8" hidden="1">
      <c r="A30" s="691"/>
      <c r="B30" s="691" t="s">
        <v>4506</v>
      </c>
      <c r="C30" s="610" t="str">
        <f>IFERROR(VLOOKUP(B30,'ПО КОРИСНИЦИМА'!$C$6:$J$13997,5,FALSE),"")</f>
        <v/>
      </c>
      <c r="D30" s="726">
        <f>SUMIF('ПО КОРИСНИЦИМА'!$G$6:$G$13997,"Свега за пројекат 1101-П22:",'ПО КОРИСНИЦИМА'!$H$6:$H$13997)</f>
        <v>0</v>
      </c>
      <c r="E30" s="723">
        <f t="shared" si="1"/>
        <v>0</v>
      </c>
      <c r="F30" s="727">
        <f>SUMIF('ПО КОРИСНИЦИМА'!$G$6:$G$13997,"Свега за пројекат 1101-П22:",'ПО КОРИСНИЦИМА'!$I$6:$I$13997)</f>
        <v>0</v>
      </c>
      <c r="G30" s="722">
        <f t="shared" si="0"/>
        <v>0</v>
      </c>
      <c r="H30" s="728"/>
    </row>
    <row r="31" spans="1:8" hidden="1">
      <c r="A31" s="691"/>
      <c r="B31" s="691" t="s">
        <v>4507</v>
      </c>
      <c r="C31" s="610" t="str">
        <f>IFERROR(VLOOKUP(B31,'ПО КОРИСНИЦИМА'!$C$6:$J$13997,5,FALSE),"")</f>
        <v/>
      </c>
      <c r="D31" s="726">
        <f>SUMIF('ПО КОРИСНИЦИМА'!$G$6:$G$13997,"Свега за пројекат 1101-П23:",'ПО КОРИСНИЦИМА'!$H$6:$H$13997)</f>
        <v>0</v>
      </c>
      <c r="E31" s="723">
        <f t="shared" si="1"/>
        <v>0</v>
      </c>
      <c r="F31" s="727">
        <f>SUMIF('ПО КОРИСНИЦИМА'!$G$6:$G$13997,"Свега за пројекат 1101-П23:",'ПО КОРИСНИЦИМА'!$I$6:$I$13997)</f>
        <v>0</v>
      </c>
      <c r="G31" s="722">
        <f t="shared" si="0"/>
        <v>0</v>
      </c>
      <c r="H31" s="728"/>
    </row>
    <row r="32" spans="1:8" hidden="1">
      <c r="A32" s="705"/>
      <c r="B32" s="705" t="s">
        <v>4508</v>
      </c>
      <c r="C32" s="706" t="str">
        <f>IFERROR(VLOOKUP(B32,'ПО КОРИСНИЦИМА'!$C$6:$J$13997,5,FALSE),"")</f>
        <v/>
      </c>
      <c r="D32" s="729">
        <f>SUMIF('ПО КОРИСНИЦИМА'!$G$6:$G$13997,"Свега за пројекат 1101-П24:",'ПО КОРИСНИЦИМА'!$H$6:$H$13997)</f>
        <v>0</v>
      </c>
      <c r="E32" s="730">
        <f t="shared" si="1"/>
        <v>0</v>
      </c>
      <c r="F32" s="731">
        <f>SUMIF('ПО КОРИСНИЦИМА'!$G$6:$G$13997,"Свега за пројекат 1101-П24:",'ПО КОРИСНИЦИМА'!$I$6:$I$13997)</f>
        <v>0</v>
      </c>
      <c r="G32" s="732">
        <f t="shared" si="0"/>
        <v>0</v>
      </c>
      <c r="H32" s="733"/>
    </row>
    <row r="33" spans="1:8">
      <c r="A33" s="687" t="s">
        <v>3561</v>
      </c>
      <c r="B33" s="688"/>
      <c r="C33" s="608" t="s">
        <v>3666</v>
      </c>
      <c r="D33" s="714">
        <f>SUM(D34:D97)</f>
        <v>66230000</v>
      </c>
      <c r="E33" s="715">
        <f t="shared" ref="E33:E64" si="2">IFERROR(D33/$D$599,"-")</f>
        <v>0.13961266392050825</v>
      </c>
      <c r="F33" s="716">
        <f>SUM(F34:F97)</f>
        <v>0</v>
      </c>
      <c r="G33" s="714">
        <f>D33+F33</f>
        <v>66230000</v>
      </c>
      <c r="H33" s="717"/>
    </row>
    <row r="34" spans="1:8">
      <c r="A34" s="689"/>
      <c r="B34" s="689" t="s">
        <v>4059</v>
      </c>
      <c r="C34" s="611" t="s">
        <v>183</v>
      </c>
      <c r="D34" s="718">
        <f>SUMIF('ПО КОРИСНИЦИМА'!$G$6:$G$13997,"Свега за програмску активност 0601-0001:",'ПО КОРИСНИЦИМА'!$H$6:$H$13997)</f>
        <v>12960000</v>
      </c>
      <c r="E34" s="719">
        <f t="shared" si="2"/>
        <v>2.7319645544463041E-2</v>
      </c>
      <c r="F34" s="720">
        <f>SUMIF('ПО КОРИСНИЦИМА'!$G$6:$G$13997,"Свега за програмску активност 0601-0001:",'ПО КОРИСНИЦИМА'!$I$6:$I$13997)</f>
        <v>0</v>
      </c>
      <c r="G34" s="718">
        <f t="shared" si="0"/>
        <v>12960000</v>
      </c>
      <c r="H34" s="721"/>
    </row>
    <row r="35" spans="1:8">
      <c r="A35" s="691"/>
      <c r="B35" s="691" t="s">
        <v>4060</v>
      </c>
      <c r="C35" s="612" t="s">
        <v>4061</v>
      </c>
      <c r="D35" s="722">
        <f>SUMIF('ПО КОРИСНИЦИМА'!$G$6:$G$13997,"Свега за програмску активност 0601-0002:",'ПО КОРИСНИЦИМА'!$H$6:$H$13997)</f>
        <v>30170000</v>
      </c>
      <c r="E35" s="723">
        <f t="shared" si="2"/>
        <v>6.3598279789849527E-2</v>
      </c>
      <c r="F35" s="724">
        <f>SUMIF('ПО КОРИСНИЦИМА'!$G$6:$G$13997,"Свега за програмску активност 0601-0002:",'ПО КОРИСНИЦИМА'!$I$6:$I$13997)</f>
        <v>0</v>
      </c>
      <c r="G35" s="722">
        <f t="shared" si="0"/>
        <v>30170000</v>
      </c>
      <c r="H35" s="725"/>
    </row>
    <row r="36" spans="1:8" hidden="1">
      <c r="A36" s="691"/>
      <c r="B36" s="691" t="s">
        <v>4062</v>
      </c>
      <c r="C36" s="612" t="s">
        <v>4063</v>
      </c>
      <c r="D36" s="722">
        <f>SUMIF('ПО КОРИСНИЦИМА'!$G$6:$G$13997,"Свега за програмску активност 0601-0003:",'ПО КОРИСНИЦИМА'!$H$6:$H$13997)</f>
        <v>0</v>
      </c>
      <c r="E36" s="723">
        <f t="shared" si="2"/>
        <v>0</v>
      </c>
      <c r="F36" s="724">
        <f>SUMIF('ПО КОРИСНИЦИМА'!$G$6:$G$13997,"Свега за програмску активност 0601-0003:",'ПО КОРИСНИЦИМА'!$I$6:$I$13997)</f>
        <v>0</v>
      </c>
      <c r="G36" s="722">
        <f t="shared" si="0"/>
        <v>0</v>
      </c>
      <c r="H36" s="725"/>
    </row>
    <row r="37" spans="1:8" hidden="1">
      <c r="A37" s="691"/>
      <c r="B37" s="691" t="s">
        <v>4064</v>
      </c>
      <c r="C37" s="612" t="s">
        <v>4065</v>
      </c>
      <c r="D37" s="722">
        <f>SUMIF('ПО КОРИСНИЦИМА'!$G$6:$G$13997,"Свега за програмску активност 0601-0004:",'ПО КОРИСНИЦИМА'!$H$6:$H$13997)</f>
        <v>0</v>
      </c>
      <c r="E37" s="723">
        <f t="shared" si="2"/>
        <v>0</v>
      </c>
      <c r="F37" s="724">
        <f>SUMIF('ПО КОРИСНИЦИМА'!$G$6:$G$13997,"Свега за програмску активност 0601-0004:",'ПО КОРИСНИЦИМА'!$I$6:$I$13997)</f>
        <v>0</v>
      </c>
      <c r="G37" s="722">
        <f t="shared" si="0"/>
        <v>0</v>
      </c>
      <c r="H37" s="725"/>
    </row>
    <row r="38" spans="1:8" hidden="1">
      <c r="A38" s="691"/>
      <c r="B38" s="691" t="s">
        <v>4066</v>
      </c>
      <c r="C38" s="612" t="s">
        <v>4067</v>
      </c>
      <c r="D38" s="722">
        <f>SUMIF('ПО КОРИСНИЦИМА'!$G$6:$G$13997,"Свега за програмску активност 0601-0005:",'ПО КОРИСНИЦИМА'!$H$6:$H$13997)</f>
        <v>0</v>
      </c>
      <c r="E38" s="723">
        <f t="shared" si="2"/>
        <v>0</v>
      </c>
      <c r="F38" s="724">
        <f>SUMIF('ПО КОРИСНИЦИМА'!$G$6:$G$13997,"Свега за програмску активност 0601-0005:",'ПО КОРИСНИЦИМА'!$I$6:$I$13997)</f>
        <v>0</v>
      </c>
      <c r="G38" s="722">
        <f t="shared" si="0"/>
        <v>0</v>
      </c>
      <c r="H38" s="725"/>
    </row>
    <row r="39" spans="1:8" hidden="1">
      <c r="A39" s="691"/>
      <c r="B39" s="691" t="s">
        <v>4068</v>
      </c>
      <c r="C39" s="612" t="s">
        <v>4069</v>
      </c>
      <c r="D39" s="722">
        <f>SUMIF('ПО КОРИСНИЦИМА'!$G$6:$G$13997,"Свега за програмску активност 0601-0006:",'ПО КОРИСНИЦИМА'!$H$6:$H$13997)</f>
        <v>0</v>
      </c>
      <c r="E39" s="723">
        <f t="shared" si="2"/>
        <v>0</v>
      </c>
      <c r="F39" s="724">
        <f>SUMIF('ПО КОРИСНИЦИМА'!$G$6:$G$13997,"Свега за програмску активност 0601-0006:",'ПО КОРИСНИЦИМА'!$I$6:$I$13997)</f>
        <v>0</v>
      </c>
      <c r="G39" s="722">
        <f t="shared" si="0"/>
        <v>0</v>
      </c>
      <c r="H39" s="725"/>
    </row>
    <row r="40" spans="1:8" hidden="1">
      <c r="A40" s="691"/>
      <c r="B40" s="691" t="s">
        <v>4070</v>
      </c>
      <c r="C40" s="612" t="s">
        <v>4220</v>
      </c>
      <c r="D40" s="722">
        <f>SUMIF('ПО КОРИСНИЦИМА'!$G$6:$G$13997,"Свега за програмску активност 0601-0007:",'ПО КОРИСНИЦИМА'!$H$6:$H$13997)</f>
        <v>0</v>
      </c>
      <c r="E40" s="723">
        <f t="shared" si="2"/>
        <v>0</v>
      </c>
      <c r="F40" s="724">
        <f>SUMIF('ПО КОРИСНИЦИМА'!$G$6:$G$13997,"Свега за програмску активност 0601-0007:",'ПО КОРИСНИЦИМА'!$I$6:$I$13997)</f>
        <v>0</v>
      </c>
      <c r="G40" s="722">
        <f t="shared" si="0"/>
        <v>0</v>
      </c>
      <c r="H40" s="725"/>
    </row>
    <row r="41" spans="1:8" hidden="1">
      <c r="A41" s="691"/>
      <c r="B41" s="691" t="s">
        <v>4071</v>
      </c>
      <c r="C41" s="612" t="s">
        <v>4072</v>
      </c>
      <c r="D41" s="722">
        <f>SUMIF('ПО КОРИСНИЦИМА'!$G$6:$G$13997,"Свега за програмску активност 0601-0008:",'ПО КОРИСНИЦИМА'!$H$6:$H$13997)</f>
        <v>0</v>
      </c>
      <c r="E41" s="723">
        <f t="shared" si="2"/>
        <v>0</v>
      </c>
      <c r="F41" s="724">
        <f>SUMIF('ПО КОРИСНИЦИМА'!$G$6:$G$13997,"Свега за програмску активност 0601-0008:",'ПО КОРИСНИЦИМА'!$I$6:$I$13997)</f>
        <v>0</v>
      </c>
      <c r="G41" s="722">
        <f t="shared" si="0"/>
        <v>0</v>
      </c>
      <c r="H41" s="725"/>
    </row>
    <row r="42" spans="1:8">
      <c r="A42" s="691"/>
      <c r="B42" s="691" t="s">
        <v>4073</v>
      </c>
      <c r="C42" s="612" t="s">
        <v>4074</v>
      </c>
      <c r="D42" s="722">
        <f>SUMIF('ПО КОРИСНИЦИМА'!$G$6:$G$13997,"Свега за програмску активност 0601-0009:",'ПО КОРИСНИЦИМА'!$H$6:$H$13997)</f>
        <v>14000000</v>
      </c>
      <c r="E42" s="723">
        <f t="shared" si="2"/>
        <v>2.9511962779512544E-2</v>
      </c>
      <c r="F42" s="724">
        <f>SUMIF('ПО КОРИСНИЦИМА'!$G$6:$G$13997,"Свега за програмску активност 0601-0009:",'ПО КОРИСНИЦИМА'!$I$6:$I$13997)</f>
        <v>0</v>
      </c>
      <c r="G42" s="722">
        <f t="shared" si="0"/>
        <v>14000000</v>
      </c>
      <c r="H42" s="725"/>
    </row>
    <row r="43" spans="1:8">
      <c r="A43" s="691"/>
      <c r="B43" s="691" t="s">
        <v>4075</v>
      </c>
      <c r="C43" s="612" t="s">
        <v>4076</v>
      </c>
      <c r="D43" s="722">
        <f>SUMIF('ПО КОРИСНИЦИМА'!$G$6:$G$13997,"Свега за програмску активност 0601-0010:",'ПО КОРИСНИЦИМА'!$H$6:$H$13997)</f>
        <v>9100000</v>
      </c>
      <c r="E43" s="723">
        <f t="shared" si="2"/>
        <v>1.9182775806683153E-2</v>
      </c>
      <c r="F43" s="724">
        <f>SUMIF('ПО КОРИСНИЦИМА'!$G$6:$G$13997,"Свега за програмску активност 0601-0010:",'ПО КОРИСНИЦИМА'!$I$6:$I$13997)</f>
        <v>0</v>
      </c>
      <c r="G43" s="722">
        <f t="shared" si="0"/>
        <v>9100000</v>
      </c>
      <c r="H43" s="725"/>
    </row>
    <row r="44" spans="1:8" hidden="1">
      <c r="A44" s="691"/>
      <c r="B44" s="691" t="s">
        <v>4077</v>
      </c>
      <c r="C44" s="612" t="s">
        <v>4078</v>
      </c>
      <c r="D44" s="722">
        <f>SUMIF('ПО КОРИСНИЦИМА'!$G$6:$G$13997,"Свега за програмску активност 0601-0011:",'ПО КОРИСНИЦИМА'!$H$6:$H$13997)</f>
        <v>0</v>
      </c>
      <c r="E44" s="723">
        <f t="shared" si="2"/>
        <v>0</v>
      </c>
      <c r="F44" s="724">
        <f>SUMIF('ПО КОРИСНИЦИМА'!$G$6:$G$13997,"Свега за програмску активност 0601-0011:",'ПО КОРИСНИЦИМА'!$I$6:$I$13997)</f>
        <v>0</v>
      </c>
      <c r="G44" s="722">
        <f t="shared" si="0"/>
        <v>0</v>
      </c>
      <c r="H44" s="725"/>
    </row>
    <row r="45" spans="1:8" hidden="1">
      <c r="A45" s="691"/>
      <c r="B45" s="691" t="s">
        <v>4079</v>
      </c>
      <c r="C45" s="612" t="s">
        <v>4080</v>
      </c>
      <c r="D45" s="722">
        <f>SUMIF('ПО КОРИСНИЦИМА'!$G$6:$G$13997,"Свега за програмску активност 0601-0012:",'ПО КОРИСНИЦИМА'!$H$6:$H$13997)</f>
        <v>0</v>
      </c>
      <c r="E45" s="723">
        <f t="shared" si="2"/>
        <v>0</v>
      </c>
      <c r="F45" s="724">
        <f>SUMIF('ПО КОРИСНИЦИМА'!$G$6:$G$13997,"Свега за програмску активност 0601-0012:",'ПО КОРИСНИЦИМА'!$I$6:$I$13997)</f>
        <v>0</v>
      </c>
      <c r="G45" s="722">
        <f t="shared" si="0"/>
        <v>0</v>
      </c>
      <c r="H45" s="725"/>
    </row>
    <row r="46" spans="1:8" hidden="1">
      <c r="A46" s="691"/>
      <c r="B46" s="691" t="s">
        <v>4081</v>
      </c>
      <c r="C46" s="612" t="s">
        <v>4082</v>
      </c>
      <c r="D46" s="722">
        <f>SUMIF('ПО КОРИСНИЦИМА'!$G$6:$G$13997,"Свега за програмску активност 0601-0013:",'ПО КОРИСНИЦИМА'!$H$6:$H$13997)</f>
        <v>0</v>
      </c>
      <c r="E46" s="723">
        <f t="shared" si="2"/>
        <v>0</v>
      </c>
      <c r="F46" s="724">
        <f>SUMIF('ПО КОРИСНИЦИМА'!$G$6:$G$13997,"Свега за програмску активност 0601-0013:",'ПО КОРИСНИЦИМА'!$I$6:$I$13997)</f>
        <v>0</v>
      </c>
      <c r="G46" s="722">
        <f t="shared" si="0"/>
        <v>0</v>
      </c>
      <c r="H46" s="725"/>
    </row>
    <row r="47" spans="1:8" hidden="1">
      <c r="A47" s="691"/>
      <c r="B47" s="691" t="s">
        <v>4083</v>
      </c>
      <c r="C47" s="612" t="s">
        <v>4084</v>
      </c>
      <c r="D47" s="722">
        <f>SUMIF('ПО КОРИСНИЦИМА'!$G$6:$G$13997,"Свега за програмску активност 0601-0014:",'ПО КОРИСНИЦИМА'!$H$6:$H$13997)</f>
        <v>0</v>
      </c>
      <c r="E47" s="723">
        <f t="shared" si="2"/>
        <v>0</v>
      </c>
      <c r="F47" s="724">
        <f>SUMIF('ПО КОРИСНИЦИМА'!$G$6:$G$13997,"Свега за програмску активност 0601-0014:",'ПО КОРИСНИЦИМА'!$I$6:$I$13997)</f>
        <v>0</v>
      </c>
      <c r="G47" s="722">
        <f t="shared" si="0"/>
        <v>0</v>
      </c>
      <c r="H47" s="725"/>
    </row>
    <row r="48" spans="1:8" hidden="1">
      <c r="A48" s="691"/>
      <c r="B48" s="691" t="s">
        <v>4509</v>
      </c>
      <c r="C48" s="610" t="str">
        <f>IFERROR(VLOOKUP(B48,'ПО КОРИСНИЦИМА'!$C$6:$J$13997,5,FALSE),"")</f>
        <v/>
      </c>
      <c r="D48" s="726">
        <f>SUMIF('ПО КОРИСНИЦИМА'!$G$6:$G$13997,"Свега за пројекат 0601-П1:",'ПО КОРИСНИЦИМА'!$H$6:$H$13997)</f>
        <v>0</v>
      </c>
      <c r="E48" s="723">
        <f t="shared" si="2"/>
        <v>0</v>
      </c>
      <c r="F48" s="727">
        <f>SUMIF('ПО КОРИСНИЦИМА'!$G$6:$G$13997,"Свега за пројекат 0601-П1:",'ПО КОРИСНИЦИМА'!$I$6:$I$13997)</f>
        <v>0</v>
      </c>
      <c r="G48" s="722">
        <f t="shared" si="0"/>
        <v>0</v>
      </c>
      <c r="H48" s="725"/>
    </row>
    <row r="49" spans="1:8" hidden="1">
      <c r="A49" s="691"/>
      <c r="B49" s="691" t="s">
        <v>4510</v>
      </c>
      <c r="C49" s="610" t="str">
        <f>IFERROR(VLOOKUP(B49,'ПО КОРИСНИЦИМА'!$C$6:$J$13997,5,FALSE),"")</f>
        <v/>
      </c>
      <c r="D49" s="726">
        <f>SUMIF('ПО КОРИСНИЦИМА'!$G$6:$G$13997,"Свега за пројекат 0601-П2:",'ПО КОРИСНИЦИМА'!$H$6:$H$13997)</f>
        <v>0</v>
      </c>
      <c r="E49" s="723">
        <f t="shared" si="2"/>
        <v>0</v>
      </c>
      <c r="F49" s="727">
        <f>SUMIF('ПО КОРИСНИЦИМА'!$G$6:$G$13997,"Свега за пројекат 0601-П2:",'ПО КОРИСНИЦИМА'!$I$6:$I$13997)</f>
        <v>0</v>
      </c>
      <c r="G49" s="722">
        <f t="shared" si="0"/>
        <v>0</v>
      </c>
      <c r="H49" s="725"/>
    </row>
    <row r="50" spans="1:8" hidden="1">
      <c r="A50" s="691"/>
      <c r="B50" s="691" t="s">
        <v>4511</v>
      </c>
      <c r="C50" s="610" t="str">
        <f>IFERROR(VLOOKUP(B50,'ПО КОРИСНИЦИМА'!$C$6:$J$13997,5,FALSE),"")</f>
        <v/>
      </c>
      <c r="D50" s="726">
        <f>SUMIF('ПО КОРИСНИЦИМА'!$G$6:$G$13997,"Свега за пројекат 0601-П3:",'ПО КОРИСНИЦИМА'!$H$6:$H$13997)</f>
        <v>0</v>
      </c>
      <c r="E50" s="723">
        <f t="shared" si="2"/>
        <v>0</v>
      </c>
      <c r="F50" s="727">
        <f>SUMIF('ПО КОРИСНИЦИМА'!$G$6:$G$13997,"Свега за пројекат 0601-П3:",'ПО КОРИСНИЦИМА'!$I$6:$I$13997)</f>
        <v>0</v>
      </c>
      <c r="G50" s="722">
        <f t="shared" si="0"/>
        <v>0</v>
      </c>
      <c r="H50" s="725"/>
    </row>
    <row r="51" spans="1:8" hidden="1">
      <c r="A51" s="691"/>
      <c r="B51" s="691" t="s">
        <v>4512</v>
      </c>
      <c r="C51" s="610" t="str">
        <f>IFERROR(VLOOKUP(B51,'ПО КОРИСНИЦИМА'!$C$6:$J$13997,5,FALSE),"")</f>
        <v/>
      </c>
      <c r="D51" s="726">
        <f>SUMIF('ПО КОРИСНИЦИМА'!$G$6:$G$13997,"Свега за пројекат 0601-П4:",'ПО КОРИСНИЦИМА'!$H$6:$H$13997)</f>
        <v>0</v>
      </c>
      <c r="E51" s="723">
        <f t="shared" si="2"/>
        <v>0</v>
      </c>
      <c r="F51" s="727">
        <f>SUMIF('ПО КОРИСНИЦИМА'!$G$6:$G$13997,"Свега за пројекат 0601-П4:",'ПО КОРИСНИЦИМА'!$I$6:$I$13997)</f>
        <v>0</v>
      </c>
      <c r="G51" s="722">
        <f t="shared" si="0"/>
        <v>0</v>
      </c>
      <c r="H51" s="725"/>
    </row>
    <row r="52" spans="1:8" hidden="1">
      <c r="A52" s="691"/>
      <c r="B52" s="691" t="s">
        <v>4513</v>
      </c>
      <c r="C52" s="610" t="str">
        <f>IFERROR(VLOOKUP(B52,'ПО КОРИСНИЦИМА'!$C$6:$J$13997,5,FALSE),"")</f>
        <v/>
      </c>
      <c r="D52" s="726">
        <f>SUMIF('ПО КОРИСНИЦИМА'!$G$6:$G$13997,"Свега за пројекат 0601-П5:",'ПО КОРИСНИЦИМА'!$H$6:$H$13997)</f>
        <v>0</v>
      </c>
      <c r="E52" s="723">
        <f t="shared" si="2"/>
        <v>0</v>
      </c>
      <c r="F52" s="727">
        <f>SUMIF('ПО КОРИСНИЦИМА'!$G$6:$G$13997,"Свега за пројекат 0601-П5:",'ПО КОРИСНИЦИМА'!$I$6:$I$13997)</f>
        <v>0</v>
      </c>
      <c r="G52" s="722">
        <f t="shared" si="0"/>
        <v>0</v>
      </c>
      <c r="H52" s="728"/>
    </row>
    <row r="53" spans="1:8" hidden="1">
      <c r="A53" s="691"/>
      <c r="B53" s="691" t="s">
        <v>4514</v>
      </c>
      <c r="C53" s="610" t="str">
        <f>IFERROR(VLOOKUP(B53,'ПО КОРИСНИЦИМА'!$C$6:$J$13997,5,FALSE),"")</f>
        <v/>
      </c>
      <c r="D53" s="726">
        <f>SUMIF('ПО КОРИСНИЦИМА'!$G$6:$G$13997,"Свега за пројекат 0601-П6:",'ПО КОРИСНИЦИМА'!$H$6:$H$13997)</f>
        <v>0</v>
      </c>
      <c r="E53" s="723">
        <f t="shared" si="2"/>
        <v>0</v>
      </c>
      <c r="F53" s="727">
        <f>SUMIF('ПО КОРИСНИЦИМА'!$G$6:$G$13997,"Свега за пројекат 0601-П6:",'ПО КОРИСНИЦИМА'!$I$6:$I$13997)</f>
        <v>0</v>
      </c>
      <c r="G53" s="722">
        <f t="shared" si="0"/>
        <v>0</v>
      </c>
      <c r="H53" s="728"/>
    </row>
    <row r="54" spans="1:8" hidden="1">
      <c r="A54" s="691"/>
      <c r="B54" s="691" t="s">
        <v>4515</v>
      </c>
      <c r="C54" s="610" t="str">
        <f>IFERROR(VLOOKUP(B54,'ПО КОРИСНИЦИМА'!$C$6:$J$13997,5,FALSE),"")</f>
        <v/>
      </c>
      <c r="D54" s="726">
        <f>SUMIF('ПО КОРИСНИЦИМА'!$G$6:$G$13997,"Свега за пројекат 0601-П7:",'ПО КОРИСНИЦИМА'!$H$6:$H$13997)</f>
        <v>0</v>
      </c>
      <c r="E54" s="723">
        <f t="shared" si="2"/>
        <v>0</v>
      </c>
      <c r="F54" s="727">
        <f>SUMIF('ПО КОРИСНИЦИМА'!$G$6:$G$13997,"Свега за пројекат 0601-П7:",'ПО КОРИСНИЦИМА'!$I$6:$I$13997)</f>
        <v>0</v>
      </c>
      <c r="G54" s="722">
        <f t="shared" si="0"/>
        <v>0</v>
      </c>
      <c r="H54" s="728"/>
    </row>
    <row r="55" spans="1:8" hidden="1">
      <c r="A55" s="691"/>
      <c r="B55" s="691" t="s">
        <v>4516</v>
      </c>
      <c r="C55" s="610" t="str">
        <f>IFERROR(VLOOKUP(B55,'ПО КОРИСНИЦИМА'!$C$6:$J$13997,5,FALSE),"")</f>
        <v/>
      </c>
      <c r="D55" s="726">
        <f>SUMIF('ПО КОРИСНИЦИМА'!$G$6:$G$13997,"Свега за пројекат 0601-П8:",'ПО КОРИСНИЦИМА'!$H$6:$H$13997)</f>
        <v>0</v>
      </c>
      <c r="E55" s="723">
        <f t="shared" si="2"/>
        <v>0</v>
      </c>
      <c r="F55" s="727">
        <f>SUMIF('ПО КОРИСНИЦИМА'!$G$6:$G$13997,"Свега за пројекат 0601-П8:",'ПО КОРИСНИЦИМА'!$I$6:$I$13997)</f>
        <v>0</v>
      </c>
      <c r="G55" s="722">
        <f t="shared" si="0"/>
        <v>0</v>
      </c>
      <c r="H55" s="728"/>
    </row>
    <row r="56" spans="1:8" hidden="1">
      <c r="A56" s="691"/>
      <c r="B56" s="691" t="s">
        <v>4517</v>
      </c>
      <c r="C56" s="610" t="str">
        <f>IFERROR(VLOOKUP(B56,'ПО КОРИСНИЦИМА'!$C$6:$J$13997,5,FALSE),"")</f>
        <v/>
      </c>
      <c r="D56" s="726">
        <f>SUMIF('ПО КОРИСНИЦИМА'!$G$6:$G$13997,"Свега за пројекат 0601-П9:",'ПО КОРИСНИЦИМА'!$H$6:$H$13997)</f>
        <v>0</v>
      </c>
      <c r="E56" s="723">
        <f t="shared" si="2"/>
        <v>0</v>
      </c>
      <c r="F56" s="727">
        <f>SUMIF('ПО КОРИСНИЦИМА'!$G$6:$G$13997,"Свега за пројекат 0601-П9:",'ПО КОРИСНИЦИМА'!$I$6:$I$13997)</f>
        <v>0</v>
      </c>
      <c r="G56" s="722">
        <f t="shared" si="0"/>
        <v>0</v>
      </c>
      <c r="H56" s="728"/>
    </row>
    <row r="57" spans="1:8" hidden="1">
      <c r="A57" s="691"/>
      <c r="B57" s="691" t="s">
        <v>4518</v>
      </c>
      <c r="C57" s="610" t="str">
        <f>IFERROR(VLOOKUP(B57,'ПО КОРИСНИЦИМА'!$C$6:$J$13997,5,FALSE),"")</f>
        <v/>
      </c>
      <c r="D57" s="726">
        <f>SUMIF('ПО КОРИСНИЦИМА'!$G$6:$G$13997,"Свега за пројекат 0601-П10:",'ПО КОРИСНИЦИМА'!$H$6:$H$13997)</f>
        <v>0</v>
      </c>
      <c r="E57" s="723">
        <f t="shared" si="2"/>
        <v>0</v>
      </c>
      <c r="F57" s="727">
        <f>SUMIF('ПО КОРИСНИЦИМА'!$G$6:$G$13997,"Свега за пројекат 0601-П10:",'ПО КОРИСНИЦИМА'!$I$6:$I$13997)</f>
        <v>0</v>
      </c>
      <c r="G57" s="722">
        <f t="shared" si="0"/>
        <v>0</v>
      </c>
      <c r="H57" s="728"/>
    </row>
    <row r="58" spans="1:8" hidden="1">
      <c r="A58" s="691"/>
      <c r="B58" s="691" t="s">
        <v>4519</v>
      </c>
      <c r="C58" s="610" t="str">
        <f>IFERROR(VLOOKUP(B58,'ПО КОРИСНИЦИМА'!$C$6:$J$13997,5,FALSE),"")</f>
        <v/>
      </c>
      <c r="D58" s="726">
        <f>SUMIF('ПО КОРИСНИЦИМА'!$G$6:$G$13997,"Свега за пројекат 0601-П11:",'ПО КОРИСНИЦИМА'!$H$6:$H$13997)</f>
        <v>0</v>
      </c>
      <c r="E58" s="723">
        <f t="shared" si="2"/>
        <v>0</v>
      </c>
      <c r="F58" s="727">
        <f>SUMIF('ПО КОРИСНИЦИМА'!$G$6:$G$13997,"Свега за пројекат 0601-П11:",'ПО КОРИСНИЦИМА'!$I$6:$I$13997)</f>
        <v>0</v>
      </c>
      <c r="G58" s="722">
        <f t="shared" si="0"/>
        <v>0</v>
      </c>
      <c r="H58" s="728"/>
    </row>
    <row r="59" spans="1:8" hidden="1">
      <c r="A59" s="691"/>
      <c r="B59" s="691" t="s">
        <v>4520</v>
      </c>
      <c r="C59" s="610" t="str">
        <f>IFERROR(VLOOKUP(B59,'ПО КОРИСНИЦИМА'!$C$6:$J$13997,5,FALSE),"")</f>
        <v/>
      </c>
      <c r="D59" s="726">
        <f>SUMIF('ПО КОРИСНИЦИМА'!$G$6:$G$13997,"Свега за пројекат 0601-П12:",'ПО КОРИСНИЦИМА'!$H$6:$H$13997)</f>
        <v>0</v>
      </c>
      <c r="E59" s="723">
        <f t="shared" si="2"/>
        <v>0</v>
      </c>
      <c r="F59" s="727">
        <f>SUMIF('ПО КОРИСНИЦИМА'!$G$6:$G$13997,"Свега за пројекат 0601-П12:",'ПО КОРИСНИЦИМА'!$I$6:$I$13997)</f>
        <v>0</v>
      </c>
      <c r="G59" s="722">
        <f t="shared" si="0"/>
        <v>0</v>
      </c>
      <c r="H59" s="728"/>
    </row>
    <row r="60" spans="1:8" hidden="1">
      <c r="A60" s="691"/>
      <c r="B60" s="691" t="s">
        <v>4521</v>
      </c>
      <c r="C60" s="610" t="str">
        <f>IFERROR(VLOOKUP(B60,'ПО КОРИСНИЦИМА'!$C$6:$J$13997,5,FALSE),"")</f>
        <v/>
      </c>
      <c r="D60" s="726">
        <f>SUMIF('ПО КОРИСНИЦИМА'!$G$6:$G$13997,"Свега за пројекат 0601-П13:",'ПО КОРИСНИЦИМА'!$H$6:$H$13997)</f>
        <v>0</v>
      </c>
      <c r="E60" s="723">
        <f t="shared" si="2"/>
        <v>0</v>
      </c>
      <c r="F60" s="727">
        <f>SUMIF('ПО КОРИСНИЦИМА'!$G$6:$G$13997,"Свега за пројекат 0601-П13:",'ПО КОРИСНИЦИМА'!$I$6:$I$13997)</f>
        <v>0</v>
      </c>
      <c r="G60" s="722">
        <f t="shared" si="0"/>
        <v>0</v>
      </c>
      <c r="H60" s="728"/>
    </row>
    <row r="61" spans="1:8" hidden="1">
      <c r="A61" s="691"/>
      <c r="B61" s="691" t="s">
        <v>4522</v>
      </c>
      <c r="C61" s="610" t="str">
        <f>IFERROR(VLOOKUP(B61,'ПО КОРИСНИЦИМА'!$C$6:$J$13997,5,FALSE),"")</f>
        <v/>
      </c>
      <c r="D61" s="726">
        <f>SUMIF('ПО КОРИСНИЦИМА'!$G$6:$G$13997,"Свега за пројекат 0601-П14:",'ПО КОРИСНИЦИМА'!$H$6:$H$13997)</f>
        <v>0</v>
      </c>
      <c r="E61" s="723">
        <f t="shared" si="2"/>
        <v>0</v>
      </c>
      <c r="F61" s="727">
        <f>SUMIF('ПО КОРИСНИЦИМА'!$G$6:$G$13997,"Свега за пројекат 0601-П14:",'ПО КОРИСНИЦИМА'!$I$6:$I$13997)</f>
        <v>0</v>
      </c>
      <c r="G61" s="722">
        <f t="shared" si="0"/>
        <v>0</v>
      </c>
      <c r="H61" s="728"/>
    </row>
    <row r="62" spans="1:8" hidden="1">
      <c r="A62" s="691"/>
      <c r="B62" s="691" t="s">
        <v>4523</v>
      </c>
      <c r="C62" s="610" t="str">
        <f>IFERROR(VLOOKUP(B62,'ПО КОРИСНИЦИМА'!$C$6:$J$13997,5,FALSE),"")</f>
        <v/>
      </c>
      <c r="D62" s="726">
        <f>SUMIF('ПО КОРИСНИЦИМА'!$G$6:$G$13997,"Свега за пројекат 0601-П15:",'ПО КОРИСНИЦИМА'!$H$6:$H$13997)</f>
        <v>0</v>
      </c>
      <c r="E62" s="723">
        <f t="shared" si="2"/>
        <v>0</v>
      </c>
      <c r="F62" s="727">
        <f>SUMIF('ПО КОРИСНИЦИМА'!$G$6:$G$13997,"Свега за пројекат 0601-П15:",'ПО КОРИСНИЦИМА'!$I$6:$I$13997)</f>
        <v>0</v>
      </c>
      <c r="G62" s="722">
        <f t="shared" si="0"/>
        <v>0</v>
      </c>
      <c r="H62" s="728"/>
    </row>
    <row r="63" spans="1:8" hidden="1">
      <c r="A63" s="691"/>
      <c r="B63" s="691" t="s">
        <v>4524</v>
      </c>
      <c r="C63" s="610" t="str">
        <f>IFERROR(VLOOKUP(B63,'ПО КОРИСНИЦИМА'!$C$6:$J$13997,5,FALSE),"")</f>
        <v/>
      </c>
      <c r="D63" s="726">
        <f>SUMIF('ПО КОРИСНИЦИМА'!$G$6:$G$13997,"Свега за пројекат 0601-П16:",'ПО КОРИСНИЦИМА'!$H$6:$H$13997)</f>
        <v>0</v>
      </c>
      <c r="E63" s="723">
        <f t="shared" si="2"/>
        <v>0</v>
      </c>
      <c r="F63" s="727">
        <f>SUMIF('ПО КОРИСНИЦИМА'!$G$6:$G$13997,"Свега за пројекат 0601-П16:",'ПО КОРИСНИЦИМА'!$I$6:$I$13997)</f>
        <v>0</v>
      </c>
      <c r="G63" s="722">
        <f t="shared" si="0"/>
        <v>0</v>
      </c>
      <c r="H63" s="728"/>
    </row>
    <row r="64" spans="1:8" hidden="1">
      <c r="A64" s="691"/>
      <c r="B64" s="691" t="s">
        <v>4525</v>
      </c>
      <c r="C64" s="610" t="str">
        <f>IFERROR(VLOOKUP(B64,'ПО КОРИСНИЦИМА'!$C$6:$J$13997,5,FALSE),"")</f>
        <v/>
      </c>
      <c r="D64" s="726">
        <f>SUMIF('ПО КОРИСНИЦИМА'!$G$6:$G$13997,"Свега за пројекат 0601-П17:",'ПО КОРИСНИЦИМА'!$H$6:$H$13997)</f>
        <v>0</v>
      </c>
      <c r="E64" s="723">
        <f t="shared" si="2"/>
        <v>0</v>
      </c>
      <c r="F64" s="727">
        <f>SUMIF('ПО КОРИСНИЦИМА'!$G$6:$G$13997,"Свега за пројекат 0601-П17:",'ПО КОРИСНИЦИМА'!$I$6:$I$13997)</f>
        <v>0</v>
      </c>
      <c r="G64" s="722">
        <f t="shared" si="0"/>
        <v>0</v>
      </c>
      <c r="H64" s="728"/>
    </row>
    <row r="65" spans="1:8" hidden="1">
      <c r="A65" s="691"/>
      <c r="B65" s="691" t="s">
        <v>4526</v>
      </c>
      <c r="C65" s="610" t="str">
        <f>IFERROR(VLOOKUP(B65,'ПО КОРИСНИЦИМА'!$C$6:$J$13997,5,FALSE),"")</f>
        <v/>
      </c>
      <c r="D65" s="726">
        <f>SUMIF('ПО КОРИСНИЦИМА'!$G$6:$G$13997,"Свега за пројекат 0601-П18:",'ПО КОРИСНИЦИМА'!$H$6:$H$13997)</f>
        <v>0</v>
      </c>
      <c r="E65" s="723">
        <f t="shared" ref="E65:E96" si="3">IFERROR(D65/$D$599,"-")</f>
        <v>0</v>
      </c>
      <c r="F65" s="727">
        <f>SUMIF('ПО КОРИСНИЦИМА'!$G$6:$G$13997,"Свега за пројекат 0601-П18:",'ПО КОРИСНИЦИМА'!$I$6:$I$13997)</f>
        <v>0</v>
      </c>
      <c r="G65" s="722">
        <f t="shared" si="0"/>
        <v>0</v>
      </c>
      <c r="H65" s="728"/>
    </row>
    <row r="66" spans="1:8" hidden="1">
      <c r="A66" s="691"/>
      <c r="B66" s="691" t="s">
        <v>4527</v>
      </c>
      <c r="C66" s="610" t="str">
        <f>IFERROR(VLOOKUP(B66,'ПО КОРИСНИЦИМА'!$C$6:$J$13997,5,FALSE),"")</f>
        <v/>
      </c>
      <c r="D66" s="726">
        <f>SUMIF('ПО КОРИСНИЦИМА'!$G$6:$G$13997,"Свега за пројекат 0601-П19:",'ПО КОРИСНИЦИМА'!$H$6:$H$13997)</f>
        <v>0</v>
      </c>
      <c r="E66" s="723">
        <f t="shared" si="3"/>
        <v>0</v>
      </c>
      <c r="F66" s="727">
        <f>SUMIF('ПО КОРИСНИЦИМА'!$G$6:$G$13997,"Свега за пројекат 0601-П19:",'ПО КОРИСНИЦИМА'!$I$6:$I$13997)</f>
        <v>0</v>
      </c>
      <c r="G66" s="722">
        <f t="shared" si="0"/>
        <v>0</v>
      </c>
      <c r="H66" s="728"/>
    </row>
    <row r="67" spans="1:8" hidden="1">
      <c r="A67" s="691"/>
      <c r="B67" s="691" t="s">
        <v>4528</v>
      </c>
      <c r="C67" s="610" t="str">
        <f>IFERROR(VLOOKUP(B67,'ПО КОРИСНИЦИМА'!$C$6:$J$13997,5,FALSE),"")</f>
        <v/>
      </c>
      <c r="D67" s="726">
        <f>SUMIF('ПО КОРИСНИЦИМА'!$G$6:$G$13997,"Свега за пројекат 0601-П20:",'ПО КОРИСНИЦИМА'!$H$6:$H$13997)</f>
        <v>0</v>
      </c>
      <c r="E67" s="723">
        <f t="shared" si="3"/>
        <v>0</v>
      </c>
      <c r="F67" s="727">
        <f>SUMIF('ПО КОРИСНИЦИМА'!$G$6:$G$13997,"Свега за пројекат 0601-П20:",'ПО КОРИСНИЦИМА'!$I$6:$I$13997)</f>
        <v>0</v>
      </c>
      <c r="G67" s="722">
        <f t="shared" si="0"/>
        <v>0</v>
      </c>
      <c r="H67" s="728"/>
    </row>
    <row r="68" spans="1:8" hidden="1">
      <c r="A68" s="691"/>
      <c r="B68" s="691" t="s">
        <v>4529</v>
      </c>
      <c r="C68" s="610" t="str">
        <f>IFERROR(VLOOKUP(B68,'ПО КОРИСНИЦИМА'!$C$6:$J$13997,5,FALSE),"")</f>
        <v/>
      </c>
      <c r="D68" s="726">
        <f>SUMIF('ПО КОРИСНИЦИМА'!$G$6:$G$13997,"Свега за пројекат 0601-П21:",'ПО КОРИСНИЦИМА'!$H$6:$H$13997)</f>
        <v>0</v>
      </c>
      <c r="E68" s="723">
        <f t="shared" si="3"/>
        <v>0</v>
      </c>
      <c r="F68" s="727">
        <f>SUMIF('ПО КОРИСНИЦИМА'!$G$6:$G$13997,"Свега за пројекат 0601-П21:",'ПО КОРИСНИЦИМА'!$I$6:$I$13997)</f>
        <v>0</v>
      </c>
      <c r="G68" s="722">
        <f t="shared" si="0"/>
        <v>0</v>
      </c>
      <c r="H68" s="728"/>
    </row>
    <row r="69" spans="1:8" hidden="1">
      <c r="A69" s="691"/>
      <c r="B69" s="691" t="s">
        <v>4530</v>
      </c>
      <c r="C69" s="610" t="str">
        <f>IFERROR(VLOOKUP(B69,'ПО КОРИСНИЦИМА'!$C$6:$J$13997,5,FALSE),"")</f>
        <v/>
      </c>
      <c r="D69" s="726">
        <f>SUMIF('ПО КОРИСНИЦИМА'!$G$6:$G$13997,"Свега за пројекат 0601-П22:",'ПО КОРИСНИЦИМА'!$H$6:$H$13997)</f>
        <v>0</v>
      </c>
      <c r="E69" s="723">
        <f t="shared" si="3"/>
        <v>0</v>
      </c>
      <c r="F69" s="727">
        <f>SUMIF('ПО КОРИСНИЦИМА'!$G$6:$G$13997,"Свега за пројекат 0601-П22:",'ПО КОРИСНИЦИМА'!$I$6:$I$13997)</f>
        <v>0</v>
      </c>
      <c r="G69" s="722">
        <f t="shared" si="0"/>
        <v>0</v>
      </c>
      <c r="H69" s="728"/>
    </row>
    <row r="70" spans="1:8" hidden="1">
      <c r="A70" s="691"/>
      <c r="B70" s="691" t="s">
        <v>4531</v>
      </c>
      <c r="C70" s="610" t="str">
        <f>IFERROR(VLOOKUP(B70,'ПО КОРИСНИЦИМА'!$C$6:$J$13997,5,FALSE),"")</f>
        <v/>
      </c>
      <c r="D70" s="726">
        <f>SUMIF('ПО КОРИСНИЦИМА'!$G$6:$G$13997,"Свега за пројекат 0601-П23:",'ПО КОРИСНИЦИМА'!$H$6:$H$13997)</f>
        <v>0</v>
      </c>
      <c r="E70" s="723">
        <f t="shared" si="3"/>
        <v>0</v>
      </c>
      <c r="F70" s="727">
        <f>SUMIF('ПО КОРИСНИЦИМА'!$G$6:$G$13997,"Свега за пројекат 0601-П23:",'ПО КОРИСНИЦИМА'!$I$6:$I$13997)</f>
        <v>0</v>
      </c>
      <c r="G70" s="722">
        <f t="shared" si="0"/>
        <v>0</v>
      </c>
      <c r="H70" s="728"/>
    </row>
    <row r="71" spans="1:8" hidden="1">
      <c r="A71" s="691"/>
      <c r="B71" s="691" t="s">
        <v>4532</v>
      </c>
      <c r="C71" s="610" t="str">
        <f>IFERROR(VLOOKUP(B71,'ПО КОРИСНИЦИМА'!$C$6:$J$13997,5,FALSE),"")</f>
        <v/>
      </c>
      <c r="D71" s="726">
        <f>SUMIF('ПО КОРИСНИЦИМА'!$G$6:$G$13997,"Свега за пројекат 0601-П24:",'ПО КОРИСНИЦИМА'!$H$6:$H$13997)</f>
        <v>0</v>
      </c>
      <c r="E71" s="723">
        <f t="shared" si="3"/>
        <v>0</v>
      </c>
      <c r="F71" s="727">
        <f>SUMIF('ПО КОРИСНИЦИМА'!$G$6:$G$13997,"Свега за пројекат 0601-П24:",'ПО КОРИСНИЦИМА'!$I$6:$I$13997)</f>
        <v>0</v>
      </c>
      <c r="G71" s="722">
        <f t="shared" si="0"/>
        <v>0</v>
      </c>
      <c r="H71" s="728"/>
    </row>
    <row r="72" spans="1:8" hidden="1">
      <c r="A72" s="691"/>
      <c r="B72" s="691" t="s">
        <v>4533</v>
      </c>
      <c r="C72" s="610" t="str">
        <f>IFERROR(VLOOKUP(B72,'ПО КОРИСНИЦИМА'!$C$6:$J$13997,5,FALSE),"")</f>
        <v/>
      </c>
      <c r="D72" s="726">
        <f>SUMIF('ПО КОРИСНИЦИМА'!$G$6:$G$13997,"Свега за пројекат 0601-П25:",'ПО КОРИСНИЦИМА'!$H$6:$H$13997)</f>
        <v>0</v>
      </c>
      <c r="E72" s="723">
        <f t="shared" si="3"/>
        <v>0</v>
      </c>
      <c r="F72" s="727">
        <f>SUMIF('ПО КОРИСНИЦИМА'!$G$6:$G$13997,"Свега за пројекат 0601-П25:",'ПО КОРИСНИЦИМА'!$I$6:$I$13997)</f>
        <v>0</v>
      </c>
      <c r="G72" s="722">
        <f t="shared" si="0"/>
        <v>0</v>
      </c>
      <c r="H72" s="728"/>
    </row>
    <row r="73" spans="1:8" hidden="1">
      <c r="A73" s="691"/>
      <c r="B73" s="691" t="s">
        <v>4534</v>
      </c>
      <c r="C73" s="610" t="str">
        <f>IFERROR(VLOOKUP(B73,'ПО КОРИСНИЦИМА'!$C$6:$J$13997,5,FALSE),"")</f>
        <v/>
      </c>
      <c r="D73" s="726">
        <f>SUMIF('ПО КОРИСНИЦИМА'!$G$6:$G$13997,"Свега за пројекат 0601-П26:",'ПО КОРИСНИЦИМА'!$H$6:$H$13997)</f>
        <v>0</v>
      </c>
      <c r="E73" s="723">
        <f t="shared" si="3"/>
        <v>0</v>
      </c>
      <c r="F73" s="727">
        <f>SUMIF('ПО КОРИСНИЦИМА'!$G$6:$G$13997,"Свега за пројекат 0601-П26:",'ПО КОРИСНИЦИМА'!$I$6:$I$13997)</f>
        <v>0</v>
      </c>
      <c r="G73" s="722">
        <f t="shared" si="0"/>
        <v>0</v>
      </c>
      <c r="H73" s="728"/>
    </row>
    <row r="74" spans="1:8" hidden="1">
      <c r="A74" s="691"/>
      <c r="B74" s="691" t="s">
        <v>4535</v>
      </c>
      <c r="C74" s="610" t="str">
        <f>IFERROR(VLOOKUP(B74,'ПО КОРИСНИЦИМА'!$C$6:$J$13997,5,FALSE),"")</f>
        <v/>
      </c>
      <c r="D74" s="726">
        <f>SUMIF('ПО КОРИСНИЦИМА'!$G$6:$G$13997,"Свега за пројекат 0601-П27:",'ПО КОРИСНИЦИМА'!$H$6:$H$13997)</f>
        <v>0</v>
      </c>
      <c r="E74" s="723">
        <f t="shared" si="3"/>
        <v>0</v>
      </c>
      <c r="F74" s="727">
        <f>SUMIF('ПО КОРИСНИЦИМА'!$G$6:$G$13997,"Свега за пројекат 0601-П27:",'ПО КОРИСНИЦИМА'!$I$6:$I$13997)</f>
        <v>0</v>
      </c>
      <c r="G74" s="722">
        <f t="shared" si="0"/>
        <v>0</v>
      </c>
      <c r="H74" s="728"/>
    </row>
    <row r="75" spans="1:8" hidden="1">
      <c r="A75" s="691"/>
      <c r="B75" s="691" t="s">
        <v>4536</v>
      </c>
      <c r="C75" s="610" t="str">
        <f>IFERROR(VLOOKUP(B75,'ПО КОРИСНИЦИМА'!$C$6:$J$13997,5,FALSE),"")</f>
        <v/>
      </c>
      <c r="D75" s="726">
        <f>SUMIF('ПО КОРИСНИЦИМА'!$G$6:$G$13997,"Свега за пројекат 0601-П28:",'ПО КОРИСНИЦИМА'!$H$6:$H$13997)</f>
        <v>0</v>
      </c>
      <c r="E75" s="723">
        <f t="shared" si="3"/>
        <v>0</v>
      </c>
      <c r="F75" s="727">
        <f>SUMIF('ПО КОРИСНИЦИМА'!$G$6:$G$13997,"Свега за пројекат 0601-П28:",'ПО КОРИСНИЦИМА'!$I$6:$I$13997)</f>
        <v>0</v>
      </c>
      <c r="G75" s="722">
        <f t="shared" si="0"/>
        <v>0</v>
      </c>
      <c r="H75" s="728"/>
    </row>
    <row r="76" spans="1:8" hidden="1">
      <c r="A76" s="691"/>
      <c r="B76" s="691" t="s">
        <v>4537</v>
      </c>
      <c r="C76" s="610" t="str">
        <f>IFERROR(VLOOKUP(B76,'ПО КОРИСНИЦИМА'!$C$6:$J$13997,5,FALSE),"")</f>
        <v/>
      </c>
      <c r="D76" s="726">
        <f>SUMIF('ПО КОРИСНИЦИМА'!$G$6:$G$13997,"Свега за пројекат 0601-П29:",'ПО КОРИСНИЦИМА'!$H$6:$H$13997)</f>
        <v>0</v>
      </c>
      <c r="E76" s="723">
        <f t="shared" si="3"/>
        <v>0</v>
      </c>
      <c r="F76" s="727">
        <f>SUMIF('ПО КОРИСНИЦИМА'!$G$6:$G$13997,"Свега за пројекат 0601-П29:",'ПО КОРИСНИЦИМА'!$I$6:$I$13997)</f>
        <v>0</v>
      </c>
      <c r="G76" s="722">
        <f t="shared" si="0"/>
        <v>0</v>
      </c>
      <c r="H76" s="728"/>
    </row>
    <row r="77" spans="1:8" hidden="1">
      <c r="A77" s="691"/>
      <c r="B77" s="691" t="s">
        <v>4538</v>
      </c>
      <c r="C77" s="610" t="str">
        <f>IFERROR(VLOOKUP(B77,'ПО КОРИСНИЦИМА'!$C$6:$J$13997,5,FALSE),"")</f>
        <v/>
      </c>
      <c r="D77" s="726">
        <f>SUMIF('ПО КОРИСНИЦИМА'!$G$6:$G$13997,"Свега за пројекат 0601-П30:",'ПО КОРИСНИЦИМА'!$H$6:$H$13997)</f>
        <v>0</v>
      </c>
      <c r="E77" s="723">
        <f t="shared" si="3"/>
        <v>0</v>
      </c>
      <c r="F77" s="727">
        <f>SUMIF('ПО КОРИСНИЦИМА'!$G$6:$G$13997,"Свега за пројекат 0601-П30:",'ПО КОРИСНИЦИМА'!$I$6:$I$13997)</f>
        <v>0</v>
      </c>
      <c r="G77" s="722">
        <f t="shared" si="0"/>
        <v>0</v>
      </c>
      <c r="H77" s="728"/>
    </row>
    <row r="78" spans="1:8" hidden="1">
      <c r="A78" s="691"/>
      <c r="B78" s="691" t="s">
        <v>4539</v>
      </c>
      <c r="C78" s="610" t="str">
        <f>IFERROR(VLOOKUP(B78,'ПО КОРИСНИЦИМА'!$C$6:$J$13997,5,FALSE),"")</f>
        <v/>
      </c>
      <c r="D78" s="726">
        <f>SUMIF('ПО КОРИСНИЦИМА'!$G$6:$G$13997,"Свега за пројекат 0601-П31:",'ПО КОРИСНИЦИМА'!$H$6:$H$13997)</f>
        <v>0</v>
      </c>
      <c r="E78" s="723">
        <f t="shared" si="3"/>
        <v>0</v>
      </c>
      <c r="F78" s="727">
        <f>SUMIF('ПО КОРИСНИЦИМА'!$G$6:$G$13997,"Свега за пројекат 0601-П31:",'ПО КОРИСНИЦИМА'!$I$6:$I$13997)</f>
        <v>0</v>
      </c>
      <c r="G78" s="722">
        <f t="shared" si="0"/>
        <v>0</v>
      </c>
      <c r="H78" s="728"/>
    </row>
    <row r="79" spans="1:8" hidden="1">
      <c r="A79" s="691"/>
      <c r="B79" s="691" t="s">
        <v>4540</v>
      </c>
      <c r="C79" s="610" t="str">
        <f>IFERROR(VLOOKUP(B79,'ПО КОРИСНИЦИМА'!$C$6:$J$13997,5,FALSE),"")</f>
        <v/>
      </c>
      <c r="D79" s="726">
        <f>SUMIF('ПО КОРИСНИЦИМА'!$G$6:$G$13997,"Свега за пројекат 0601-П32:",'ПО КОРИСНИЦИМА'!$H$6:$H$13997)</f>
        <v>0</v>
      </c>
      <c r="E79" s="723">
        <f t="shared" si="3"/>
        <v>0</v>
      </c>
      <c r="F79" s="727">
        <f>SUMIF('ПО КОРИСНИЦИМА'!$G$6:$G$13997,"Свега за пројекат 0601-П32:",'ПО КОРИСНИЦИМА'!$I$6:$I$13997)</f>
        <v>0</v>
      </c>
      <c r="G79" s="722">
        <f t="shared" si="0"/>
        <v>0</v>
      </c>
      <c r="H79" s="728"/>
    </row>
    <row r="80" spans="1:8" hidden="1">
      <c r="A80" s="691"/>
      <c r="B80" s="691" t="s">
        <v>4541</v>
      </c>
      <c r="C80" s="610" t="str">
        <f>IFERROR(VLOOKUP(B80,'ПО КОРИСНИЦИМА'!$C$6:$J$13997,5,FALSE),"")</f>
        <v/>
      </c>
      <c r="D80" s="726">
        <f>SUMIF('ПО КОРИСНИЦИМА'!$G$6:$G$13997,"Свега за пројекат 0601-П33:",'ПО КОРИСНИЦИМА'!$H$6:$H$13997)</f>
        <v>0</v>
      </c>
      <c r="E80" s="723">
        <f t="shared" si="3"/>
        <v>0</v>
      </c>
      <c r="F80" s="727">
        <f>SUMIF('ПО КОРИСНИЦИМА'!$G$6:$G$13997,"Свега за пројекат 0601-П33:",'ПО КОРИСНИЦИМА'!$I$6:$I$13997)</f>
        <v>0</v>
      </c>
      <c r="G80" s="722">
        <f t="shared" si="0"/>
        <v>0</v>
      </c>
      <c r="H80" s="728"/>
    </row>
    <row r="81" spans="1:8" hidden="1">
      <c r="A81" s="691"/>
      <c r="B81" s="691" t="s">
        <v>4542</v>
      </c>
      <c r="C81" s="610" t="str">
        <f>IFERROR(VLOOKUP(B81,'ПО КОРИСНИЦИМА'!$C$6:$J$13997,5,FALSE),"")</f>
        <v/>
      </c>
      <c r="D81" s="726">
        <f>SUMIF('ПО КОРИСНИЦИМА'!$G$6:$G$13997,"Свега за пројекат 0601-П34:",'ПО КОРИСНИЦИМА'!$H$6:$H$13997)</f>
        <v>0</v>
      </c>
      <c r="E81" s="723">
        <f t="shared" si="3"/>
        <v>0</v>
      </c>
      <c r="F81" s="727">
        <f>SUMIF('ПО КОРИСНИЦИМА'!$G$6:$G$13997,"Свега за пројекат 0601-П34:",'ПО КОРИСНИЦИМА'!$I$6:$I$13997)</f>
        <v>0</v>
      </c>
      <c r="G81" s="722">
        <f t="shared" si="0"/>
        <v>0</v>
      </c>
      <c r="H81" s="728"/>
    </row>
    <row r="82" spans="1:8" hidden="1">
      <c r="A82" s="691"/>
      <c r="B82" s="691" t="s">
        <v>4543</v>
      </c>
      <c r="C82" s="610" t="str">
        <f>IFERROR(VLOOKUP(B82,'ПО КОРИСНИЦИМА'!$C$6:$J$13997,5,FALSE),"")</f>
        <v/>
      </c>
      <c r="D82" s="726">
        <f>SUMIF('ПО КОРИСНИЦИМА'!$G$6:$G$13997,"Свега за пројекат 0601-П35:",'ПО КОРИСНИЦИМА'!$H$6:$H$13997)</f>
        <v>0</v>
      </c>
      <c r="E82" s="723">
        <f t="shared" si="3"/>
        <v>0</v>
      </c>
      <c r="F82" s="727">
        <f>SUMIF('ПО КОРИСНИЦИМА'!$G$6:$G$13997,"Свега за пројекат 0601-П35:",'ПО КОРИСНИЦИМА'!$I$6:$I$13997)</f>
        <v>0</v>
      </c>
      <c r="G82" s="722">
        <f t="shared" si="0"/>
        <v>0</v>
      </c>
      <c r="H82" s="728"/>
    </row>
    <row r="83" spans="1:8" hidden="1">
      <c r="A83" s="691"/>
      <c r="B83" s="691" t="s">
        <v>4544</v>
      </c>
      <c r="C83" s="610" t="str">
        <f>IFERROR(VLOOKUP(B83,'ПО КОРИСНИЦИМА'!$C$6:$J$13997,5,FALSE),"")</f>
        <v/>
      </c>
      <c r="D83" s="726">
        <f>SUMIF('ПО КОРИСНИЦИМА'!$G$6:$G$13997,"Свега за пројекат 0601-П36:",'ПО КОРИСНИЦИМА'!$H$6:$H$13997)</f>
        <v>0</v>
      </c>
      <c r="E83" s="723">
        <f t="shared" si="3"/>
        <v>0</v>
      </c>
      <c r="F83" s="727">
        <f>SUMIF('ПО КОРИСНИЦИМА'!$G$6:$G$13997,"Свега за пројекат 0601-П36:",'ПО КОРИСНИЦИМА'!$I$6:$I$13997)</f>
        <v>0</v>
      </c>
      <c r="G83" s="722">
        <f t="shared" si="0"/>
        <v>0</v>
      </c>
      <c r="H83" s="728"/>
    </row>
    <row r="84" spans="1:8" hidden="1">
      <c r="A84" s="691"/>
      <c r="B84" s="691" t="s">
        <v>4545</v>
      </c>
      <c r="C84" s="610" t="str">
        <f>IFERROR(VLOOKUP(B84,'ПО КОРИСНИЦИМА'!$C$6:$J$13997,5,FALSE),"")</f>
        <v/>
      </c>
      <c r="D84" s="726">
        <f>SUMIF('ПО КОРИСНИЦИМА'!$G$6:$G$13997,"Свега за пројекат 0601-П37:",'ПО КОРИСНИЦИМА'!$H$6:$H$13997)</f>
        <v>0</v>
      </c>
      <c r="E84" s="723">
        <f t="shared" si="3"/>
        <v>0</v>
      </c>
      <c r="F84" s="727">
        <f>SUMIF('ПО КОРИСНИЦИМА'!$G$6:$G$13997,"Свега за пројекат 0601-П37:",'ПО КОРИСНИЦИМА'!$I$6:$I$13997)</f>
        <v>0</v>
      </c>
      <c r="G84" s="722">
        <f t="shared" si="0"/>
        <v>0</v>
      </c>
      <c r="H84" s="725"/>
    </row>
    <row r="85" spans="1:8" hidden="1">
      <c r="A85" s="693"/>
      <c r="B85" s="691" t="s">
        <v>4546</v>
      </c>
      <c r="C85" s="610" t="str">
        <f>IFERROR(VLOOKUP(B85,'ПО КОРИСНИЦИМА'!$C$6:$J$13997,5,FALSE),"")</f>
        <v/>
      </c>
      <c r="D85" s="726">
        <f>SUMIF('ПО КОРИСНИЦИМА'!$G$6:$G$13997,"Свега за пројекат 0601-П38:",'ПО КОРИСНИЦИМА'!$H$6:$H$13997)</f>
        <v>0</v>
      </c>
      <c r="E85" s="723">
        <f t="shared" si="3"/>
        <v>0</v>
      </c>
      <c r="F85" s="727">
        <f>SUMIF('ПО КОРИСНИЦИМА'!$G$6:$G$13997,"Свега за пројекат 0601-П38:",'ПО КОРИСНИЦИМА'!$I$6:$I$13997)</f>
        <v>0</v>
      </c>
      <c r="G85" s="722">
        <f t="shared" si="0"/>
        <v>0</v>
      </c>
      <c r="H85" s="734"/>
    </row>
    <row r="86" spans="1:8" hidden="1">
      <c r="A86" s="691"/>
      <c r="B86" s="691" t="s">
        <v>4547</v>
      </c>
      <c r="C86" s="610" t="str">
        <f>IFERROR(VLOOKUP(B86,'ПО КОРИСНИЦИМА'!$C$6:$J$13997,5,FALSE),"")</f>
        <v/>
      </c>
      <c r="D86" s="726">
        <f>SUMIF('ПО КОРИСНИЦИМА'!$G$6:$G$13997,"Свега за пројекат 0601-П39:",'ПО КОРИСНИЦИМА'!$H$6:$H$13997)</f>
        <v>0</v>
      </c>
      <c r="E86" s="723">
        <f t="shared" si="3"/>
        <v>0</v>
      </c>
      <c r="F86" s="727">
        <f>SUMIF('ПО КОРИСНИЦИМА'!$G$6:$G$13997,"Свега за пројекат 0601-П39:",'ПО КОРИСНИЦИМА'!$I$6:$I$13997)</f>
        <v>0</v>
      </c>
      <c r="G86" s="722">
        <f t="shared" si="0"/>
        <v>0</v>
      </c>
      <c r="H86" s="728"/>
    </row>
    <row r="87" spans="1:8" hidden="1">
      <c r="A87" s="691"/>
      <c r="B87" s="691" t="s">
        <v>4548</v>
      </c>
      <c r="C87" s="610" t="str">
        <f>IFERROR(VLOOKUP(B87,'ПО КОРИСНИЦИМА'!$C$6:$J$13997,5,FALSE),"")</f>
        <v/>
      </c>
      <c r="D87" s="726">
        <f>SUMIF('ПО КОРИСНИЦИМА'!$G$6:$G$13997,"Свега за пројекат 0601-П40:",'ПО КОРИСНИЦИМА'!$H$6:$H$13997)</f>
        <v>0</v>
      </c>
      <c r="E87" s="723">
        <f t="shared" si="3"/>
        <v>0</v>
      </c>
      <c r="F87" s="727">
        <f>SUMIF('ПО КОРИСНИЦИМА'!$G$6:$G$13997,"Свега за пројекат 0601-П40:",'ПО КОРИСНИЦИМА'!$I$6:$I$13997)</f>
        <v>0</v>
      </c>
      <c r="G87" s="722">
        <f t="shared" si="0"/>
        <v>0</v>
      </c>
      <c r="H87" s="728"/>
    </row>
    <row r="88" spans="1:8" hidden="1">
      <c r="A88" s="691"/>
      <c r="B88" s="691" t="s">
        <v>4549</v>
      </c>
      <c r="C88" s="610" t="str">
        <f>IFERROR(VLOOKUP(B88,'ПО КОРИСНИЦИМА'!$C$6:$J$13997,5,FALSE),"")</f>
        <v/>
      </c>
      <c r="D88" s="726">
        <f>SUMIF('ПО КОРИСНИЦИМА'!$G$6:$G$13997,"Свега за пројекат 0601-П41:",'ПО КОРИСНИЦИМА'!$H$6:$H$13997)</f>
        <v>0</v>
      </c>
      <c r="E88" s="723">
        <f t="shared" si="3"/>
        <v>0</v>
      </c>
      <c r="F88" s="727">
        <f>SUMIF('ПО КОРИСНИЦИМА'!$G$6:$G$13997,"Свега за пројекат 0601-П41:",'ПО КОРИСНИЦИМА'!$I$6:$I$13997)</f>
        <v>0</v>
      </c>
      <c r="G88" s="722">
        <f t="shared" si="0"/>
        <v>0</v>
      </c>
      <c r="H88" s="728"/>
    </row>
    <row r="89" spans="1:8" hidden="1">
      <c r="A89" s="691"/>
      <c r="B89" s="691" t="s">
        <v>4550</v>
      </c>
      <c r="C89" s="610" t="str">
        <f>IFERROR(VLOOKUP(B89,'ПО КОРИСНИЦИМА'!$C$6:$J$13997,5,FALSE),"")</f>
        <v/>
      </c>
      <c r="D89" s="726">
        <f>SUMIF('ПО КОРИСНИЦИМА'!$G$6:$G$13997,"Свега за пројекат 0601-П42:",'ПО КОРИСНИЦИМА'!$H$6:$H$13997)</f>
        <v>0</v>
      </c>
      <c r="E89" s="723">
        <f t="shared" si="3"/>
        <v>0</v>
      </c>
      <c r="F89" s="727">
        <f>SUMIF('ПО КОРИСНИЦИМА'!$G$6:$G$13997,"Свега за пројекат 0601-П42:",'ПО КОРИСНИЦИМА'!$I$6:$I$13997)</f>
        <v>0</v>
      </c>
      <c r="G89" s="722">
        <f t="shared" si="0"/>
        <v>0</v>
      </c>
      <c r="H89" s="728"/>
    </row>
    <row r="90" spans="1:8" hidden="1">
      <c r="A90" s="691"/>
      <c r="B90" s="691" t="s">
        <v>4551</v>
      </c>
      <c r="C90" s="610" t="str">
        <f>IFERROR(VLOOKUP(B90,'ПО КОРИСНИЦИМА'!$C$6:$J$13997,5,FALSE),"")</f>
        <v/>
      </c>
      <c r="D90" s="726">
        <f>SUMIF('ПО КОРИСНИЦИМА'!$G$6:$G$13997,"Свега за пројекат 0601-П43:",'ПО КОРИСНИЦИМА'!$H$6:$H$13997)</f>
        <v>0</v>
      </c>
      <c r="E90" s="723">
        <f t="shared" si="3"/>
        <v>0</v>
      </c>
      <c r="F90" s="727">
        <f>SUMIF('ПО КОРИСНИЦИМА'!$G$6:$G$13997,"Свега за пројекат 0601-П43:",'ПО КОРИСНИЦИМА'!$I$6:$I$13997)</f>
        <v>0</v>
      </c>
      <c r="G90" s="722">
        <f t="shared" si="0"/>
        <v>0</v>
      </c>
      <c r="H90" s="728"/>
    </row>
    <row r="91" spans="1:8" hidden="1">
      <c r="A91" s="691"/>
      <c r="B91" s="691" t="s">
        <v>4552</v>
      </c>
      <c r="C91" s="610" t="str">
        <f>IFERROR(VLOOKUP(B91,'ПО КОРИСНИЦИМА'!$C$6:$J$13997,5,FALSE),"")</f>
        <v/>
      </c>
      <c r="D91" s="726">
        <f>SUMIF('ПО КОРИСНИЦИМА'!$G$6:$G$13997,"Свега за пројекат 0601-П44:",'ПО КОРИСНИЦИМА'!$H$6:$H$13997)</f>
        <v>0</v>
      </c>
      <c r="E91" s="723">
        <f t="shared" si="3"/>
        <v>0</v>
      </c>
      <c r="F91" s="727">
        <f>SUMIF('ПО КОРИСНИЦИМА'!$G$6:$G$13997,"Свега за пројекат 0601-П44:",'ПО КОРИСНИЦИМА'!$I$6:$I$13997)</f>
        <v>0</v>
      </c>
      <c r="G91" s="722">
        <f t="shared" si="0"/>
        <v>0</v>
      </c>
      <c r="H91" s="728"/>
    </row>
    <row r="92" spans="1:8" hidden="1">
      <c r="A92" s="691"/>
      <c r="B92" s="691" t="s">
        <v>4553</v>
      </c>
      <c r="C92" s="610" t="str">
        <f>IFERROR(VLOOKUP(B92,'ПО КОРИСНИЦИМА'!$C$6:$J$13997,5,FALSE),"")</f>
        <v/>
      </c>
      <c r="D92" s="726">
        <f>SUMIF('ПО КОРИСНИЦИМА'!$G$6:$G$13997,"Свега за пројекат 0601-П45:",'ПО КОРИСНИЦИМА'!$H$6:$H$13997)</f>
        <v>0</v>
      </c>
      <c r="E92" s="723">
        <f t="shared" si="3"/>
        <v>0</v>
      </c>
      <c r="F92" s="727">
        <f>SUMIF('ПО КОРИСНИЦИМА'!$G$6:$G$13997,"Свега за пројекат 0601-П45:",'ПО КОРИСНИЦИМА'!$I$6:$I$13997)</f>
        <v>0</v>
      </c>
      <c r="G92" s="722">
        <f t="shared" si="0"/>
        <v>0</v>
      </c>
      <c r="H92" s="728"/>
    </row>
    <row r="93" spans="1:8" hidden="1">
      <c r="A93" s="691"/>
      <c r="B93" s="691" t="s">
        <v>4554</v>
      </c>
      <c r="C93" s="610" t="str">
        <f>IFERROR(VLOOKUP(B93,'ПО КОРИСНИЦИМА'!$C$6:$J$13997,5,FALSE),"")</f>
        <v/>
      </c>
      <c r="D93" s="726">
        <f>SUMIF('ПО КОРИСНИЦИМА'!$G$6:$G$13997,"Свега за пројекат 0601-П46:",'ПО КОРИСНИЦИМА'!$H$6:$H$13997)</f>
        <v>0</v>
      </c>
      <c r="E93" s="723">
        <f t="shared" si="3"/>
        <v>0</v>
      </c>
      <c r="F93" s="727">
        <f>SUMIF('ПО КОРИСНИЦИМА'!$G$6:$G$13997,"Свега за пројекат 0601-П46:",'ПО КОРИСНИЦИМА'!$I$6:$I$13997)</f>
        <v>0</v>
      </c>
      <c r="G93" s="722">
        <f t="shared" si="0"/>
        <v>0</v>
      </c>
      <c r="H93" s="728"/>
    </row>
    <row r="94" spans="1:8" hidden="1">
      <c r="A94" s="691"/>
      <c r="B94" s="691" t="s">
        <v>4555</v>
      </c>
      <c r="C94" s="610" t="str">
        <f>IFERROR(VLOOKUP(B94,'ПО КОРИСНИЦИМА'!$C$6:$J$13997,5,FALSE),"")</f>
        <v/>
      </c>
      <c r="D94" s="726">
        <f>SUMIF('ПО КОРИСНИЦИМА'!$G$6:$G$13997,"Свега за пројекат 0601-П47:",'ПО КОРИСНИЦИМА'!$H$6:$H$13997)</f>
        <v>0</v>
      </c>
      <c r="E94" s="723">
        <f t="shared" si="3"/>
        <v>0</v>
      </c>
      <c r="F94" s="727">
        <f>SUMIF('ПО КОРИСНИЦИМА'!$G$6:$G$13997,"Свега за пројекат 0601-П47:",'ПО КОРИСНИЦИМА'!$I$6:$I$13997)</f>
        <v>0</v>
      </c>
      <c r="G94" s="722">
        <f t="shared" si="0"/>
        <v>0</v>
      </c>
      <c r="H94" s="728"/>
    </row>
    <row r="95" spans="1:8" hidden="1">
      <c r="A95" s="691"/>
      <c r="B95" s="691" t="s">
        <v>4556</v>
      </c>
      <c r="C95" s="610" t="str">
        <f>IFERROR(VLOOKUP(B95,'ПО КОРИСНИЦИМА'!$C$6:$J$13997,5,FALSE),"")</f>
        <v/>
      </c>
      <c r="D95" s="726">
        <f>SUMIF('ПО КОРИСНИЦИМА'!$G$6:$G$13997,"Свега за пројекат 0601-П48:",'ПО КОРИСНИЦИМА'!$H$6:$H$13997)</f>
        <v>0</v>
      </c>
      <c r="E95" s="723">
        <f t="shared" si="3"/>
        <v>0</v>
      </c>
      <c r="F95" s="727">
        <f>SUMIF('ПО КОРИСНИЦИМА'!$G$6:$G$13997,"Свега за пројекат 0601-П48:",'ПО КОРИСНИЦИМА'!$I$6:$I$13997)</f>
        <v>0</v>
      </c>
      <c r="G95" s="722">
        <f t="shared" si="0"/>
        <v>0</v>
      </c>
      <c r="H95" s="728"/>
    </row>
    <row r="96" spans="1:8" hidden="1">
      <c r="A96" s="691"/>
      <c r="B96" s="691" t="s">
        <v>4557</v>
      </c>
      <c r="C96" s="610" t="str">
        <f>IFERROR(VLOOKUP(B96,'ПО КОРИСНИЦИМА'!$C$6:$J$13997,5,FALSE),"")</f>
        <v/>
      </c>
      <c r="D96" s="726">
        <f>SUMIF('ПО КОРИСНИЦИМА'!$G$6:$G$13997,"Свега за пројекат 0601-П49:",'ПО КОРИСНИЦИМА'!$H$6:$H$13997)</f>
        <v>0</v>
      </c>
      <c r="E96" s="723">
        <f t="shared" si="3"/>
        <v>0</v>
      </c>
      <c r="F96" s="727">
        <f>SUMIF('ПО КОРИСНИЦИМА'!$G$6:$G$13997,"Свега за пројекат 0601-П49:",'ПО КОРИСНИЦИМА'!$I$6:$I$13997)</f>
        <v>0</v>
      </c>
      <c r="G96" s="722">
        <f t="shared" si="0"/>
        <v>0</v>
      </c>
      <c r="H96" s="728"/>
    </row>
    <row r="97" spans="1:8" hidden="1">
      <c r="A97" s="705"/>
      <c r="B97" s="705" t="s">
        <v>4558</v>
      </c>
      <c r="C97" s="706" t="str">
        <f>IFERROR(VLOOKUP(B97,'ПО КОРИСНИЦИМА'!$C$6:$J$13997,5,FALSE),"")</f>
        <v/>
      </c>
      <c r="D97" s="729">
        <f>SUMIF('ПО КОРИСНИЦИМА'!$G$6:$G$13997,"Свега за пројекат 0601-П50:",'ПО КОРИСНИЦИМА'!$H$6:$H$13997)</f>
        <v>0</v>
      </c>
      <c r="E97" s="730">
        <f t="shared" ref="E97:E104" si="4">IFERROR(D97/$D$599,"-")</f>
        <v>0</v>
      </c>
      <c r="F97" s="731">
        <f>SUMIF('ПО КОРИСНИЦИМА'!$G$6:$G$13997,"Свега за пројекат 0601-П50:",'ПО КОРИСНИЦИМА'!$I$6:$I$13997)</f>
        <v>0</v>
      </c>
      <c r="G97" s="732">
        <f t="shared" si="0"/>
        <v>0</v>
      </c>
      <c r="H97" s="733"/>
    </row>
    <row r="98" spans="1:8" hidden="1">
      <c r="A98" s="687" t="s">
        <v>3564</v>
      </c>
      <c r="B98" s="688"/>
      <c r="C98" s="608" t="s">
        <v>3667</v>
      </c>
      <c r="D98" s="714">
        <f>SUM(D99:D127)</f>
        <v>0</v>
      </c>
      <c r="E98" s="715">
        <f t="shared" si="4"/>
        <v>0</v>
      </c>
      <c r="F98" s="716">
        <f>SUM(F99:F127)</f>
        <v>0</v>
      </c>
      <c r="G98" s="714">
        <f t="shared" si="0"/>
        <v>0</v>
      </c>
      <c r="H98" s="717"/>
    </row>
    <row r="99" spans="1:8" hidden="1">
      <c r="A99" s="689"/>
      <c r="B99" s="689" t="s">
        <v>4085</v>
      </c>
      <c r="C99" s="611" t="s">
        <v>4086</v>
      </c>
      <c r="D99" s="718">
        <f>SUMIF('ПО КОРИСНИЦИМА'!$G$6:$G$13997,"Свега за програмску активност 1501-0001:",'ПО КОРИСНИЦИМА'!$H$6:$H$13997)</f>
        <v>0</v>
      </c>
      <c r="E99" s="719">
        <f t="shared" si="4"/>
        <v>0</v>
      </c>
      <c r="F99" s="720">
        <f>SUMIF('ПО КОРИСНИЦИМА'!$G$6:$G$13997,"Свега за програмску активност 1501-0001:",'ПО КОРИСНИЦИМА'!$I$6:$I$13997)</f>
        <v>0</v>
      </c>
      <c r="G99" s="718">
        <f t="shared" si="0"/>
        <v>0</v>
      </c>
      <c r="H99" s="721"/>
    </row>
    <row r="100" spans="1:8" hidden="1">
      <c r="A100" s="691"/>
      <c r="B100" s="691" t="s">
        <v>4087</v>
      </c>
      <c r="C100" s="612" t="s">
        <v>4088</v>
      </c>
      <c r="D100" s="722">
        <f>SUMIF('ПО КОРИСНИЦИМА'!$G$6:$G$13997,"Свега за програмску активност 1501-0002:",'ПО КОРИСНИЦИМА'!$H$6:$H$13997)</f>
        <v>0</v>
      </c>
      <c r="E100" s="723">
        <f t="shared" si="4"/>
        <v>0</v>
      </c>
      <c r="F100" s="724">
        <f>SUMIF('ПО КОРИСНИЦИМА'!$G$6:$G$13997,"Свега за програмску активност 1501-0002:",'ПО КОРИСНИЦИМА'!$I$6:$I$13997)</f>
        <v>0</v>
      </c>
      <c r="G100" s="722">
        <f t="shared" si="0"/>
        <v>0</v>
      </c>
      <c r="H100" s="725"/>
    </row>
    <row r="101" spans="1:8" hidden="1">
      <c r="A101" s="691"/>
      <c r="B101" s="691" t="s">
        <v>4089</v>
      </c>
      <c r="C101" s="612" t="s">
        <v>4090</v>
      </c>
      <c r="D101" s="722">
        <f>SUMIF('ПО КОРИСНИЦИМА'!$G$6:$G$13997,"Свега за програмску активност 1501-0003:",'ПО КОРИСНИЦИМА'!$H$6:$H$13997)</f>
        <v>0</v>
      </c>
      <c r="E101" s="723">
        <f t="shared" si="4"/>
        <v>0</v>
      </c>
      <c r="F101" s="724">
        <f>SUMIF('ПО КОРИСНИЦИМА'!$G$6:$G$13997,"Свега за програмску активност 1501-0003:",'ПО КОРИСНИЦИМА'!$I$6:$I$13997)</f>
        <v>0</v>
      </c>
      <c r="G101" s="722">
        <f t="shared" si="0"/>
        <v>0</v>
      </c>
      <c r="H101" s="725"/>
    </row>
    <row r="102" spans="1:8" hidden="1">
      <c r="A102" s="691"/>
      <c r="B102" s="691" t="s">
        <v>4091</v>
      </c>
      <c r="C102" s="612" t="s">
        <v>4092</v>
      </c>
      <c r="D102" s="722">
        <f>SUMIF('ПО КОРИСНИЦИМА'!$G$6:$G$13997,"Свега за програмску активност 1501-0004:",'ПО КОРИСНИЦИМА'!$H$6:$H$13997)</f>
        <v>0</v>
      </c>
      <c r="E102" s="723">
        <f t="shared" si="4"/>
        <v>0</v>
      </c>
      <c r="F102" s="724">
        <f>SUMIF('ПО КОРИСНИЦИМА'!$G$6:$G$13997,"Свега за програмску активност 1501-0004:",'ПО КОРИСНИЦИМА'!$I$6:$I$13997)</f>
        <v>0</v>
      </c>
      <c r="G102" s="722">
        <f t="shared" si="0"/>
        <v>0</v>
      </c>
      <c r="H102" s="725"/>
    </row>
    <row r="103" spans="1:8" hidden="1">
      <c r="A103" s="691"/>
      <c r="B103" s="691" t="s">
        <v>4093</v>
      </c>
      <c r="C103" s="612" t="s">
        <v>4094</v>
      </c>
      <c r="D103" s="722">
        <f>SUMIF('ПО КОРИСНИЦИМА'!$G$6:$G$13997,"Свега за програмску активност 1501-0005:",'ПО КОРИСНИЦИМА'!$H$6:$H$13997)</f>
        <v>0</v>
      </c>
      <c r="E103" s="723">
        <f t="shared" si="4"/>
        <v>0</v>
      </c>
      <c r="F103" s="724">
        <f>SUMIF('ПО КОРИСНИЦИМА'!$G$6:$G$13997,"Свега за програмску активност 1501-0005:",'ПО КОРИСНИЦИМА'!$I$6:$I$13997)</f>
        <v>0</v>
      </c>
      <c r="G103" s="722">
        <f t="shared" si="0"/>
        <v>0</v>
      </c>
      <c r="H103" s="725"/>
    </row>
    <row r="104" spans="1:8" hidden="1">
      <c r="A104" s="691"/>
      <c r="B104" s="691" t="s">
        <v>4559</v>
      </c>
      <c r="C104" s="610" t="str">
        <f>IFERROR(VLOOKUP(B104,'ПО КОРИСНИЦИМА'!$C$6:$J$13997,5,FALSE),"")</f>
        <v/>
      </c>
      <c r="D104" s="726">
        <f>SUMIF('ПО КОРИСНИЦИМА'!$G$6:$G$13997,"Свега за пројекат 1501-П1:",'ПО КОРИСНИЦИМА'!$H$6:$H$13997)</f>
        <v>0</v>
      </c>
      <c r="E104" s="723">
        <f t="shared" si="4"/>
        <v>0</v>
      </c>
      <c r="F104" s="727">
        <f>SUMIF('ПО КОРИСНИЦИМА'!$G$6:$G$13997,"Свега за пројекат 1501-П1:",'ПО КОРИСНИЦИМА'!$I$6:$I$13997)</f>
        <v>0</v>
      </c>
      <c r="G104" s="722">
        <f t="shared" ref="G104:G127" si="5">D104+F104</f>
        <v>0</v>
      </c>
      <c r="H104" s="725"/>
    </row>
    <row r="105" spans="1:8" hidden="1">
      <c r="A105" s="691"/>
      <c r="B105" s="691" t="s">
        <v>4560</v>
      </c>
      <c r="C105" s="610" t="str">
        <f>IFERROR(VLOOKUP(B105,'ПО КОРИСНИЦИМА'!$C$6:$J$13997,5,FALSE),"")</f>
        <v/>
      </c>
      <c r="D105" s="726">
        <f>SUMIF('ПО КОРИСНИЦИМА'!$G$6:$G$13997,"Свега за пројекат 1501-П2:",'ПО КОРИСНИЦИМА'!$H$6:$H$13997)</f>
        <v>0</v>
      </c>
      <c r="E105" s="723">
        <f t="shared" ref="E105:E127" si="6">IFERROR(D105/$D$599,"-")</f>
        <v>0</v>
      </c>
      <c r="F105" s="727">
        <f>SUMIF('ПО КОРИСНИЦИМА'!$G$6:$G$13997,"Свега за пројекат 1501-П2:",'ПО КОРИСНИЦИМА'!$I$6:$I$13997)</f>
        <v>0</v>
      </c>
      <c r="G105" s="722">
        <f t="shared" si="5"/>
        <v>0</v>
      </c>
      <c r="H105" s="728"/>
    </row>
    <row r="106" spans="1:8" hidden="1">
      <c r="A106" s="691"/>
      <c r="B106" s="691" t="s">
        <v>4561</v>
      </c>
      <c r="C106" s="610" t="str">
        <f>IFERROR(VLOOKUP(B106,'ПО КОРИСНИЦИМА'!$C$6:$J$13997,5,FALSE),"")</f>
        <v/>
      </c>
      <c r="D106" s="726">
        <f>SUMIF('ПО КОРИСНИЦИМА'!$G$6:$G$13997,"Свега за пројекат 1501-П3:",'ПО КОРИСНИЦИМА'!$H$6:$H$13997)</f>
        <v>0</v>
      </c>
      <c r="E106" s="723">
        <f t="shared" si="6"/>
        <v>0</v>
      </c>
      <c r="F106" s="727">
        <f>SUMIF('ПО КОРИСНИЦИМА'!$G$6:$G$13997,"Свега за пројекат 1501-П3:",'ПО КОРИСНИЦИМА'!$I$6:$I$13997)</f>
        <v>0</v>
      </c>
      <c r="G106" s="722">
        <f t="shared" si="5"/>
        <v>0</v>
      </c>
      <c r="H106" s="728"/>
    </row>
    <row r="107" spans="1:8" hidden="1">
      <c r="A107" s="691"/>
      <c r="B107" s="691" t="s">
        <v>4562</v>
      </c>
      <c r="C107" s="612"/>
      <c r="D107" s="726">
        <f>SUMIF('ПО КОРИСНИЦИМА'!$G$6:$G$13997,"Свега за пројекат 1501-П4:",'ПО КОРИСНИЦИМА'!$H$6:$H$13997)</f>
        <v>0</v>
      </c>
      <c r="E107" s="723">
        <f t="shared" si="6"/>
        <v>0</v>
      </c>
      <c r="F107" s="727">
        <f>SUMIF('ПО КОРИСНИЦИМА'!$G$6:$G$13997,"Свега за пројекат 1501-П4:",'ПО КОРИСНИЦИМА'!$I$6:$I$13997)</f>
        <v>0</v>
      </c>
      <c r="G107" s="722">
        <f t="shared" si="5"/>
        <v>0</v>
      </c>
      <c r="H107" s="728"/>
    </row>
    <row r="108" spans="1:8" hidden="1">
      <c r="A108" s="691"/>
      <c r="B108" s="691" t="s">
        <v>4563</v>
      </c>
      <c r="C108" s="612"/>
      <c r="D108" s="726">
        <f>SUMIF('ПО КОРИСНИЦИМА'!$G$6:$G$13997,"Свега за пројекат 1501-П5:",'ПО КОРИСНИЦИМА'!$H$6:$H$13997)</f>
        <v>0</v>
      </c>
      <c r="E108" s="723">
        <f t="shared" si="6"/>
        <v>0</v>
      </c>
      <c r="F108" s="727">
        <f>SUMIF('ПО КОРИСНИЦИМА'!$G$6:$G$13997,"Свега за пројекат 1501-П5:",'ПО КОРИСНИЦИМА'!$I$6:$I$13997)</f>
        <v>0</v>
      </c>
      <c r="G108" s="722">
        <f t="shared" si="5"/>
        <v>0</v>
      </c>
      <c r="H108" s="728"/>
    </row>
    <row r="109" spans="1:8" hidden="1">
      <c r="A109" s="691"/>
      <c r="B109" s="691" t="s">
        <v>4564</v>
      </c>
      <c r="C109" s="612"/>
      <c r="D109" s="726">
        <f>SUMIF('ПО КОРИСНИЦИМА'!$G$6:$G$13997,"Свега за пројекат 1501-П6:",'ПО КОРИСНИЦИМА'!$H$6:$H$13997)</f>
        <v>0</v>
      </c>
      <c r="E109" s="723">
        <f t="shared" si="6"/>
        <v>0</v>
      </c>
      <c r="F109" s="727">
        <f>SUMIF('ПО КОРИСНИЦИМА'!$G$6:$G$13997,"Свега за пројекат 1501-П6:",'ПО КОРИСНИЦИМА'!$I$6:$I$13997)</f>
        <v>0</v>
      </c>
      <c r="G109" s="722">
        <f t="shared" si="5"/>
        <v>0</v>
      </c>
      <c r="H109" s="728"/>
    </row>
    <row r="110" spans="1:8" hidden="1">
      <c r="A110" s="691"/>
      <c r="B110" s="691" t="s">
        <v>4565</v>
      </c>
      <c r="C110" s="612"/>
      <c r="D110" s="726">
        <f>SUMIF('ПО КОРИСНИЦИМА'!$G$6:$G$13997,"Свега за пројекат 1501-П7:",'ПО КОРИСНИЦИМА'!$H$6:$H$13997)</f>
        <v>0</v>
      </c>
      <c r="E110" s="723">
        <f t="shared" si="6"/>
        <v>0</v>
      </c>
      <c r="F110" s="727">
        <f>SUMIF('ПО КОРИСНИЦИМА'!$G$6:$G$13997,"Свега за пројекат 1501-П7:",'ПО КОРИСНИЦИМА'!$I$6:$I$13997)</f>
        <v>0</v>
      </c>
      <c r="G110" s="722">
        <f t="shared" si="5"/>
        <v>0</v>
      </c>
      <c r="H110" s="728"/>
    </row>
    <row r="111" spans="1:8" hidden="1">
      <c r="A111" s="691"/>
      <c r="B111" s="691" t="s">
        <v>4566</v>
      </c>
      <c r="C111" s="612"/>
      <c r="D111" s="726">
        <f>SUMIF('ПО КОРИСНИЦИМА'!$G$6:$G$13997,"Свега за пројекат 1501-П8:",'ПО КОРИСНИЦИМА'!$H$6:$H$13997)</f>
        <v>0</v>
      </c>
      <c r="E111" s="723">
        <f t="shared" si="6"/>
        <v>0</v>
      </c>
      <c r="F111" s="727">
        <f>SUMIF('ПО КОРИСНИЦИМА'!$G$6:$G$13997,"Свега за пројекат 1501-П8:",'ПО КОРИСНИЦИМА'!$I$6:$I$13997)</f>
        <v>0</v>
      </c>
      <c r="G111" s="722">
        <f t="shared" si="5"/>
        <v>0</v>
      </c>
      <c r="H111" s="728"/>
    </row>
    <row r="112" spans="1:8" hidden="1">
      <c r="A112" s="691"/>
      <c r="B112" s="691" t="s">
        <v>4567</v>
      </c>
      <c r="C112" s="612"/>
      <c r="D112" s="726">
        <f>SUMIF('ПО КОРИСНИЦИМА'!$G$6:$G$13997,"Свега за пројекат 1501-П9:",'ПО КОРИСНИЦИМА'!$H$6:$H$13997)</f>
        <v>0</v>
      </c>
      <c r="E112" s="723">
        <f t="shared" si="6"/>
        <v>0</v>
      </c>
      <c r="F112" s="727">
        <f>SUMIF('ПО КОРИСНИЦИМА'!$G$6:$G$13997,"Свега за пројекат 1501-П9:",'ПО КОРИСНИЦИМА'!$I$6:$I$13997)</f>
        <v>0</v>
      </c>
      <c r="G112" s="722">
        <f t="shared" si="5"/>
        <v>0</v>
      </c>
      <c r="H112" s="728"/>
    </row>
    <row r="113" spans="1:8" hidden="1">
      <c r="A113" s="691"/>
      <c r="B113" s="691" t="s">
        <v>4568</v>
      </c>
      <c r="C113" s="612"/>
      <c r="D113" s="726">
        <f>SUMIF('ПО КОРИСНИЦИМА'!$G$6:$G$13997,"Свега за пројекат 1501-П10:",'ПО КОРИСНИЦИМА'!$H$6:$H$13997)</f>
        <v>0</v>
      </c>
      <c r="E113" s="723">
        <f t="shared" si="6"/>
        <v>0</v>
      </c>
      <c r="F113" s="727">
        <f>SUMIF('ПО КОРИСНИЦИМА'!$G$6:$G$13997,"Свега за пројекат 1501-П10:",'ПО КОРИСНИЦИМА'!$I$6:$I$13997)</f>
        <v>0</v>
      </c>
      <c r="G113" s="722">
        <f t="shared" si="5"/>
        <v>0</v>
      </c>
      <c r="H113" s="728"/>
    </row>
    <row r="114" spans="1:8" hidden="1">
      <c r="A114" s="691"/>
      <c r="B114" s="691" t="s">
        <v>4569</v>
      </c>
      <c r="C114" s="612"/>
      <c r="D114" s="726">
        <f>SUMIF('ПО КОРИСНИЦИМА'!$G$6:$G$13997,"Свега за пројекат 1501-П11:",'ПО КОРИСНИЦИМА'!$H$6:$H$13997)</f>
        <v>0</v>
      </c>
      <c r="E114" s="723">
        <f t="shared" si="6"/>
        <v>0</v>
      </c>
      <c r="F114" s="727">
        <f>SUMIF('ПО КОРИСНИЦИМА'!$G$6:$G$13997,"Свега за пројекат 1501-П11:",'ПО КОРИСНИЦИМА'!$I$6:$I$13997)</f>
        <v>0</v>
      </c>
      <c r="G114" s="722">
        <f t="shared" si="5"/>
        <v>0</v>
      </c>
      <c r="H114" s="728"/>
    </row>
    <row r="115" spans="1:8" hidden="1">
      <c r="A115" s="691"/>
      <c r="B115" s="691" t="s">
        <v>4570</v>
      </c>
      <c r="C115" s="612"/>
      <c r="D115" s="726">
        <f>SUMIF('ПО КОРИСНИЦИМА'!$G$6:$G$13997,"Свега за пројекат 1501-П12:",'ПО КОРИСНИЦИМА'!$H$6:$H$13997)</f>
        <v>0</v>
      </c>
      <c r="E115" s="723">
        <f t="shared" si="6"/>
        <v>0</v>
      </c>
      <c r="F115" s="727">
        <f>SUMIF('ПО КОРИСНИЦИМА'!$G$6:$G$13997,"Свега за пројекат 1501-П12:",'ПО КОРИСНИЦИМА'!$I$6:$I$13997)</f>
        <v>0</v>
      </c>
      <c r="G115" s="722">
        <f t="shared" si="5"/>
        <v>0</v>
      </c>
      <c r="H115" s="728"/>
    </row>
    <row r="116" spans="1:8" hidden="1">
      <c r="A116" s="691"/>
      <c r="B116" s="691" t="s">
        <v>4571</v>
      </c>
      <c r="C116" s="612"/>
      <c r="D116" s="726">
        <f>SUMIF('ПО КОРИСНИЦИМА'!$G$6:$G$13997,"Свега за пројекат 1501-П13:",'ПО КОРИСНИЦИМА'!$H$6:$H$13997)</f>
        <v>0</v>
      </c>
      <c r="E116" s="723">
        <f t="shared" si="6"/>
        <v>0</v>
      </c>
      <c r="F116" s="727">
        <f>SUMIF('ПО КОРИСНИЦИМА'!$G$6:$G$13997,"Свега за пројекат 1501-П13:",'ПО КОРИСНИЦИМА'!$I$6:$I$13997)</f>
        <v>0</v>
      </c>
      <c r="G116" s="722">
        <f t="shared" si="5"/>
        <v>0</v>
      </c>
      <c r="H116" s="728"/>
    </row>
    <row r="117" spans="1:8" hidden="1">
      <c r="A117" s="691"/>
      <c r="B117" s="691" t="s">
        <v>4572</v>
      </c>
      <c r="C117" s="612"/>
      <c r="D117" s="726">
        <f>SUMIF('ПО КОРИСНИЦИМА'!$G$6:$G$13997,"Свега за пројекат 1501-П14:",'ПО КОРИСНИЦИМА'!$H$6:$H$13997)</f>
        <v>0</v>
      </c>
      <c r="E117" s="723">
        <f t="shared" si="6"/>
        <v>0</v>
      </c>
      <c r="F117" s="727">
        <f>SUMIF('ПО КОРИСНИЦИМА'!$G$6:$G$13997,"Свега за пројекат 1501-П14:",'ПО КОРИСНИЦИМА'!$I$6:$I$13997)</f>
        <v>0</v>
      </c>
      <c r="G117" s="722">
        <f t="shared" si="5"/>
        <v>0</v>
      </c>
      <c r="H117" s="728"/>
    </row>
    <row r="118" spans="1:8" hidden="1">
      <c r="A118" s="691"/>
      <c r="B118" s="691" t="s">
        <v>4573</v>
      </c>
      <c r="C118" s="612"/>
      <c r="D118" s="726">
        <f>SUMIF('ПО КОРИСНИЦИМА'!$G$6:$G$13997,"Свега за пројекат 1501-П15:",'ПО КОРИСНИЦИМА'!$H$6:$H$13997)</f>
        <v>0</v>
      </c>
      <c r="E118" s="723">
        <f t="shared" si="6"/>
        <v>0</v>
      </c>
      <c r="F118" s="727">
        <f>SUMIF('ПО КОРИСНИЦИМА'!$G$6:$G$13997,"Свега за пројекат 1501-П15:",'ПО КОРИСНИЦИМА'!$I$6:$I$13997)</f>
        <v>0</v>
      </c>
      <c r="G118" s="722">
        <f t="shared" si="5"/>
        <v>0</v>
      </c>
      <c r="H118" s="728"/>
    </row>
    <row r="119" spans="1:8" hidden="1">
      <c r="A119" s="691"/>
      <c r="B119" s="691" t="s">
        <v>4574</v>
      </c>
      <c r="C119" s="612"/>
      <c r="D119" s="726">
        <f>SUMIF('ПО КОРИСНИЦИМА'!$G$6:$G$13997,"Свега за пројекат 1501-П16:",'ПО КОРИСНИЦИМА'!$H$6:$H$13997)</f>
        <v>0</v>
      </c>
      <c r="E119" s="723">
        <f t="shared" si="6"/>
        <v>0</v>
      </c>
      <c r="F119" s="727">
        <f>SUMIF('ПО КОРИСНИЦИМА'!$G$6:$G$13997,"Свега за пројекат 1501-П16:",'ПО КОРИСНИЦИМА'!$I$6:$I$13997)</f>
        <v>0</v>
      </c>
      <c r="G119" s="722">
        <f t="shared" si="5"/>
        <v>0</v>
      </c>
      <c r="H119" s="728"/>
    </row>
    <row r="120" spans="1:8" hidden="1">
      <c r="A120" s="691"/>
      <c r="B120" s="691" t="s">
        <v>4575</v>
      </c>
      <c r="C120" s="612"/>
      <c r="D120" s="726">
        <f>SUMIF('ПО КОРИСНИЦИМА'!$G$6:$G$13997,"Свега за пројекат 1501-П17:",'ПО КОРИСНИЦИМА'!$H$6:$H$13997)</f>
        <v>0</v>
      </c>
      <c r="E120" s="723">
        <f t="shared" si="6"/>
        <v>0</v>
      </c>
      <c r="F120" s="727">
        <f>SUMIF('ПО КОРИСНИЦИМА'!$G$6:$G$13997,"Свега за пројекат 1501-П17:",'ПО КОРИСНИЦИМА'!$I$6:$I$13997)</f>
        <v>0</v>
      </c>
      <c r="G120" s="722">
        <f t="shared" si="5"/>
        <v>0</v>
      </c>
      <c r="H120" s="728"/>
    </row>
    <row r="121" spans="1:8" hidden="1">
      <c r="A121" s="691"/>
      <c r="B121" s="691" t="s">
        <v>4576</v>
      </c>
      <c r="C121" s="612"/>
      <c r="D121" s="726">
        <f>SUMIF('ПО КОРИСНИЦИМА'!$G$6:$G$13997,"Свега за пројекат 1501-П18:",'ПО КОРИСНИЦИМА'!$H$6:$H$13997)</f>
        <v>0</v>
      </c>
      <c r="E121" s="723">
        <f t="shared" si="6"/>
        <v>0</v>
      </c>
      <c r="F121" s="727">
        <f>SUMIF('ПО КОРИСНИЦИМА'!$G$6:$G$13997,"Свега за пројекат 1501-П18:",'ПО КОРИСНИЦИМА'!$I$6:$I$13997)</f>
        <v>0</v>
      </c>
      <c r="G121" s="722">
        <f t="shared" si="5"/>
        <v>0</v>
      </c>
      <c r="H121" s="728"/>
    </row>
    <row r="122" spans="1:8" hidden="1">
      <c r="A122" s="691"/>
      <c r="B122" s="691" t="s">
        <v>4577</v>
      </c>
      <c r="C122" s="612"/>
      <c r="D122" s="726">
        <f>SUMIF('ПО КОРИСНИЦИМА'!$G$6:$G$13997,"Свега за пројекат 1501-П19:",'ПО КОРИСНИЦИМА'!$H$6:$H$13997)</f>
        <v>0</v>
      </c>
      <c r="E122" s="723">
        <f t="shared" si="6"/>
        <v>0</v>
      </c>
      <c r="F122" s="727">
        <f>SUMIF('ПО КОРИСНИЦИМА'!$G$6:$G$13997,"Свега за пројекат 1501-П19:",'ПО КОРИСНИЦИМА'!$I$6:$I$13997)</f>
        <v>0</v>
      </c>
      <c r="G122" s="722">
        <f t="shared" si="5"/>
        <v>0</v>
      </c>
      <c r="H122" s="725"/>
    </row>
    <row r="123" spans="1:8" hidden="1">
      <c r="A123" s="691"/>
      <c r="B123" s="691" t="s">
        <v>4578</v>
      </c>
      <c r="C123" s="612"/>
      <c r="D123" s="726">
        <f>SUMIF('ПО КОРИСНИЦИМА'!$G$6:$G$13997,"Свега за пројекат 1501-П20:",'ПО КОРИСНИЦИМА'!$H$6:$H$13997)</f>
        <v>0</v>
      </c>
      <c r="E123" s="723">
        <f t="shared" si="6"/>
        <v>0</v>
      </c>
      <c r="F123" s="727">
        <f>SUMIF('ПО КОРИСНИЦИМА'!$G$6:$G$13997,"Свега за пројекат 1501-П20:",'ПО КОРИСНИЦИМА'!$I$6:$I$13997)</f>
        <v>0</v>
      </c>
      <c r="G123" s="722">
        <f t="shared" si="5"/>
        <v>0</v>
      </c>
      <c r="H123" s="725"/>
    </row>
    <row r="124" spans="1:8" hidden="1">
      <c r="A124" s="691"/>
      <c r="B124" s="691" t="s">
        <v>4579</v>
      </c>
      <c r="C124" s="612"/>
      <c r="D124" s="726">
        <f>SUMIF('ПО КОРИСНИЦИМА'!$G$6:$G$13997,"Свега за пројекат 1501-П21:",'ПО КОРИСНИЦИМА'!$H$6:$H$13997)</f>
        <v>0</v>
      </c>
      <c r="E124" s="723">
        <f t="shared" si="6"/>
        <v>0</v>
      </c>
      <c r="F124" s="727">
        <f>SUMIF('ПО КОРИСНИЦИМА'!$G$6:$G$13997,"Свега за пројекат 1501-П21:",'ПО КОРИСНИЦИМА'!$I$6:$I$13997)</f>
        <v>0</v>
      </c>
      <c r="G124" s="722">
        <f t="shared" si="5"/>
        <v>0</v>
      </c>
      <c r="H124" s="725"/>
    </row>
    <row r="125" spans="1:8" hidden="1">
      <c r="A125" s="691"/>
      <c r="B125" s="691" t="s">
        <v>4580</v>
      </c>
      <c r="C125" s="612"/>
      <c r="D125" s="726">
        <f>SUMIF('ПО КОРИСНИЦИМА'!$G$6:$G$13997,"Свега за пројекат 1501-П22:",'ПО КОРИСНИЦИМА'!$H$6:$H$13997)</f>
        <v>0</v>
      </c>
      <c r="E125" s="723">
        <f t="shared" si="6"/>
        <v>0</v>
      </c>
      <c r="F125" s="727">
        <f>SUMIF('ПО КОРИСНИЦИМА'!$G$6:$G$13997,"Свега за пројекат 1501-П22:",'ПО КОРИСНИЦИМА'!$I$6:$I$13997)</f>
        <v>0</v>
      </c>
      <c r="G125" s="722">
        <f t="shared" si="5"/>
        <v>0</v>
      </c>
      <c r="H125" s="725"/>
    </row>
    <row r="126" spans="1:8" hidden="1">
      <c r="A126" s="691"/>
      <c r="B126" s="691" t="s">
        <v>4581</v>
      </c>
      <c r="C126" s="612"/>
      <c r="D126" s="726">
        <f>SUMIF('ПО КОРИСНИЦИМА'!$G$6:$G$13997,"Свега за пројекат 1501-П23:",'ПО КОРИСНИЦИМА'!$H$6:$H$13997)</f>
        <v>0</v>
      </c>
      <c r="E126" s="723">
        <f t="shared" si="6"/>
        <v>0</v>
      </c>
      <c r="F126" s="727">
        <f>SUMIF('ПО КОРИСНИЦИМА'!$G$6:$G$13997,"Свега за пројекат 1501-П23:",'ПО КОРИСНИЦИМА'!$I$6:$I$13997)</f>
        <v>0</v>
      </c>
      <c r="G126" s="722">
        <f t="shared" si="5"/>
        <v>0</v>
      </c>
      <c r="H126" s="725"/>
    </row>
    <row r="127" spans="1:8" hidden="1">
      <c r="A127" s="693"/>
      <c r="B127" s="691" t="s">
        <v>4582</v>
      </c>
      <c r="C127" s="613"/>
      <c r="D127" s="726">
        <f>SUMIF('ПО КОРИСНИЦИМА'!$G$6:$G$13997,"Свега за пројекат 1501-П24:",'ПО КОРИСНИЦИМА'!$H$6:$H$13997)</f>
        <v>0</v>
      </c>
      <c r="E127" s="723">
        <f t="shared" si="6"/>
        <v>0</v>
      </c>
      <c r="F127" s="727">
        <f>SUMIF('ПО КОРИСНИЦИМА'!$G$6:$G$13997,"Свега за пројекат 1501-П24:",'ПО КОРИСНИЦИМА'!$I$6:$I$13997)</f>
        <v>0</v>
      </c>
      <c r="G127" s="722">
        <f t="shared" si="5"/>
        <v>0</v>
      </c>
      <c r="H127" s="734"/>
    </row>
    <row r="128" spans="1:8" s="694" customFormat="1">
      <c r="A128" s="687" t="s">
        <v>3567</v>
      </c>
      <c r="B128" s="688"/>
      <c r="C128" s="608" t="s">
        <v>3668</v>
      </c>
      <c r="D128" s="714">
        <f>SUM(D129:D154)</f>
        <v>11561000</v>
      </c>
      <c r="E128" s="715">
        <f>IFERROR(D128/$D$599,"-")</f>
        <v>2.437055726385318E-2</v>
      </c>
      <c r="F128" s="716">
        <f>SUM(F129:F154)</f>
        <v>1300000</v>
      </c>
      <c r="G128" s="714">
        <f t="shared" si="0"/>
        <v>12861000</v>
      </c>
      <c r="H128" s="735"/>
    </row>
    <row r="129" spans="1:8" ht="12" customHeight="1">
      <c r="A129" s="689"/>
      <c r="B129" s="695" t="s">
        <v>4113</v>
      </c>
      <c r="C129" s="614" t="s">
        <v>4095</v>
      </c>
      <c r="D129" s="718">
        <f>SUMIF('ПО КОРИСНИЦИМА'!$G$6:$G$13997,"Свега за програмску активност 1502-0001:",'ПО КОРИСНИЦИМА'!$H$6:$H$13997)</f>
        <v>3686000</v>
      </c>
      <c r="E129" s="719">
        <f>IFERROR(D129/$D$599,"-")</f>
        <v>7.7700782003773733E-3</v>
      </c>
      <c r="F129" s="720">
        <f>SUMIF('ПО КОРИСНИЦИМА'!$G$6:$G$13997,"Свега за програмску активност 1502-0001:",'ПО КОРИСНИЦИМА'!$I$6:$I$13997)</f>
        <v>1300000</v>
      </c>
      <c r="G129" s="718">
        <f t="shared" si="0"/>
        <v>4986000</v>
      </c>
      <c r="H129" s="721"/>
    </row>
    <row r="130" spans="1:8">
      <c r="A130" s="691"/>
      <c r="B130" s="696" t="s">
        <v>4300</v>
      </c>
      <c r="C130" s="615" t="s">
        <v>4096</v>
      </c>
      <c r="D130" s="722">
        <f>SUMIF('ПО КОРИСНИЦИМА'!$G$6:$G$13997,"Свега за програмску активност 1502-0002:",'ПО КОРИСНИЦИМА'!$H$6:$H$13997)</f>
        <v>950000</v>
      </c>
      <c r="E130" s="723">
        <f>IFERROR(D130/$D$599,"-")</f>
        <v>2.0025974743240653E-3</v>
      </c>
      <c r="F130" s="724">
        <f>SUMIF('ПО КОРИСНИЦИМА'!$G$6:$G$13997,"Свега за програмску активност 1502-0002:",'ПО КОРИСНИЦИМА'!$I$6:$I$13997)</f>
        <v>0</v>
      </c>
      <c r="G130" s="722">
        <f t="shared" si="0"/>
        <v>950000</v>
      </c>
      <c r="H130" s="725"/>
    </row>
    <row r="131" spans="1:8">
      <c r="A131" s="696"/>
      <c r="B131" s="691" t="s">
        <v>4583</v>
      </c>
      <c r="C131" s="610" t="str">
        <f>IFERROR(VLOOKUP(B131,'ПО КОРИСНИЦИМА'!$C$6:$J$13997,5,FALSE),"")</f>
        <v>Дринска регата</v>
      </c>
      <c r="D131" s="726">
        <f>SUMIF('ПО КОРИСНИЦИМА'!$G$6:$G$13997,"Свега за пројекат 1502-П1:",'ПО КОРИСНИЦИМА'!$H$6:$H$13997)</f>
        <v>6325000</v>
      </c>
      <c r="E131" s="723">
        <f>IFERROR(D131/$D$599,"-")</f>
        <v>1.3333083184315487E-2</v>
      </c>
      <c r="F131" s="727">
        <f>SUMIF('ПО КОРИСНИЦИМА'!$G$6:$G$13997,"Свега за пројекат 1502-П1:",'ПО КОРИСНИЦИМА'!$I$6:$I$13997)</f>
        <v>0</v>
      </c>
      <c r="G131" s="722">
        <f t="shared" si="0"/>
        <v>6325000</v>
      </c>
      <c r="H131" s="725"/>
    </row>
    <row r="132" spans="1:8">
      <c r="A132" s="696"/>
      <c r="B132" s="691" t="s">
        <v>4584</v>
      </c>
      <c r="C132" s="610" t="str">
        <f>IFERROR(VLOOKUP(B132,'ПО КОРИСНИЦИМА'!$C$6:$J$13997,5,FALSE),"")</f>
        <v>Гастро фест</v>
      </c>
      <c r="D132" s="726">
        <f>SUMIF('ПО КОРИСНИЦИМА'!$G$6:$G$13997,"Свега за пројекат 1502-П2:",'ПО КОРИСНИЦИМА'!$H$6:$H$13997)</f>
        <v>600000</v>
      </c>
      <c r="E132" s="723">
        <f t="shared" ref="E132:E154" si="7">IFERROR(D132/$D$599,"-")</f>
        <v>1.2647984048362519E-3</v>
      </c>
      <c r="F132" s="727">
        <f>SUMIF('ПО КОРИСНИЦИМА'!$G$6:$G$13997,"Свега за пројекат 1502-П2:",'ПО КОРИСНИЦИМА'!$I$6:$I$13997)</f>
        <v>0</v>
      </c>
      <c r="G132" s="722">
        <f t="shared" si="0"/>
        <v>600000</v>
      </c>
      <c r="H132" s="728"/>
    </row>
    <row r="133" spans="1:8" hidden="1">
      <c r="A133" s="696"/>
      <c r="B133" s="691" t="s">
        <v>4585</v>
      </c>
      <c r="C133" s="610" t="str">
        <f>IFERROR(VLOOKUP(B133,'ПО КОРИСНИЦИМА'!$C$6:$J$13997,5,FALSE),"")</f>
        <v>Етно сајам</v>
      </c>
      <c r="D133" s="726">
        <f>SUMIF('ПО КОРИСНИЦИМА'!$G$6:$G$13997,"Свега за пројекат 1502-П3:",'ПО КОРИСНИЦИМА'!$H$6:$H$13997)</f>
        <v>0</v>
      </c>
      <c r="E133" s="723">
        <f t="shared" si="7"/>
        <v>0</v>
      </c>
      <c r="F133" s="727">
        <f>SUMIF('ПО КОРИСНИЦИМА'!$G$6:$G$13997,"Свега за пројекат 1502-П3:",'ПО КОРИСНИЦИМА'!$I$6:$I$13997)</f>
        <v>0</v>
      </c>
      <c r="G133" s="722">
        <f t="shared" si="0"/>
        <v>0</v>
      </c>
      <c r="H133" s="728"/>
    </row>
    <row r="134" spans="1:8" hidden="1">
      <c r="A134" s="696"/>
      <c r="B134" s="691" t="s">
        <v>4586</v>
      </c>
      <c r="C134" s="610" t="str">
        <f>IFERROR(VLOOKUP(B134,'ПО КОРИСНИЦИМА'!$C$6:$J$13997,5,FALSE),"")</f>
        <v>Меморијал Бакије Бакића</v>
      </c>
      <c r="D134" s="726">
        <f>SUMIF('ПО КОРИСНИЦИМА'!$G$6:$G$13997,"Свега за пројекат 1502-П4:",'ПО КОРИСНИЦИМА'!$H$6:$H$13997)</f>
        <v>0</v>
      </c>
      <c r="E134" s="723">
        <f t="shared" si="7"/>
        <v>0</v>
      </c>
      <c r="F134" s="727">
        <f>SUMIF('ПО КОРИСНИЦИМА'!$G$6:$G$13997,"Свега за пројекат 1502-П4:",'ПО КОРИСНИЦИМА'!$I$6:$I$13997)</f>
        <v>0</v>
      </c>
      <c r="G134" s="722">
        <f t="shared" si="0"/>
        <v>0</v>
      </c>
      <c r="H134" s="728"/>
    </row>
    <row r="135" spans="1:8" hidden="1">
      <c r="A135" s="696"/>
      <c r="B135" s="691" t="s">
        <v>4587</v>
      </c>
      <c r="C135" s="610" t="str">
        <f>IFERROR(VLOOKUP(B135,'ПО КОРИСНИЦИМА'!$C$6:$J$13997,5,FALSE),"")</f>
        <v>Новогодишње украшавање града</v>
      </c>
      <c r="D135" s="726">
        <f>SUMIF('ПО КОРИСНИЦИМА'!$G$6:$G$13997,"Свега за пројекат 1502-П5:",'ПО КОРИСНИЦИМА'!$H$6:$H$13997)</f>
        <v>0</v>
      </c>
      <c r="E135" s="723">
        <f t="shared" si="7"/>
        <v>0</v>
      </c>
      <c r="F135" s="727">
        <f>SUMIF('ПО КОРИСНИЦИМА'!$G$6:$G$13997,"Свега за пројекат 1502-П5:",'ПО КОРИСНИЦИМА'!$I$6:$I$13997)</f>
        <v>0</v>
      </c>
      <c r="G135" s="722">
        <f t="shared" si="0"/>
        <v>0</v>
      </c>
      <c r="H135" s="728"/>
    </row>
    <row r="136" spans="1:8" hidden="1">
      <c r="A136" s="696"/>
      <c r="B136" s="691" t="s">
        <v>4588</v>
      </c>
      <c r="C136" s="610" t="str">
        <f>IFERROR(VLOOKUP(B136,'ПО КОРИСНИЦИМА'!$C$6:$J$13997,5,FALSE),"")</f>
        <v>Постављање Ски лифта "Суво Рудиште"</v>
      </c>
      <c r="D136" s="726">
        <f>SUMIF('ПО КОРИСНИЦИМА'!$G$6:$G$13997,"Свега за пројекат 1502-П6:",'ПО КОРИСНИЦИМА'!$H$6:$H$13997)</f>
        <v>0</v>
      </c>
      <c r="E136" s="723">
        <f t="shared" si="7"/>
        <v>0</v>
      </c>
      <c r="F136" s="727">
        <f>SUMIF('ПО КОРИСНИЦИМА'!$G$6:$G$13997,"Свега за пројекат 1502-П6:",'ПО КОРИСНИЦИМА'!$I$6:$I$13997)</f>
        <v>0</v>
      </c>
      <c r="G136" s="722">
        <f t="shared" si="0"/>
        <v>0</v>
      </c>
      <c r="H136" s="728"/>
    </row>
    <row r="137" spans="1:8" hidden="1">
      <c r="A137" s="696"/>
      <c r="B137" s="691" t="s">
        <v>4589</v>
      </c>
      <c r="C137" s="610" t="str">
        <f>IFERROR(VLOOKUP(B137,'ПО КОРИСНИЦИМА'!$C$6:$J$13997,5,FALSE),"")</f>
        <v/>
      </c>
      <c r="D137" s="726">
        <f>SUMIF('ПО КОРИСНИЦИМА'!$G$6:$G$13997,"Свега за пројекат 1502-П7:",'ПО КОРИСНИЦИМА'!$H$6:$H$13997)</f>
        <v>0</v>
      </c>
      <c r="E137" s="723">
        <f t="shared" si="7"/>
        <v>0</v>
      </c>
      <c r="F137" s="727">
        <f>SUMIF('ПО КОРИСНИЦИМА'!$G$6:$G$13997,"Свега за пројекат 1502-П7:",'ПО КОРИСНИЦИМА'!$I$6:$I$13997)</f>
        <v>0</v>
      </c>
      <c r="G137" s="722">
        <f t="shared" si="0"/>
        <v>0</v>
      </c>
      <c r="H137" s="728"/>
    </row>
    <row r="138" spans="1:8" hidden="1">
      <c r="A138" s="696"/>
      <c r="B138" s="691" t="s">
        <v>4590</v>
      </c>
      <c r="C138" s="610" t="str">
        <f>IFERROR(VLOOKUP(B138,'ПО КОРИСНИЦИМА'!$C$6:$J$13997,5,FALSE),"")</f>
        <v/>
      </c>
      <c r="D138" s="726">
        <f>SUMIF('ПО КОРИСНИЦИМА'!$G$6:$G$13997,"Свега за пројекат 1502-П8:",'ПО КОРИСНИЦИМА'!$H$6:$H$13997)</f>
        <v>0</v>
      </c>
      <c r="E138" s="723">
        <f t="shared" si="7"/>
        <v>0</v>
      </c>
      <c r="F138" s="727">
        <f>SUMIF('ПО КОРИСНИЦИМА'!$G$6:$G$13997,"Свега за пројекат 1502-П8:",'ПО КОРИСНИЦИМА'!$I$6:$I$13997)</f>
        <v>0</v>
      </c>
      <c r="G138" s="722">
        <f t="shared" si="0"/>
        <v>0</v>
      </c>
      <c r="H138" s="728"/>
    </row>
    <row r="139" spans="1:8" hidden="1">
      <c r="A139" s="696"/>
      <c r="B139" s="691" t="s">
        <v>4591</v>
      </c>
      <c r="C139" s="610" t="str">
        <f>IFERROR(VLOOKUP(B139,'ПО КОРИСНИЦИМА'!$C$6:$J$13997,5,FALSE),"")</f>
        <v/>
      </c>
      <c r="D139" s="726">
        <f>SUMIF('ПО КОРИСНИЦИМА'!$G$6:$G$13997,"Свега за пројекат 1502-П9:",'ПО КОРИСНИЦИМА'!$H$6:$H$13997)</f>
        <v>0</v>
      </c>
      <c r="E139" s="723">
        <f t="shared" si="7"/>
        <v>0</v>
      </c>
      <c r="F139" s="727">
        <f>SUMIF('ПО КОРИСНИЦИМА'!$G$6:$G$13997,"Свега за пројекат 1502-П9:",'ПО КОРИСНИЦИМА'!$I$6:$I$13997)</f>
        <v>0</v>
      </c>
      <c r="G139" s="722">
        <f t="shared" si="0"/>
        <v>0</v>
      </c>
      <c r="H139" s="728"/>
    </row>
    <row r="140" spans="1:8" hidden="1">
      <c r="A140" s="696"/>
      <c r="B140" s="691" t="s">
        <v>4592</v>
      </c>
      <c r="C140" s="610" t="str">
        <f>IFERROR(VLOOKUP(B140,'ПО КОРИСНИЦИМА'!$C$6:$J$13997,5,FALSE),"")</f>
        <v/>
      </c>
      <c r="D140" s="726">
        <f>SUMIF('ПО КОРИСНИЦИМА'!$G$6:$G$13997,"Свега за пројекат 1502-П10:",'ПО КОРИСНИЦИМА'!$H$6:$H$13997)</f>
        <v>0</v>
      </c>
      <c r="E140" s="723">
        <f t="shared" si="7"/>
        <v>0</v>
      </c>
      <c r="F140" s="727">
        <f>SUMIF('ПО КОРИСНИЦИМА'!$G$6:$G$13997,"Свега за пројекат 1502-П10:",'ПО КОРИСНИЦИМА'!$I$6:$I$13997)</f>
        <v>0</v>
      </c>
      <c r="G140" s="722">
        <f t="shared" si="0"/>
        <v>0</v>
      </c>
      <c r="H140" s="728"/>
    </row>
    <row r="141" spans="1:8" hidden="1">
      <c r="A141" s="696"/>
      <c r="B141" s="691" t="s">
        <v>4593</v>
      </c>
      <c r="C141" s="610" t="str">
        <f>IFERROR(VLOOKUP(B141,'ПО КОРИСНИЦИМА'!$C$6:$J$13997,5,FALSE),"")</f>
        <v/>
      </c>
      <c r="D141" s="726">
        <f>SUMIF('ПО КОРИСНИЦИМА'!$G$6:$G$13997,"Свега за пројекат 1502-П11:",'ПО КОРИСНИЦИМА'!$H$6:$H$13997)</f>
        <v>0</v>
      </c>
      <c r="E141" s="723">
        <f t="shared" si="7"/>
        <v>0</v>
      </c>
      <c r="F141" s="727">
        <f>SUMIF('ПО КОРИСНИЦИМА'!$G$6:$G$13997,"Свега за пројекат 1502-П11:",'ПО КОРИСНИЦИМА'!$I$6:$I$13997)</f>
        <v>0</v>
      </c>
      <c r="G141" s="722">
        <f t="shared" si="0"/>
        <v>0</v>
      </c>
      <c r="H141" s="728"/>
    </row>
    <row r="142" spans="1:8" hidden="1">
      <c r="A142" s="696"/>
      <c r="B142" s="691" t="s">
        <v>4594</v>
      </c>
      <c r="C142" s="610" t="str">
        <f>IFERROR(VLOOKUP(B142,'ПО КОРИСНИЦИМА'!$C$6:$J$13997,5,FALSE),"")</f>
        <v/>
      </c>
      <c r="D142" s="726">
        <f>SUMIF('ПО КОРИСНИЦИМА'!$G$6:$G$13997,"Свега за пројекат 1502-П12:",'ПО КОРИСНИЦИМА'!$H$6:$H$13997)</f>
        <v>0</v>
      </c>
      <c r="E142" s="723">
        <f t="shared" si="7"/>
        <v>0</v>
      </c>
      <c r="F142" s="727">
        <f>SUMIF('ПО КОРИСНИЦИМА'!$G$6:$G$13997,"Свега за пројекат 1502-П12:",'ПО КОРИСНИЦИМА'!$I$6:$I$13997)</f>
        <v>0</v>
      </c>
      <c r="G142" s="722">
        <f t="shared" si="0"/>
        <v>0</v>
      </c>
      <c r="H142" s="728"/>
    </row>
    <row r="143" spans="1:8" hidden="1">
      <c r="A143" s="696"/>
      <c r="B143" s="691" t="s">
        <v>4595</v>
      </c>
      <c r="C143" s="610" t="str">
        <f>IFERROR(VLOOKUP(B143,'ПО КОРИСНИЦИМА'!$C$6:$J$13997,5,FALSE),"")</f>
        <v/>
      </c>
      <c r="D143" s="726">
        <f>SUMIF('ПО КОРИСНИЦИМА'!$G$6:$G$13997,"Свега за пројекат 1502-П13:",'ПО КОРИСНИЦИМА'!$H$6:$H$13997)</f>
        <v>0</v>
      </c>
      <c r="E143" s="723">
        <f t="shared" si="7"/>
        <v>0</v>
      </c>
      <c r="F143" s="727">
        <f>SUMIF('ПО КОРИСНИЦИМА'!$G$6:$G$13997,"Свега за пројекат 1502-П13:",'ПО КОРИСНИЦИМА'!$I$6:$I$13997)</f>
        <v>0</v>
      </c>
      <c r="G143" s="722">
        <f t="shared" si="0"/>
        <v>0</v>
      </c>
      <c r="H143" s="728"/>
    </row>
    <row r="144" spans="1:8" hidden="1">
      <c r="A144" s="696"/>
      <c r="B144" s="691" t="s">
        <v>4596</v>
      </c>
      <c r="C144" s="610" t="str">
        <f>IFERROR(VLOOKUP(B144,'ПО КОРИСНИЦИМА'!$C$6:$J$13997,5,FALSE),"")</f>
        <v/>
      </c>
      <c r="D144" s="726">
        <f>SUMIF('ПО КОРИСНИЦИМА'!$G$6:$G$13997,"Свега за пројекат 1502-П14:",'ПО КОРИСНИЦИМА'!$H$6:$H$13997)</f>
        <v>0</v>
      </c>
      <c r="E144" s="723">
        <f t="shared" si="7"/>
        <v>0</v>
      </c>
      <c r="F144" s="727">
        <f>SUMIF('ПО КОРИСНИЦИМА'!$G$6:$G$13997,"Свега за пројекат 1502-П14:",'ПО КОРИСНИЦИМА'!$I$6:$I$13997)</f>
        <v>0</v>
      </c>
      <c r="G144" s="722">
        <f t="shared" si="0"/>
        <v>0</v>
      </c>
      <c r="H144" s="728"/>
    </row>
    <row r="145" spans="1:8" hidden="1">
      <c r="A145" s="696"/>
      <c r="B145" s="691" t="s">
        <v>4597</v>
      </c>
      <c r="C145" s="610" t="str">
        <f>IFERROR(VLOOKUP(B145,'ПО КОРИСНИЦИМА'!$C$6:$J$13997,5,FALSE),"")</f>
        <v/>
      </c>
      <c r="D145" s="726">
        <f>SUMIF('ПО КОРИСНИЦИМА'!$G$6:$G$13997,"Свега за пројекат 1502-П15:",'ПО КОРИСНИЦИМА'!$H$6:$H$13997)</f>
        <v>0</v>
      </c>
      <c r="E145" s="723">
        <f t="shared" si="7"/>
        <v>0</v>
      </c>
      <c r="F145" s="727">
        <f>SUMIF('ПО КОРИСНИЦИМА'!$G$6:$G$13997,"Свега за пројекат 1502-П15:",'ПО КОРИСНИЦИМА'!$I$6:$I$13997)</f>
        <v>0</v>
      </c>
      <c r="G145" s="722">
        <f t="shared" si="0"/>
        <v>0</v>
      </c>
      <c r="H145" s="728"/>
    </row>
    <row r="146" spans="1:8" hidden="1">
      <c r="A146" s="696"/>
      <c r="B146" s="691" t="s">
        <v>4598</v>
      </c>
      <c r="C146" s="610" t="str">
        <f>IFERROR(VLOOKUP(B146,'ПО КОРИСНИЦИМА'!$C$6:$J$13997,5,FALSE),"")</f>
        <v/>
      </c>
      <c r="D146" s="726">
        <f>SUMIF('ПО КОРИСНИЦИМА'!$G$6:$G$13997,"Свега за пројекат 1502-П16:",'ПО КОРИСНИЦИМА'!$H$6:$H$13997)</f>
        <v>0</v>
      </c>
      <c r="E146" s="723">
        <f t="shared" si="7"/>
        <v>0</v>
      </c>
      <c r="F146" s="727">
        <f>SUMIF('ПО КОРИСНИЦИМА'!$G$6:$G$13997,"Свега за пројекат 1502-П16:",'ПО КОРИСНИЦИМА'!$I$6:$I$13997)</f>
        <v>0</v>
      </c>
      <c r="G146" s="722">
        <f t="shared" si="0"/>
        <v>0</v>
      </c>
      <c r="H146" s="728"/>
    </row>
    <row r="147" spans="1:8" hidden="1">
      <c r="A147" s="696"/>
      <c r="B147" s="691" t="s">
        <v>4599</v>
      </c>
      <c r="C147" s="610" t="str">
        <f>IFERROR(VLOOKUP(B147,'ПО КОРИСНИЦИМА'!$C$6:$J$13997,5,FALSE),"")</f>
        <v/>
      </c>
      <c r="D147" s="726">
        <f>SUMIF('ПО КОРИСНИЦИМА'!$G$6:$G$13997,"Свега за пројекат 1502-П17:",'ПО КОРИСНИЦИМА'!$H$6:$H$13997)</f>
        <v>0</v>
      </c>
      <c r="E147" s="723">
        <f t="shared" si="7"/>
        <v>0</v>
      </c>
      <c r="F147" s="727">
        <f>SUMIF('ПО КОРИСНИЦИМА'!$G$6:$G$13997,"Свега за пројекат 1502-П17:",'ПО КОРИСНИЦИМА'!$I$6:$I$13997)</f>
        <v>0</v>
      </c>
      <c r="G147" s="722">
        <f t="shared" si="0"/>
        <v>0</v>
      </c>
      <c r="H147" s="728"/>
    </row>
    <row r="148" spans="1:8" hidden="1">
      <c r="A148" s="696"/>
      <c r="B148" s="691" t="s">
        <v>4600</v>
      </c>
      <c r="C148" s="610" t="str">
        <f>IFERROR(VLOOKUP(B148,'ПО КОРИСНИЦИМА'!$C$6:$J$13997,5,FALSE),"")</f>
        <v/>
      </c>
      <c r="D148" s="726">
        <f>SUMIF('ПО КОРИСНИЦИМА'!$G$6:$G$13997,"Свега за пројекат 1502-П18:",'ПО КОРИСНИЦИМА'!$H$6:$H$13997)</f>
        <v>0</v>
      </c>
      <c r="E148" s="723">
        <f t="shared" si="7"/>
        <v>0</v>
      </c>
      <c r="F148" s="727">
        <f>SUMIF('ПО КОРИСНИЦИМА'!$G$6:$G$13997,"Свега за пројекат 1502-П18:",'ПО КОРИСНИЦИМА'!$I$6:$I$13997)</f>
        <v>0</v>
      </c>
      <c r="G148" s="722">
        <f t="shared" si="0"/>
        <v>0</v>
      </c>
      <c r="H148" s="728"/>
    </row>
    <row r="149" spans="1:8" hidden="1">
      <c r="A149" s="696"/>
      <c r="B149" s="691" t="s">
        <v>4601</v>
      </c>
      <c r="C149" s="610" t="str">
        <f>IFERROR(VLOOKUP(B149,'ПО КОРИСНИЦИМА'!$C$6:$J$13997,5,FALSE),"")</f>
        <v/>
      </c>
      <c r="D149" s="726">
        <f>SUMIF('ПО КОРИСНИЦИМА'!$G$6:$G$13997,"Свега за пројекат 1502-П19:",'ПО КОРИСНИЦИМА'!$H$6:$H$13997)</f>
        <v>0</v>
      </c>
      <c r="E149" s="723">
        <f t="shared" si="7"/>
        <v>0</v>
      </c>
      <c r="F149" s="727">
        <f>SUMIF('ПО КОРИСНИЦИМА'!$G$6:$G$13997,"Свега за пројекат 1502-П19:",'ПО КОРИСНИЦИМА'!$I$6:$I$13997)</f>
        <v>0</v>
      </c>
      <c r="G149" s="722">
        <f t="shared" si="0"/>
        <v>0</v>
      </c>
      <c r="H149" s="728"/>
    </row>
    <row r="150" spans="1:8" hidden="1">
      <c r="A150" s="696"/>
      <c r="B150" s="691" t="s">
        <v>4602</v>
      </c>
      <c r="C150" s="610" t="str">
        <f>IFERROR(VLOOKUP(B150,'ПО КОРИСНИЦИМА'!$C$6:$J$13997,5,FALSE),"")</f>
        <v/>
      </c>
      <c r="D150" s="726">
        <f>SUMIF('ПО КОРИСНИЦИМА'!$G$6:$G$13997,"Свега за пројекат 1502-П20:",'ПО КОРИСНИЦИМА'!$H$6:$H$13997)</f>
        <v>0</v>
      </c>
      <c r="E150" s="723">
        <f t="shared" si="7"/>
        <v>0</v>
      </c>
      <c r="F150" s="727">
        <f>SUMIF('ПО КОРИСНИЦИМА'!$G$6:$G$13997,"Свега за пројекат 1502-П20:",'ПО КОРИСНИЦИМА'!$I$6:$I$13997)</f>
        <v>0</v>
      </c>
      <c r="G150" s="722">
        <f t="shared" si="0"/>
        <v>0</v>
      </c>
      <c r="H150" s="728"/>
    </row>
    <row r="151" spans="1:8" hidden="1">
      <c r="A151" s="696"/>
      <c r="B151" s="691" t="s">
        <v>4603</v>
      </c>
      <c r="C151" s="610" t="str">
        <f>IFERROR(VLOOKUP(B151,'ПО КОРИСНИЦИМА'!$C$6:$J$13997,5,FALSE),"")</f>
        <v/>
      </c>
      <c r="D151" s="726">
        <f>SUMIF('ПО КОРИСНИЦИМА'!$G$6:$G$13997,"Свега за пројекат 1502-П21:",'ПО КОРИСНИЦИМА'!$H$6:$H$13997)</f>
        <v>0</v>
      </c>
      <c r="E151" s="723">
        <f t="shared" si="7"/>
        <v>0</v>
      </c>
      <c r="F151" s="727">
        <f>SUMIF('ПО КОРИСНИЦИМА'!$G$6:$G$13997,"Свега за пројекат 1502-П21:",'ПО КОРИСНИЦИМА'!$I$6:$I$13997)</f>
        <v>0</v>
      </c>
      <c r="G151" s="722">
        <f t="shared" si="0"/>
        <v>0</v>
      </c>
      <c r="H151" s="728"/>
    </row>
    <row r="152" spans="1:8" hidden="1">
      <c r="A152" s="696"/>
      <c r="B152" s="691" t="s">
        <v>4604</v>
      </c>
      <c r="C152" s="610" t="str">
        <f>IFERROR(VLOOKUP(B152,'ПО КОРИСНИЦИМА'!$C$6:$J$13997,5,FALSE),"")</f>
        <v/>
      </c>
      <c r="D152" s="726">
        <f>SUMIF('ПО КОРИСНИЦИМА'!$G$6:$G$13997,"Свега за пројекат 1502-П22:",'ПО КОРИСНИЦИМА'!$H$6:$H$13997)</f>
        <v>0</v>
      </c>
      <c r="E152" s="723">
        <f t="shared" si="7"/>
        <v>0</v>
      </c>
      <c r="F152" s="727">
        <f>SUMIF('ПО КОРИСНИЦИМА'!$G$6:$G$13997,"Свега за пројекат 1502-П22:",'ПО КОРИСНИЦИМА'!$I$6:$I$13997)</f>
        <v>0</v>
      </c>
      <c r="G152" s="722">
        <f t="shared" si="0"/>
        <v>0</v>
      </c>
      <c r="H152" s="725"/>
    </row>
    <row r="153" spans="1:8" hidden="1">
      <c r="A153" s="696"/>
      <c r="B153" s="691" t="s">
        <v>4605</v>
      </c>
      <c r="C153" s="610" t="str">
        <f>IFERROR(VLOOKUP(B153,'ПО КОРИСНИЦИМА'!$C$6:$J$13997,5,FALSE),"")</f>
        <v/>
      </c>
      <c r="D153" s="726">
        <f>SUMIF('ПО КОРИСНИЦИМА'!$G$6:$G$13997,"Свега за пројекат 1502-П23:",'ПО КОРИСНИЦИМА'!$H$6:$H$13997)</f>
        <v>0</v>
      </c>
      <c r="E153" s="723">
        <f t="shared" si="7"/>
        <v>0</v>
      </c>
      <c r="F153" s="727">
        <f>SUMIF('ПО КОРИСНИЦИМА'!$G$6:$G$13997,"Свега за пројекат 1502-П23:",'ПО КОРИСНИЦИМА'!$I$6:$I$13997)</f>
        <v>0</v>
      </c>
      <c r="G153" s="722">
        <f t="shared" si="0"/>
        <v>0</v>
      </c>
      <c r="H153" s="725"/>
    </row>
    <row r="154" spans="1:8" hidden="1">
      <c r="A154" s="697"/>
      <c r="B154" s="691" t="s">
        <v>4606</v>
      </c>
      <c r="C154" s="610" t="str">
        <f>IFERROR(VLOOKUP(B154,'ПО КОРИСНИЦИМА'!$C$6:$J$13997,5,FALSE),"")</f>
        <v/>
      </c>
      <c r="D154" s="726">
        <f>SUMIF('ПО КОРИСНИЦИМА'!$G$6:$G$13997,"Свега за пројекат 1502-П24:",'ПО КОРИСНИЦИМА'!$H$6:$H$13997)</f>
        <v>0</v>
      </c>
      <c r="E154" s="723">
        <f t="shared" si="7"/>
        <v>0</v>
      </c>
      <c r="F154" s="727">
        <f>SUMIF('ПО КОРИСНИЦИМА'!$G$6:$G$13997,"Свега за пројекат 1502-П24:",'ПО КОРИСНИЦИМА'!$I$6:$I$13997)</f>
        <v>0</v>
      </c>
      <c r="G154" s="722">
        <f t="shared" si="0"/>
        <v>0</v>
      </c>
      <c r="H154" s="734"/>
    </row>
    <row r="155" spans="1:8" s="694" customFormat="1">
      <c r="A155" s="687" t="s">
        <v>3570</v>
      </c>
      <c r="B155" s="688"/>
      <c r="C155" s="608" t="s">
        <v>3669</v>
      </c>
      <c r="D155" s="714">
        <f>SUM(D156:D173)</f>
        <v>25000000</v>
      </c>
      <c r="E155" s="715">
        <f>IFERROR(D155/$D$599,"-")</f>
        <v>5.2699933534843826E-2</v>
      </c>
      <c r="F155" s="716">
        <f>SUM(F156:F173)</f>
        <v>0</v>
      </c>
      <c r="G155" s="714">
        <f t="shared" si="0"/>
        <v>25000000</v>
      </c>
      <c r="H155" s="735"/>
    </row>
    <row r="156" spans="1:8" hidden="1">
      <c r="A156" s="689"/>
      <c r="B156" s="698" t="s">
        <v>4114</v>
      </c>
      <c r="C156" s="609" t="s">
        <v>4097</v>
      </c>
      <c r="D156" s="718">
        <f>SUMIF('ПО КОРИСНИЦИМА'!$G$6:$G$13997,"Свега за програмску активност 0101-0001:",'ПО КОРИСНИЦИМА'!$H$6:$H$13997)</f>
        <v>0</v>
      </c>
      <c r="E156" s="719">
        <f>IFERROR(D156/$D$599,"-")</f>
        <v>0</v>
      </c>
      <c r="F156" s="720">
        <f>SUMIF('ПО КОРИСНИЦИМА'!$G$6:$G$13997,"Свега за програмску активност 0101-0001:",'ПО КОРИСНИЦИМА'!$I$6:$I$13997)</f>
        <v>0</v>
      </c>
      <c r="G156" s="718">
        <f t="shared" si="0"/>
        <v>0</v>
      </c>
      <c r="H156" s="721"/>
    </row>
    <row r="157" spans="1:8">
      <c r="A157" s="691"/>
      <c r="B157" s="696" t="s">
        <v>4112</v>
      </c>
      <c r="C157" s="610" t="s">
        <v>4098</v>
      </c>
      <c r="D157" s="722">
        <f>SUMIF('ПО КОРИСНИЦИМА'!$G$6:$G$13997,"Свега за програмску активност 0101-0002:",'ПО КОРИСНИЦИМА'!$H$6:$H$13997)</f>
        <v>25000000</v>
      </c>
      <c r="E157" s="723">
        <f>IFERROR(D157/$D$599,"-")</f>
        <v>5.2699933534843826E-2</v>
      </c>
      <c r="F157" s="724">
        <f>SUMIF('ПО КОРИСНИЦИМА'!$G$6:$G$13997,"Свега за програмску активност 0101-0002:",'ПО КОРИСНИЦИМА'!$I$6:$I$13997)</f>
        <v>0</v>
      </c>
      <c r="G157" s="722">
        <f t="shared" si="0"/>
        <v>25000000</v>
      </c>
      <c r="H157" s="725"/>
    </row>
    <row r="158" spans="1:8">
      <c r="A158" s="696"/>
      <c r="B158" s="699" t="s">
        <v>4607</v>
      </c>
      <c r="C158" s="610" t="str">
        <f>IFERROR(VLOOKUP(B158,'ПО КОРИСНИЦИМА'!$C$6:$J$13997,5,FALSE),"")</f>
        <v xml:space="preserve">Набавка стеоних јуница </v>
      </c>
      <c r="D158" s="726">
        <f>SUMIF('ПО КОРИСНИЦИМА'!$G$6:$G$13997,"Свега за пројекат 0101-П1:",'ПО КОРИСНИЦИМА'!$H$6:$H$13997)</f>
        <v>0</v>
      </c>
      <c r="E158" s="723">
        <f>IFERROR(D158/$D$599,"-")</f>
        <v>0</v>
      </c>
      <c r="F158" s="727">
        <f>SUMIF('ПО КОРИСНИЦИМА'!$G$6:$G$13997,"Свега за пројекат 1502-П1:",'ПО КОРИСНИЦИМА'!$I$6:$I$13997)</f>
        <v>0</v>
      </c>
      <c r="G158" s="722">
        <f t="shared" ref="G158:G173" si="8">D158+F158</f>
        <v>0</v>
      </c>
      <c r="H158" s="725"/>
    </row>
    <row r="159" spans="1:8" hidden="1">
      <c r="A159" s="696"/>
      <c r="B159" s="699" t="s">
        <v>4608</v>
      </c>
      <c r="C159" s="610" t="str">
        <f>IFERROR(VLOOKUP(B159,'ПО КОРИСНИЦИМА'!$C$6:$J$13997,5,FALSE),"")</f>
        <v/>
      </c>
      <c r="D159" s="726">
        <f>SUMIF('ПО КОРИСНИЦИМА'!$G$6:$G$13997,"Свега за пројекат 0101-П2:",'ПО КОРИСНИЦИМА'!$H$6:$H$13997)</f>
        <v>0</v>
      </c>
      <c r="E159" s="723">
        <f t="shared" ref="E159:E173" si="9">IFERROR(D159/$D$599,"-")</f>
        <v>0</v>
      </c>
      <c r="F159" s="727">
        <f>SUMIF('ПО КОРИСНИЦИМА'!$G$6:$G$13997,"Свега за пројекат 0101-П2:",'ПО КОРИСНИЦИМА'!$I$6:$I$13997)</f>
        <v>0</v>
      </c>
      <c r="G159" s="722">
        <f t="shared" si="8"/>
        <v>0</v>
      </c>
      <c r="H159" s="728"/>
    </row>
    <row r="160" spans="1:8" hidden="1">
      <c r="A160" s="696"/>
      <c r="B160" s="699" t="s">
        <v>4609</v>
      </c>
      <c r="C160" s="610" t="str">
        <f>IFERROR(VLOOKUP(B160,'ПО КОРИСНИЦИМА'!$C$6:$J$13997,5,FALSE),"")</f>
        <v/>
      </c>
      <c r="D160" s="726">
        <f>SUMIF('ПО КОРИСНИЦИМА'!$G$6:$G$13997,"Свега за пројекат 0101-П3:",'ПО КОРИСНИЦИМА'!$H$6:$H$13997)</f>
        <v>0</v>
      </c>
      <c r="E160" s="723">
        <f t="shared" si="9"/>
        <v>0</v>
      </c>
      <c r="F160" s="727">
        <f>SUMIF('ПО КОРИСНИЦИМА'!$G$6:$G$13997,"Свега за пројекат 0101-П3:",'ПО КОРИСНИЦИМА'!$I$6:$I$13997)</f>
        <v>0</v>
      </c>
      <c r="G160" s="722">
        <f t="shared" si="8"/>
        <v>0</v>
      </c>
      <c r="H160" s="728"/>
    </row>
    <row r="161" spans="1:8" hidden="1">
      <c r="A161" s="696"/>
      <c r="B161" s="699" t="s">
        <v>4610</v>
      </c>
      <c r="C161" s="610" t="str">
        <f>IFERROR(VLOOKUP(B161,'ПО КОРИСНИЦИМА'!$C$6:$J$13997,5,FALSE),"")</f>
        <v/>
      </c>
      <c r="D161" s="726">
        <f>SUMIF('ПО КОРИСНИЦИМА'!$G$6:$G$13997,"Свега за пројекат 0101-П4:",'ПО КОРИСНИЦИМА'!$H$6:$H$13997)</f>
        <v>0</v>
      </c>
      <c r="E161" s="723">
        <f t="shared" si="9"/>
        <v>0</v>
      </c>
      <c r="F161" s="727">
        <f>SUMIF('ПО КОРИСНИЦИМА'!$G$6:$G$13997,"Свега за пројекат 0101-П4:",'ПО КОРИСНИЦИМА'!$I$6:$I$13997)</f>
        <v>0</v>
      </c>
      <c r="G161" s="722">
        <f t="shared" si="8"/>
        <v>0</v>
      </c>
      <c r="H161" s="728"/>
    </row>
    <row r="162" spans="1:8" hidden="1">
      <c r="A162" s="696"/>
      <c r="B162" s="699" t="s">
        <v>4611</v>
      </c>
      <c r="C162" s="610" t="str">
        <f>IFERROR(VLOOKUP(B162,'ПО КОРИСНИЦИМА'!$C$6:$J$13997,5,FALSE),"")</f>
        <v/>
      </c>
      <c r="D162" s="726">
        <f>SUMIF('ПО КОРИСНИЦИМА'!$G$6:$G$13997,"Свега за пројекат 0101-П5:",'ПО КОРИСНИЦИМА'!$H$6:$H$13997)</f>
        <v>0</v>
      </c>
      <c r="E162" s="723">
        <f t="shared" si="9"/>
        <v>0</v>
      </c>
      <c r="F162" s="727">
        <f>SUMIF('ПО КОРИСНИЦИМА'!$G$6:$G$13997,"Свега за пројекат 0101-П5:",'ПО КОРИСНИЦИМА'!$I$6:$I$13997)</f>
        <v>0</v>
      </c>
      <c r="G162" s="722">
        <f t="shared" si="8"/>
        <v>0</v>
      </c>
      <c r="H162" s="728"/>
    </row>
    <row r="163" spans="1:8" hidden="1">
      <c r="A163" s="696"/>
      <c r="B163" s="699" t="s">
        <v>4612</v>
      </c>
      <c r="C163" s="610" t="str">
        <f>IFERROR(VLOOKUP(B163,'ПО КОРИСНИЦИМА'!$C$6:$J$13997,5,FALSE),"")</f>
        <v/>
      </c>
      <c r="D163" s="726">
        <f>SUMIF('ПО КОРИСНИЦИМА'!$G$6:$G$13997,"Свега за пројекат 0101-П6:",'ПО КОРИСНИЦИМА'!$H$6:$H$13997)</f>
        <v>0</v>
      </c>
      <c r="E163" s="723">
        <f t="shared" si="9"/>
        <v>0</v>
      </c>
      <c r="F163" s="727">
        <f>SUMIF('ПО КОРИСНИЦИМА'!$G$6:$G$13997,"Свега за пројекат 0101-П6:",'ПО КОРИСНИЦИМА'!$I$6:$I$13997)</f>
        <v>0</v>
      </c>
      <c r="G163" s="722">
        <f t="shared" si="8"/>
        <v>0</v>
      </c>
      <c r="H163" s="728"/>
    </row>
    <row r="164" spans="1:8" hidden="1">
      <c r="A164" s="696"/>
      <c r="B164" s="699" t="s">
        <v>4613</v>
      </c>
      <c r="C164" s="610" t="str">
        <f>IFERROR(VLOOKUP(B164,'ПО КОРИСНИЦИМА'!$C$6:$J$13997,5,FALSE),"")</f>
        <v/>
      </c>
      <c r="D164" s="726">
        <f>SUMIF('ПО КОРИСНИЦИМА'!$G$6:$G$13997,"Свега за пројекат 0101-П7:",'ПО КОРИСНИЦИМА'!$H$6:$H$13997)</f>
        <v>0</v>
      </c>
      <c r="E164" s="723">
        <f t="shared" si="9"/>
        <v>0</v>
      </c>
      <c r="F164" s="727">
        <f>SUMIF('ПО КОРИСНИЦИМА'!$G$6:$G$13997,"Свега за пројекат 0101-П7:",'ПО КОРИСНИЦИМА'!$I$6:$I$13997)</f>
        <v>0</v>
      </c>
      <c r="G164" s="722">
        <f t="shared" si="8"/>
        <v>0</v>
      </c>
      <c r="H164" s="728"/>
    </row>
    <row r="165" spans="1:8" hidden="1">
      <c r="A165" s="696"/>
      <c r="B165" s="699" t="s">
        <v>4614</v>
      </c>
      <c r="C165" s="610" t="str">
        <f>IFERROR(VLOOKUP(B165,'ПО КОРИСНИЦИМА'!$C$6:$J$13997,5,FALSE),"")</f>
        <v/>
      </c>
      <c r="D165" s="726">
        <f>SUMIF('ПО КОРИСНИЦИМА'!$G$6:$G$13997,"Свега за пројекат 0101-П8:",'ПО КОРИСНИЦИМА'!$H$6:$H$13997)</f>
        <v>0</v>
      </c>
      <c r="E165" s="723">
        <f t="shared" si="9"/>
        <v>0</v>
      </c>
      <c r="F165" s="727">
        <f>SUMIF('ПО КОРИСНИЦИМА'!$G$6:$G$13997,"Свега за пројекат 0101-П8:",'ПО КОРИСНИЦИМА'!$I$6:$I$13997)</f>
        <v>0</v>
      </c>
      <c r="G165" s="722">
        <f t="shared" si="8"/>
        <v>0</v>
      </c>
      <c r="H165" s="728"/>
    </row>
    <row r="166" spans="1:8" hidden="1">
      <c r="A166" s="696"/>
      <c r="B166" s="699" t="s">
        <v>4615</v>
      </c>
      <c r="C166" s="610" t="str">
        <f>IFERROR(VLOOKUP(B166,'ПО КОРИСНИЦИМА'!$C$6:$J$13997,5,FALSE),"")</f>
        <v/>
      </c>
      <c r="D166" s="726">
        <f>SUMIF('ПО КОРИСНИЦИМА'!$G$6:$G$13997,"Свега за пројекат 0101-П9:",'ПО КОРИСНИЦИМА'!$H$6:$H$13997)</f>
        <v>0</v>
      </c>
      <c r="E166" s="723">
        <f t="shared" si="9"/>
        <v>0</v>
      </c>
      <c r="F166" s="727">
        <f>SUMIF('ПО КОРИСНИЦИМА'!$G$6:$G$13997,"Свега за пројекат 0101-П9:",'ПО КОРИСНИЦИМА'!$I$6:$I$13997)</f>
        <v>0</v>
      </c>
      <c r="G166" s="722">
        <f t="shared" si="8"/>
        <v>0</v>
      </c>
      <c r="H166" s="728"/>
    </row>
    <row r="167" spans="1:8" hidden="1">
      <c r="A167" s="696"/>
      <c r="B167" s="699" t="s">
        <v>4616</v>
      </c>
      <c r="C167" s="610" t="str">
        <f>IFERROR(VLOOKUP(B167,'ПО КОРИСНИЦИМА'!$C$6:$J$13997,5,FALSE),"")</f>
        <v/>
      </c>
      <c r="D167" s="726">
        <f>SUMIF('ПО КОРИСНИЦИМА'!$G$6:$G$13997,"Свега за пројекат 0101-П10:",'ПО КОРИСНИЦИМА'!$H$6:$H$13997)</f>
        <v>0</v>
      </c>
      <c r="E167" s="723">
        <f t="shared" si="9"/>
        <v>0</v>
      </c>
      <c r="F167" s="727">
        <f>SUMIF('ПО КОРИСНИЦИМА'!$G$6:$G$13997,"Свега за пројекат 0101-П10:",'ПО КОРИСНИЦИМА'!$I$6:$I$13997)</f>
        <v>0</v>
      </c>
      <c r="G167" s="722">
        <f t="shared" si="8"/>
        <v>0</v>
      </c>
      <c r="H167" s="728"/>
    </row>
    <row r="168" spans="1:8" hidden="1">
      <c r="A168" s="696"/>
      <c r="B168" s="699" t="s">
        <v>4617</v>
      </c>
      <c r="C168" s="610" t="str">
        <f>IFERROR(VLOOKUP(B168,'ПО КОРИСНИЦИМА'!$C$6:$J$13997,5,FALSE),"")</f>
        <v/>
      </c>
      <c r="D168" s="726">
        <f>SUMIF('ПО КОРИСНИЦИМА'!$G$6:$G$13997,"Свега за пројекат 0101-П11:",'ПО КОРИСНИЦИМА'!$H$6:$H$13997)</f>
        <v>0</v>
      </c>
      <c r="E168" s="723">
        <f t="shared" si="9"/>
        <v>0</v>
      </c>
      <c r="F168" s="727">
        <f>SUMIF('ПО КОРИСНИЦИМА'!$G$6:$G$13997,"Свега за пројекат 0101-П11:",'ПО КОРИСНИЦИМА'!$I$6:$I$13997)</f>
        <v>0</v>
      </c>
      <c r="G168" s="722">
        <f t="shared" si="8"/>
        <v>0</v>
      </c>
      <c r="H168" s="728"/>
    </row>
    <row r="169" spans="1:8" hidden="1">
      <c r="A169" s="696"/>
      <c r="B169" s="699" t="s">
        <v>4618</v>
      </c>
      <c r="C169" s="610" t="str">
        <f>IFERROR(VLOOKUP(B169,'ПО КОРИСНИЦИМА'!$C$6:$J$13997,5,FALSE),"")</f>
        <v/>
      </c>
      <c r="D169" s="726">
        <f>SUMIF('ПО КОРИСНИЦИМА'!$G$6:$G$13997,"Свега за пројекат 0101-П12:",'ПО КОРИСНИЦИМА'!$H$6:$H$13997)</f>
        <v>0</v>
      </c>
      <c r="E169" s="723">
        <f t="shared" si="9"/>
        <v>0</v>
      </c>
      <c r="F169" s="727">
        <f>SUMIF('ПО КОРИСНИЦИМА'!$G$6:$G$13997,"Свега за пројекат 0101-П12:",'ПО КОРИСНИЦИМА'!$I$6:$I$13997)</f>
        <v>0</v>
      </c>
      <c r="G169" s="722">
        <f t="shared" si="8"/>
        <v>0</v>
      </c>
      <c r="H169" s="728"/>
    </row>
    <row r="170" spans="1:8" hidden="1">
      <c r="A170" s="696"/>
      <c r="B170" s="699" t="s">
        <v>4619</v>
      </c>
      <c r="C170" s="610" t="str">
        <f>IFERROR(VLOOKUP(B170,'ПО КОРИСНИЦИМА'!$C$6:$J$13997,5,FALSE),"")</f>
        <v/>
      </c>
      <c r="D170" s="726">
        <f>SUMIF('ПО КОРИСНИЦИМА'!$G$6:$G$13997,"Свега за пројекат 0101-П13:",'ПО КОРИСНИЦИМА'!$H$6:$H$13997)</f>
        <v>0</v>
      </c>
      <c r="E170" s="723">
        <f t="shared" si="9"/>
        <v>0</v>
      </c>
      <c r="F170" s="727">
        <f>SUMIF('ПО КОРИСНИЦИМА'!$G$6:$G$13997,"Свега за пројекат 0101-П13:",'ПО КОРИСНИЦИМА'!$I$6:$I$13997)</f>
        <v>0</v>
      </c>
      <c r="G170" s="722">
        <f t="shared" si="8"/>
        <v>0</v>
      </c>
      <c r="H170" s="728"/>
    </row>
    <row r="171" spans="1:8" hidden="1">
      <c r="A171" s="696"/>
      <c r="B171" s="699" t="s">
        <v>4620</v>
      </c>
      <c r="C171" s="610" t="str">
        <f>IFERROR(VLOOKUP(B171,'ПО КОРИСНИЦИМА'!$C$6:$J$13997,5,FALSE),"")</f>
        <v/>
      </c>
      <c r="D171" s="726">
        <f>SUMIF('ПО КОРИСНИЦИМА'!$G$6:$G$13997,"Свега за пројекат 0101-П14:",'ПО КОРИСНИЦИМА'!$H$6:$H$13997)</f>
        <v>0</v>
      </c>
      <c r="E171" s="723">
        <f t="shared" si="9"/>
        <v>0</v>
      </c>
      <c r="F171" s="727">
        <f>SUMIF('ПО КОРИСНИЦИМА'!$G$6:$G$13997,"Свега за пројекат 0101-П14:",'ПО КОРИСНИЦИМА'!$I$6:$I$13997)</f>
        <v>0</v>
      </c>
      <c r="G171" s="722">
        <f t="shared" si="8"/>
        <v>0</v>
      </c>
      <c r="H171" s="725"/>
    </row>
    <row r="172" spans="1:8" hidden="1">
      <c r="A172" s="696"/>
      <c r="B172" s="699" t="s">
        <v>4621</v>
      </c>
      <c r="C172" s="610" t="str">
        <f>IFERROR(VLOOKUP(B172,'ПО КОРИСНИЦИМА'!$C$6:$J$13997,5,FALSE),"")</f>
        <v/>
      </c>
      <c r="D172" s="726">
        <f>SUMIF('ПО КОРИСНИЦИМА'!$G$6:$G$13997,"Свега за пројекат 0101-П15:",'ПО КОРИСНИЦИМА'!$H$6:$H$13997)</f>
        <v>0</v>
      </c>
      <c r="E172" s="723">
        <f t="shared" si="9"/>
        <v>0</v>
      </c>
      <c r="F172" s="727">
        <f>SUMIF('ПО КОРИСНИЦИМА'!$G$6:$G$13997,"Свега за пројекат 0101-П15:",'ПО КОРИСНИЦИМА'!$I$6:$I$13997)</f>
        <v>0</v>
      </c>
      <c r="G172" s="722">
        <f t="shared" si="8"/>
        <v>0</v>
      </c>
      <c r="H172" s="725"/>
    </row>
    <row r="173" spans="1:8" hidden="1">
      <c r="A173" s="697"/>
      <c r="B173" s="699" t="s">
        <v>4622</v>
      </c>
      <c r="C173" s="610" t="str">
        <f>IFERROR(VLOOKUP(B173,'ПО КОРИСНИЦИМА'!$C$6:$J$13997,5,FALSE),"")</f>
        <v/>
      </c>
      <c r="D173" s="726">
        <f>SUMIF('ПО КОРИСНИЦИМА'!$G$6:$G$13997,"Свега за пројекат 0101-П16:",'ПО КОРИСНИЦИМА'!$H$6:$H$13997)</f>
        <v>0</v>
      </c>
      <c r="E173" s="723">
        <f t="shared" si="9"/>
        <v>0</v>
      </c>
      <c r="F173" s="727">
        <f>SUMIF('ПО КОРИСНИЦИМА'!$G$6:$G$13997,"Свега за пројекат 0101-П16:",'ПО КОРИСНИЦИМА'!$I$6:$I$13997)</f>
        <v>0</v>
      </c>
      <c r="G173" s="722">
        <f t="shared" si="8"/>
        <v>0</v>
      </c>
      <c r="H173" s="734"/>
    </row>
    <row r="174" spans="1:8" s="694" customFormat="1">
      <c r="A174" s="687" t="s">
        <v>3573</v>
      </c>
      <c r="B174" s="688"/>
      <c r="C174" s="608" t="s">
        <v>3670</v>
      </c>
      <c r="D174" s="714">
        <f>SUM(D175:D193)</f>
        <v>2500000</v>
      </c>
      <c r="E174" s="715">
        <f t="shared" ref="E174:E181" si="10">IFERROR(D174/$D$599,"-")</f>
        <v>5.269993353484383E-3</v>
      </c>
      <c r="F174" s="716">
        <f>SUM(F175:F193)</f>
        <v>0</v>
      </c>
      <c r="G174" s="714">
        <f t="shared" si="0"/>
        <v>2500000</v>
      </c>
      <c r="H174" s="735"/>
    </row>
    <row r="175" spans="1:8" hidden="1">
      <c r="A175" s="689"/>
      <c r="B175" s="582" t="s">
        <v>4099</v>
      </c>
      <c r="C175" s="611" t="s">
        <v>4100</v>
      </c>
      <c r="D175" s="718">
        <f>SUMIF('ПО КОРИСНИЦИМА'!$G$6:$G$13997,"Свега за програмску активност 0401-0001:",'ПО КОРИСНИЦИМА'!$H$6:$H$13997)</f>
        <v>0</v>
      </c>
      <c r="E175" s="719">
        <f t="shared" si="10"/>
        <v>0</v>
      </c>
      <c r="F175" s="720">
        <f>SUMIF('ПО КОРИСНИЦИМА'!$G$6:$G$13997,"Свега за програмску активност 0401-0001:",'ПО КОРИСНИЦИМА'!$I$6:$I$13997)</f>
        <v>0</v>
      </c>
      <c r="G175" s="718">
        <f t="shared" si="0"/>
        <v>0</v>
      </c>
      <c r="H175" s="721"/>
    </row>
    <row r="176" spans="1:8">
      <c r="A176" s="691"/>
      <c r="B176" s="87" t="s">
        <v>4101</v>
      </c>
      <c r="C176" s="612" t="s">
        <v>4102</v>
      </c>
      <c r="D176" s="722">
        <f>SUMIF('ПО КОРИСНИЦИМА'!$G$6:$G$13997,"Свега за програмску активност 0401-0002:",'ПО КОРИСНИЦИМА'!$H$6:$H$13997)</f>
        <v>2500000</v>
      </c>
      <c r="E176" s="723">
        <f t="shared" si="10"/>
        <v>5.269993353484383E-3</v>
      </c>
      <c r="F176" s="724">
        <f>SUMIF('ПО КОРИСНИЦИМА'!$G$6:$G$13997,"Свега за програмску активност 0401-0002:",'ПО КОРИСНИЦИМА'!$I$6:$I$13997)</f>
        <v>0</v>
      </c>
      <c r="G176" s="722">
        <f t="shared" si="0"/>
        <v>2500000</v>
      </c>
      <c r="H176" s="725"/>
    </row>
    <row r="177" spans="1:8" hidden="1">
      <c r="A177" s="691"/>
      <c r="B177" s="87" t="s">
        <v>4103</v>
      </c>
      <c r="C177" s="612" t="s">
        <v>4104</v>
      </c>
      <c r="D177" s="722">
        <f>SUMIF('ПО КОРИСНИЦИМА'!$G$6:$G$13997,"Свега за програмску активност 0401-0003:",'ПО КОРИСНИЦИМА'!$H$6:$H$13997)</f>
        <v>0</v>
      </c>
      <c r="E177" s="723">
        <f t="shared" si="10"/>
        <v>0</v>
      </c>
      <c r="F177" s="724">
        <f>SUMIF('ПО КОРИСНИЦИМА'!$G$6:$G$13997,"Свега за програмску активност 0401-0003:",'ПО КОРИСНИЦИМА'!$I$6:$I$13997)</f>
        <v>0</v>
      </c>
      <c r="G177" s="722">
        <f t="shared" si="0"/>
        <v>0</v>
      </c>
      <c r="H177" s="725"/>
    </row>
    <row r="178" spans="1:8" hidden="1">
      <c r="A178" s="691"/>
      <c r="B178" s="87" t="s">
        <v>4105</v>
      </c>
      <c r="C178" s="612" t="s">
        <v>4106</v>
      </c>
      <c r="D178" s="722">
        <f>SUMIF('ПО КОРИСНИЦИМА'!$G$6:$G$13997,"Свега за програмску активност 0401-0004:",'ПО КОРИСНИЦИМА'!$H$6:$H$13997)</f>
        <v>0</v>
      </c>
      <c r="E178" s="723">
        <f t="shared" si="10"/>
        <v>0</v>
      </c>
      <c r="F178" s="724">
        <f>SUMIF('ПО КОРИСНИЦИМА'!$G$6:$G$13997,"Свега за програмску активност 0401-0004:",'ПО КОРИСНИЦИМА'!$I$6:$I$13997)</f>
        <v>0</v>
      </c>
      <c r="G178" s="722">
        <f t="shared" si="0"/>
        <v>0</v>
      </c>
      <c r="H178" s="725"/>
    </row>
    <row r="179" spans="1:8" hidden="1">
      <c r="A179" s="691"/>
      <c r="B179" s="87" t="s">
        <v>4623</v>
      </c>
      <c r="C179" s="610" t="str">
        <f>IFERROR(VLOOKUP(B179,'ПО КОРИСНИЦИМА'!$C$6:$J$13997,5,FALSE),"")</f>
        <v>Набавка контејнера</v>
      </c>
      <c r="D179" s="726">
        <f>SUMIF('ПО КОРИСНИЦИМА'!$G$6:$G$13997,"Свега за пројекат 0401-П1:",'ПО КОРИСНИЦИМА'!$H$6:$H$13997)</f>
        <v>0</v>
      </c>
      <c r="E179" s="723">
        <f t="shared" si="10"/>
        <v>0</v>
      </c>
      <c r="F179" s="727">
        <f>SUMIF('ПО КОРИСНИЦИМА'!$G$6:$G$13997,"Свега за пројекат 0401-П1:",'ПО КОРИСНИЦИМА'!$I$6:$I$13997)</f>
        <v>0</v>
      </c>
      <c r="G179" s="722">
        <f t="shared" si="0"/>
        <v>0</v>
      </c>
      <c r="H179" s="725"/>
    </row>
    <row r="180" spans="1:8" hidden="1">
      <c r="A180" s="691"/>
      <c r="B180" s="87" t="s">
        <v>4624</v>
      </c>
      <c r="C180" s="610" t="str">
        <f>IFERROR(VLOOKUP(B180,'ПО КОРИСНИЦИМА'!$C$6:$J$13997,5,FALSE),"")</f>
        <v/>
      </c>
      <c r="D180" s="726">
        <f>SUMIF('ПО КОРИСНИЦИМА'!$G$6:$G$13997,"Свега за пројекат 0401-П2:",'ПО КОРИСНИЦИМА'!$H$6:$H$13997)</f>
        <v>0</v>
      </c>
      <c r="E180" s="723">
        <f t="shared" si="10"/>
        <v>0</v>
      </c>
      <c r="F180" s="727">
        <f>SUMIF('ПО КОРИСНИЦИМА'!$G$6:$G$13997,"Свега за пројекат 0401-П2:",'ПО КОРИСНИЦИМА'!$I$6:$I$13997)</f>
        <v>0</v>
      </c>
      <c r="G180" s="722">
        <f t="shared" si="0"/>
        <v>0</v>
      </c>
      <c r="H180" s="725"/>
    </row>
    <row r="181" spans="1:8" hidden="1">
      <c r="A181" s="691"/>
      <c r="B181" s="87" t="s">
        <v>4625</v>
      </c>
      <c r="C181" s="610" t="str">
        <f>IFERROR(VLOOKUP(B181,'ПО КОРИСНИЦИМА'!$C$6:$J$13997,5,FALSE),"")</f>
        <v/>
      </c>
      <c r="D181" s="726">
        <f>SUMIF('ПО КОРИСНИЦИМА'!$G$6:$G$13997,"Свега за пројекат 0401-П3:",'ПО КОРИСНИЦИМА'!$H$6:$H$13997)</f>
        <v>0</v>
      </c>
      <c r="E181" s="723">
        <f t="shared" si="10"/>
        <v>0</v>
      </c>
      <c r="F181" s="727">
        <f>SUMIF('ПО КОРИСНИЦИМА'!$G$6:$G$13997,"Свега за пројекат 0401-П3:",'ПО КОРИСНИЦИМА'!$I$6:$I$13997)</f>
        <v>0</v>
      </c>
      <c r="G181" s="722">
        <f t="shared" si="0"/>
        <v>0</v>
      </c>
      <c r="H181" s="725"/>
    </row>
    <row r="182" spans="1:8" hidden="1">
      <c r="A182" s="691"/>
      <c r="B182" s="87" t="s">
        <v>4626</v>
      </c>
      <c r="C182" s="610" t="str">
        <f>IFERROR(VLOOKUP(B182,'ПО КОРИСНИЦИМА'!$C$6:$J$13997,5,FALSE),"")</f>
        <v/>
      </c>
      <c r="D182" s="726">
        <f>SUMIF('ПО КОРИСНИЦИМА'!$G$6:$G$13997,"Свега за пројекат 0401-П4:",'ПО КОРИСНИЦИМА'!$H$6:$H$13997)</f>
        <v>0</v>
      </c>
      <c r="E182" s="723">
        <f t="shared" ref="E182:E193" si="11">IFERROR(D182/$D$599,"-")</f>
        <v>0</v>
      </c>
      <c r="F182" s="727">
        <f>SUMIF('ПО КОРИСНИЦИМА'!$G$6:$G$13997,"Свега за пројекат 0401-П4:",'ПО КОРИСНИЦИМА'!$I$6:$I$13997)</f>
        <v>0</v>
      </c>
      <c r="G182" s="722">
        <f t="shared" si="0"/>
        <v>0</v>
      </c>
      <c r="H182" s="728"/>
    </row>
    <row r="183" spans="1:8" hidden="1">
      <c r="A183" s="691"/>
      <c r="B183" s="87" t="s">
        <v>4627</v>
      </c>
      <c r="C183" s="610" t="str">
        <f>IFERROR(VLOOKUP(B183,'ПО КОРИСНИЦИМА'!$C$6:$J$13997,5,FALSE),"")</f>
        <v/>
      </c>
      <c r="D183" s="726">
        <f>SUMIF('ПО КОРИСНИЦИМА'!$G$6:$G$13997,"Свега за пројекат 0401-П5:",'ПО КОРИСНИЦИМА'!$H$6:$H$13997)</f>
        <v>0</v>
      </c>
      <c r="E183" s="723">
        <f t="shared" si="11"/>
        <v>0</v>
      </c>
      <c r="F183" s="727">
        <f>SUMIF('ПО КОРИСНИЦИМА'!$G$6:$G$13997,"Свега за пројекат 0401-П5:",'ПО КОРИСНИЦИМА'!$I$6:$I$13997)</f>
        <v>0</v>
      </c>
      <c r="G183" s="722">
        <f t="shared" si="0"/>
        <v>0</v>
      </c>
      <c r="H183" s="728"/>
    </row>
    <row r="184" spans="1:8" hidden="1">
      <c r="A184" s="691"/>
      <c r="B184" s="87" t="s">
        <v>4628</v>
      </c>
      <c r="C184" s="610" t="str">
        <f>IFERROR(VLOOKUP(B184,'ПО КОРИСНИЦИМА'!$C$6:$J$13997,5,FALSE),"")</f>
        <v/>
      </c>
      <c r="D184" s="726">
        <f>SUMIF('ПО КОРИСНИЦИМА'!$G$6:$G$13997,"Свега за пројекат 0401-П6:",'ПО КОРИСНИЦИМА'!$H$6:$H$13997)</f>
        <v>0</v>
      </c>
      <c r="E184" s="723">
        <f t="shared" si="11"/>
        <v>0</v>
      </c>
      <c r="F184" s="727">
        <f>SUMIF('ПО КОРИСНИЦИМА'!$G$6:$G$13997,"Свега за пројекат 0401-П6:",'ПО КОРИСНИЦИМА'!$I$6:$I$13997)</f>
        <v>0</v>
      </c>
      <c r="G184" s="722">
        <f t="shared" si="0"/>
        <v>0</v>
      </c>
      <c r="H184" s="728"/>
    </row>
    <row r="185" spans="1:8" hidden="1">
      <c r="A185" s="691"/>
      <c r="B185" s="87" t="s">
        <v>4629</v>
      </c>
      <c r="C185" s="610" t="str">
        <f>IFERROR(VLOOKUP(B185,'ПО КОРИСНИЦИМА'!$C$6:$J$13997,5,FALSE),"")</f>
        <v/>
      </c>
      <c r="D185" s="726">
        <f>SUMIF('ПО КОРИСНИЦИМА'!$G$6:$G$13997,"Свега за пројекат 0401-П7:",'ПО КОРИСНИЦИМА'!$H$6:$H$13997)</f>
        <v>0</v>
      </c>
      <c r="E185" s="723">
        <f t="shared" si="11"/>
        <v>0</v>
      </c>
      <c r="F185" s="727">
        <f>SUMIF('ПО КОРИСНИЦИМА'!$G$6:$G$13997,"Свега за пројекат 0401-П7:",'ПО КОРИСНИЦИМА'!$I$6:$I$13997)</f>
        <v>0</v>
      </c>
      <c r="G185" s="722">
        <f t="shared" si="0"/>
        <v>0</v>
      </c>
      <c r="H185" s="728"/>
    </row>
    <row r="186" spans="1:8" hidden="1">
      <c r="A186" s="691"/>
      <c r="B186" s="87" t="s">
        <v>4630</v>
      </c>
      <c r="C186" s="610" t="str">
        <f>IFERROR(VLOOKUP(B186,'ПО КОРИСНИЦИМА'!$C$6:$J$13997,5,FALSE),"")</f>
        <v/>
      </c>
      <c r="D186" s="726">
        <f>SUMIF('ПО КОРИСНИЦИМА'!$G$6:$G$13997,"Свега за пројекат 0401-П8:",'ПО КОРИСНИЦИМА'!$H$6:$H$13997)</f>
        <v>0</v>
      </c>
      <c r="E186" s="723">
        <f t="shared" si="11"/>
        <v>0</v>
      </c>
      <c r="F186" s="727">
        <f>SUMIF('ПО КОРИСНИЦИМА'!$G$6:$G$13997,"Свега за пројекат 0401-П8:",'ПО КОРИСНИЦИМА'!$I$6:$I$13997)</f>
        <v>0</v>
      </c>
      <c r="G186" s="722">
        <f t="shared" si="0"/>
        <v>0</v>
      </c>
      <c r="H186" s="728"/>
    </row>
    <row r="187" spans="1:8" hidden="1">
      <c r="A187" s="691"/>
      <c r="B187" s="87" t="s">
        <v>4631</v>
      </c>
      <c r="C187" s="610" t="str">
        <f>IFERROR(VLOOKUP(B187,'ПО КОРИСНИЦИМА'!$C$6:$J$13997,5,FALSE),"")</f>
        <v/>
      </c>
      <c r="D187" s="726">
        <f>SUMIF('ПО КОРИСНИЦИМА'!$G$6:$G$13997,"Свега за пројекат 0401-П9:",'ПО КОРИСНИЦИМА'!$H$6:$H$13997)</f>
        <v>0</v>
      </c>
      <c r="E187" s="723">
        <f t="shared" si="11"/>
        <v>0</v>
      </c>
      <c r="F187" s="727">
        <f>SUMIF('ПО КОРИСНИЦИМА'!$G$6:$G$13997,"Свега за пројекат 0401-П9:",'ПО КОРИСНИЦИМА'!$I$6:$I$13997)</f>
        <v>0</v>
      </c>
      <c r="G187" s="722">
        <f t="shared" si="0"/>
        <v>0</v>
      </c>
      <c r="H187" s="728"/>
    </row>
    <row r="188" spans="1:8" hidden="1">
      <c r="A188" s="691"/>
      <c r="B188" s="87" t="s">
        <v>4632</v>
      </c>
      <c r="C188" s="610" t="str">
        <f>IFERROR(VLOOKUP(B188,'ПО КОРИСНИЦИМА'!$C$6:$J$13997,5,FALSE),"")</f>
        <v/>
      </c>
      <c r="D188" s="726">
        <f>SUMIF('ПО КОРИСНИЦИМА'!$G$6:$G$13997,"Свега за пројекат 0401-П10:",'ПО КОРИСНИЦИМА'!$H$6:$H$13997)</f>
        <v>0</v>
      </c>
      <c r="E188" s="723">
        <f t="shared" si="11"/>
        <v>0</v>
      </c>
      <c r="F188" s="727">
        <f>SUMIF('ПО КОРИСНИЦИМА'!$G$6:$G$13997,"Свега за пројекат 0401-П10:",'ПО КОРИСНИЦИМА'!$I$6:$I$13997)</f>
        <v>0</v>
      </c>
      <c r="G188" s="722">
        <f t="shared" si="0"/>
        <v>0</v>
      </c>
      <c r="H188" s="728"/>
    </row>
    <row r="189" spans="1:8" hidden="1">
      <c r="A189" s="691"/>
      <c r="B189" s="87" t="s">
        <v>4633</v>
      </c>
      <c r="C189" s="610" t="str">
        <f>IFERROR(VLOOKUP(B189,'ПО КОРИСНИЦИМА'!$C$6:$J$13997,5,FALSE),"")</f>
        <v/>
      </c>
      <c r="D189" s="726">
        <f>SUMIF('ПО КОРИСНИЦИМА'!$G$6:$G$13997,"Свега за пројекат 0401-П11:",'ПО КОРИСНИЦИМА'!$H$6:$H$13997)</f>
        <v>0</v>
      </c>
      <c r="E189" s="723">
        <f t="shared" si="11"/>
        <v>0</v>
      </c>
      <c r="F189" s="727">
        <f>SUMIF('ПО КОРИСНИЦИМА'!$G$6:$G$13997,"Свега за пројекат 0401-П11:",'ПО КОРИСНИЦИМА'!$I$6:$I$13997)</f>
        <v>0</v>
      </c>
      <c r="G189" s="722">
        <f t="shared" si="0"/>
        <v>0</v>
      </c>
      <c r="H189" s="728"/>
    </row>
    <row r="190" spans="1:8" hidden="1">
      <c r="A190" s="691"/>
      <c r="B190" s="87" t="s">
        <v>4634</v>
      </c>
      <c r="C190" s="610" t="str">
        <f>IFERROR(VLOOKUP(B190,'ПО КОРИСНИЦИМА'!$C$6:$J$13997,5,FALSE),"")</f>
        <v/>
      </c>
      <c r="D190" s="726">
        <f>SUMIF('ПО КОРИСНИЦИМА'!$G$6:$G$13997,"Свега за пројекат 0401-П12:",'ПО КОРИСНИЦИМА'!$H$6:$H$13997)</f>
        <v>0</v>
      </c>
      <c r="E190" s="723">
        <f t="shared" si="11"/>
        <v>0</v>
      </c>
      <c r="F190" s="727">
        <f>SUMIF('ПО КОРИСНИЦИМА'!$G$6:$G$13997,"Свега за пројекат 0401-П12:",'ПО КОРИСНИЦИМА'!$I$6:$I$13997)</f>
        <v>0</v>
      </c>
      <c r="G190" s="722">
        <f t="shared" si="0"/>
        <v>0</v>
      </c>
      <c r="H190" s="725"/>
    </row>
    <row r="191" spans="1:8" hidden="1">
      <c r="A191" s="691"/>
      <c r="B191" s="87" t="s">
        <v>4635</v>
      </c>
      <c r="C191" s="610" t="str">
        <f>IFERROR(VLOOKUP(B191,'ПО КОРИСНИЦИМА'!$C$6:$J$13997,5,FALSE),"")</f>
        <v/>
      </c>
      <c r="D191" s="726">
        <f>SUMIF('ПО КОРИСНИЦИМА'!$G$6:$G$13997,"Свега за пројекат 0401-П13:",'ПО КОРИСНИЦИМА'!$H$6:$H$13997)</f>
        <v>0</v>
      </c>
      <c r="E191" s="723">
        <f t="shared" si="11"/>
        <v>0</v>
      </c>
      <c r="F191" s="727">
        <f>SUMIF('ПО КОРИСНИЦИМА'!$G$6:$G$13997,"Свега за пројекат 0401-П13:",'ПО КОРИСНИЦИМА'!$I$6:$I$13997)</f>
        <v>0</v>
      </c>
      <c r="G191" s="722">
        <f t="shared" si="0"/>
        <v>0</v>
      </c>
      <c r="H191" s="725"/>
    </row>
    <row r="192" spans="1:8" hidden="1">
      <c r="A192" s="691"/>
      <c r="B192" s="87" t="s">
        <v>4636</v>
      </c>
      <c r="C192" s="610" t="str">
        <f>IFERROR(VLOOKUP(B192,'ПО КОРИСНИЦИМА'!$C$6:$J$13997,5,FALSE),"")</f>
        <v/>
      </c>
      <c r="D192" s="726">
        <f>SUMIF('ПО КОРИСНИЦИМА'!$G$6:$G$13997,"Свега за пројекат 0401-П14:",'ПО КОРИСНИЦИМА'!$H$6:$H$13997)</f>
        <v>0</v>
      </c>
      <c r="E192" s="723">
        <f t="shared" si="11"/>
        <v>0</v>
      </c>
      <c r="F192" s="727">
        <f>SUMIF('ПО КОРИСНИЦИМА'!$G$6:$G$13997,"Свега за пројекат 0401-П14:",'ПО КОРИСНИЦИМА'!$I$6:$I$13997)</f>
        <v>0</v>
      </c>
      <c r="G192" s="722">
        <f t="shared" si="0"/>
        <v>0</v>
      </c>
      <c r="H192" s="725"/>
    </row>
    <row r="193" spans="1:8" hidden="1">
      <c r="A193" s="697"/>
      <c r="B193" s="87" t="s">
        <v>4637</v>
      </c>
      <c r="C193" s="610" t="str">
        <f>IFERROR(VLOOKUP(B193,'ПО КОРИСНИЦИМА'!$C$6:$J$13997,5,FALSE),"")</f>
        <v/>
      </c>
      <c r="D193" s="726">
        <f>SUMIF('ПО КОРИСНИЦИМА'!$G$6:$G$13997,"Свега за пројекат 0401-П15:",'ПО КОРИСНИЦИМА'!$H$6:$H$13997)</f>
        <v>0</v>
      </c>
      <c r="E193" s="723">
        <f t="shared" si="11"/>
        <v>0</v>
      </c>
      <c r="F193" s="727">
        <f>SUMIF('ПО КОРИСНИЦИМА'!$G$6:$G$13997,"Свега за пројекат 0401-П15:",'ПО КОРИСНИЦИМА'!$I$6:$I$13997)</f>
        <v>0</v>
      </c>
      <c r="G193" s="722">
        <f t="shared" ref="G193" si="12">D193+F193</f>
        <v>0</v>
      </c>
      <c r="H193" s="734"/>
    </row>
    <row r="194" spans="1:8" s="694" customFormat="1">
      <c r="A194" s="687" t="s">
        <v>3576</v>
      </c>
      <c r="B194" s="688"/>
      <c r="C194" s="608" t="s">
        <v>3671</v>
      </c>
      <c r="D194" s="714">
        <f>SUM(D195:D246)</f>
        <v>147860000</v>
      </c>
      <c r="E194" s="715">
        <f>IFERROR(D194/$D$599,"-")</f>
        <v>0.31168848689848033</v>
      </c>
      <c r="F194" s="716">
        <f>SUM(F195:F246)</f>
        <v>0</v>
      </c>
      <c r="G194" s="736">
        <f t="shared" ref="G194:G518" si="13">D194+F194</f>
        <v>147860000</v>
      </c>
      <c r="H194" s="735"/>
    </row>
    <row r="195" spans="1:8">
      <c r="A195" s="689"/>
      <c r="B195" s="695" t="s">
        <v>4155</v>
      </c>
      <c r="C195" s="614" t="s">
        <v>4107</v>
      </c>
      <c r="D195" s="718">
        <f>SUMIF('ПО КОРИСНИЦИМА'!$G$6:$G$13997,"Свега за програмску активност 0701-0001:",'ПО КОРИСНИЦИМА'!$H$6:$H$13997)</f>
        <v>2200000</v>
      </c>
      <c r="E195" s="719">
        <f>IFERROR(D195/$D$599,"-")</f>
        <v>4.6375941510662568E-3</v>
      </c>
      <c r="F195" s="720">
        <f>SUMIF('ПО КОРИСНИЦИМА'!$G$6:$G$13997,"Свега за програмску активност 0701-0001:",'ПО КОРИСНИЦИМА'!$I$6:$I$13997)</f>
        <v>0</v>
      </c>
      <c r="G195" s="718">
        <f t="shared" si="13"/>
        <v>2200000</v>
      </c>
      <c r="H195" s="721"/>
    </row>
    <row r="196" spans="1:8">
      <c r="A196" s="691"/>
      <c r="B196" s="699" t="s">
        <v>4482</v>
      </c>
      <c r="C196" s="615" t="s">
        <v>4108</v>
      </c>
      <c r="D196" s="722">
        <f>SUMIF('ПО КОРИСНИЦИМА'!$G$6:$G$13997,"Свега за програмску активност 0701-0002:",'ПО КОРИСНИЦИМА'!$H$6:$H$13997)</f>
        <v>113660000</v>
      </c>
      <c r="E196" s="723">
        <f>IFERROR(D196/$D$599,"-")</f>
        <v>0.23959497782281397</v>
      </c>
      <c r="F196" s="724">
        <f>SUMIF('ПО КОРИСНИЦИМА'!$G$6:$G$13997,"Свега за програмску активност 0701-0002:",'ПО КОРИСНИЦИМА'!$I$6:$I$13997)</f>
        <v>0</v>
      </c>
      <c r="G196" s="722">
        <f t="shared" si="13"/>
        <v>113660000</v>
      </c>
      <c r="H196" s="725"/>
    </row>
    <row r="197" spans="1:8">
      <c r="A197" s="696"/>
      <c r="B197" s="696" t="s">
        <v>4638</v>
      </c>
      <c r="C197" s="610" t="str">
        <f>IFERROR(VLOOKUP(B197,'ПО КОРИСНИЦИМА'!$C$6:$J$13997,5,FALSE),"")</f>
        <v>Саобраћајна инфраструктура у индустријској зони уз државни пут 2.реда</v>
      </c>
      <c r="D197" s="726">
        <f>SUMIF('ПО КОРИСНИЦИМА'!$G$6:$G$13997,"Свега за пројекат 0701-П1:",'ПО КОРИСНИЦИМА'!$H$6:$H$13997)</f>
        <v>250000</v>
      </c>
      <c r="E197" s="723">
        <f>IFERROR(D197/$D$599,"-")</f>
        <v>5.2699933534843825E-4</v>
      </c>
      <c r="F197" s="727">
        <f>SUMIF('ПО КОРИСНИЦИМА'!$G$6:$G$13997,"Свега за пројекат 0701-П1:",'ПО КОРИСНИЦИМА'!$I$6:$I$13997)</f>
        <v>0</v>
      </c>
      <c r="G197" s="722">
        <f t="shared" si="13"/>
        <v>250000</v>
      </c>
      <c r="H197" s="725"/>
    </row>
    <row r="198" spans="1:8">
      <c r="A198" s="696"/>
      <c r="B198" s="696" t="s">
        <v>4639</v>
      </c>
      <c r="C198" s="610" t="str">
        <f>IFERROR(VLOOKUP(B198,'ПО КОРИСНИЦИМА'!$C$6:$J$13997,5,FALSE),"")</f>
        <v>Рехабилитација Косовске улице</v>
      </c>
      <c r="D198" s="726">
        <f>SUMIF('ПО КОРИСНИЦИМА'!$G$6:$G$13997,"Свега за пројекат 0701-П2:",'ПО КОРИСНИЦИМА'!$H$6:$H$13997)</f>
        <v>750000</v>
      </c>
      <c r="E198" s="723">
        <f t="shared" ref="E198:E246" si="14">IFERROR(D198/$D$599,"-")</f>
        <v>1.5809980060453148E-3</v>
      </c>
      <c r="F198" s="727">
        <f>SUMIF('ПО КОРИСНИЦИМА'!$G$6:$G$13997,"Свега за пројекат 0701-П2:",'ПО КОРИСНИЦИМА'!$I$6:$I$13997)</f>
        <v>0</v>
      </c>
      <c r="G198" s="722">
        <f t="shared" si="13"/>
        <v>750000</v>
      </c>
      <c r="H198" s="728"/>
    </row>
    <row r="199" spans="1:8">
      <c r="A199" s="696"/>
      <c r="B199" s="696" t="s">
        <v>4640</v>
      </c>
      <c r="C199" s="610" t="str">
        <f>IFERROR(VLOOKUP(B199,'ПО КОРИСНИЦИМА'!$C$6:$J$13997,5,FALSE),"")</f>
        <v>Рехабилитација Омладинске улице</v>
      </c>
      <c r="D199" s="726">
        <f>SUMIF('ПО КОРИСНИЦИМА'!$G$6:$G$13997,"Свега за пројекат 0701-П3:",'ПО КОРИСНИЦИМА'!$H$6:$H$13997)</f>
        <v>10700000</v>
      </c>
      <c r="E199" s="723">
        <f t="shared" si="14"/>
        <v>2.2555571552913156E-2</v>
      </c>
      <c r="F199" s="727">
        <f>SUMIF('ПО КОРИСНИЦИМА'!$G$6:$G$13997,"Свега за пројекат 0701-П3:",'ПО КОРИСНИЦИМА'!$I$6:$I$13997)</f>
        <v>0</v>
      </c>
      <c r="G199" s="722">
        <f t="shared" si="13"/>
        <v>10700000</v>
      </c>
      <c r="H199" s="728"/>
    </row>
    <row r="200" spans="1:8">
      <c r="A200" s="696"/>
      <c r="B200" s="696" t="s">
        <v>4641</v>
      </c>
      <c r="C200" s="610" t="str">
        <f>IFERROR(VLOOKUP(B200,'ПО КОРИСНИЦИМА'!$C$6:$J$13997,5,FALSE),"")</f>
        <v>Изградња нисконапонске мреже на територији општине Љубовија</v>
      </c>
      <c r="D200" s="726">
        <f>SUMIF('ПО КОРИСНИЦИМА'!$G$6:$G$13997,"Свега за пројекат 0701-П4:",'ПО КОРИСНИЦИМА'!$H$6:$H$13997)</f>
        <v>4500000</v>
      </c>
      <c r="E200" s="723">
        <f t="shared" si="14"/>
        <v>9.485988036271889E-3</v>
      </c>
      <c r="F200" s="727">
        <f>SUMIF('ПО КОРИСНИЦИМА'!$G$6:$G$13997,"Свега за пројекат 0701-П4:",'ПО КОРИСНИЦИМА'!$I$6:$I$13997)</f>
        <v>0</v>
      </c>
      <c r="G200" s="722">
        <f t="shared" si="13"/>
        <v>4500000</v>
      </c>
      <c r="H200" s="728"/>
    </row>
    <row r="201" spans="1:8" ht="14.25" customHeight="1">
      <c r="A201" s="696"/>
      <c r="B201" s="696" t="s">
        <v>4642</v>
      </c>
      <c r="C201" s="610" t="str">
        <f>IFERROR(VLOOKUP(B201,'ПО КОРИСНИЦИМА'!$C$6:$J$13997,5,FALSE),"")</f>
        <v>Реконструкција улице Стојана Чупића</v>
      </c>
      <c r="D201" s="726">
        <f>SUMIF('ПО КОРИСНИЦИМА'!$G$6:$G$13997,"Свега за пројекат 0701-П5:",'ПО КОРИСНИЦИМА'!$H$6:$H$13997)</f>
        <v>15800000</v>
      </c>
      <c r="E201" s="723">
        <f t="shared" si="14"/>
        <v>3.3306357994021298E-2</v>
      </c>
      <c r="F201" s="727">
        <f>SUMIF('ПО КОРИСНИЦИМА'!$G$6:$G$13997,"Свега за пројекат 0701-П5:",'ПО КОРИСНИЦИМА'!$I$6:$I$13997)</f>
        <v>0</v>
      </c>
      <c r="G201" s="722">
        <f t="shared" si="13"/>
        <v>15800000</v>
      </c>
      <c r="H201" s="728"/>
    </row>
    <row r="202" spans="1:8" hidden="1">
      <c r="A202" s="696"/>
      <c r="B202" s="696" t="s">
        <v>4643</v>
      </c>
      <c r="C202" s="610" t="str">
        <f>IFERROR(VLOOKUP(B202,'ПО КОРИСНИЦИМА'!$C$6:$J$13997,5,FALSE),"")</f>
        <v>Омладинска</v>
      </c>
      <c r="D202" s="726">
        <f>SUMIF('ПО КОРИСНИЦИМА'!$G$6:$G$13997,"Свега за пројекат 0701-П6:",'ПО КОРИСНИЦИМА'!$H$6:$H$13997)</f>
        <v>0</v>
      </c>
      <c r="E202" s="723">
        <f t="shared" si="14"/>
        <v>0</v>
      </c>
      <c r="F202" s="727">
        <f>SUMIF('ПО КОРИСНИЦИМА'!$G$6:$G$13997,"Свега за пројекат 0701-П6:",'ПО КОРИСНИЦИМА'!$I$6:$I$13997)</f>
        <v>0</v>
      </c>
      <c r="G202" s="722">
        <f t="shared" si="13"/>
        <v>0</v>
      </c>
      <c r="H202" s="728"/>
    </row>
    <row r="203" spans="1:8" hidden="1">
      <c r="A203" s="696"/>
      <c r="B203" s="696" t="s">
        <v>4644</v>
      </c>
      <c r="C203" s="610" t="str">
        <f>IFERROR(VLOOKUP(B203,'ПО КОРИСНИЦИМА'!$C$6:$J$13997,5,FALSE),"")</f>
        <v>Омладинска</v>
      </c>
      <c r="D203" s="726">
        <f>SUMIF('ПО КОРИСНИЦИМА'!$G$6:$G$13997,"Свега за пројекат 0701-П7:",'ПО КОРИСНИЦИМА'!$H$6:$H$13997)</f>
        <v>0</v>
      </c>
      <c r="E203" s="723">
        <f t="shared" si="14"/>
        <v>0</v>
      </c>
      <c r="F203" s="727">
        <f>SUMIF('ПО КОРИСНИЦИМА'!$G$6:$G$13997,"Свега за пројекат 0701-П7:",'ПО КОРИСНИЦИМА'!$I$6:$I$13997)</f>
        <v>0</v>
      </c>
      <c r="G203" s="722">
        <f t="shared" si="13"/>
        <v>0</v>
      </c>
      <c r="H203" s="728"/>
    </row>
    <row r="204" spans="1:8" hidden="1">
      <c r="A204" s="696"/>
      <c r="B204" s="696" t="s">
        <v>4645</v>
      </c>
      <c r="C204" s="610" t="str">
        <f>IFERROR(VLOOKUP(B204,'ПО КОРИСНИЦИМА'!$C$6:$J$13997,5,FALSE),"")</f>
        <v>Омладинска</v>
      </c>
      <c r="D204" s="726">
        <f>SUMIF('ПО КОРИСНИЦИМА'!$G$6:$G$13997,"Свега за пројекат 0701-П8:",'ПО КОРИСНИЦИМА'!$H$6:$H$13997)</f>
        <v>0</v>
      </c>
      <c r="E204" s="723">
        <f t="shared" si="14"/>
        <v>0</v>
      </c>
      <c r="F204" s="727">
        <f>SUMIF('ПО КОРИСНИЦИМА'!$G$6:$G$13997,"Свега за пројекат 0701-П8:",'ПО КОРИСНИЦИМА'!$I$6:$I$13997)</f>
        <v>0</v>
      </c>
      <c r="G204" s="722">
        <f t="shared" si="13"/>
        <v>0</v>
      </c>
      <c r="H204" s="728"/>
    </row>
    <row r="205" spans="1:8" hidden="1">
      <c r="A205" s="696"/>
      <c r="B205" s="696" t="s">
        <v>4646</v>
      </c>
      <c r="C205" s="610" t="str">
        <f>IFERROR(VLOOKUP(B205,'ПО КОРИСНИЦИМА'!$C$6:$J$13997,5,FALSE),"")</f>
        <v>Омладинска</v>
      </c>
      <c r="D205" s="726">
        <f>SUMIF('ПО КОРИСНИЦИМА'!$G$6:$G$13997,"Свега за пројекат 0701-П9:",'ПО КОРИСНИЦИМА'!$H$6:$H$13997)</f>
        <v>0</v>
      </c>
      <c r="E205" s="723">
        <f t="shared" si="14"/>
        <v>0</v>
      </c>
      <c r="F205" s="727">
        <f>SUMIF('ПО КОРИСНИЦИМА'!$G$6:$G$13997,"Свега за пројекат 0701-П9:",'ПО КОРИСНИЦИМА'!$I$6:$I$13997)</f>
        <v>0</v>
      </c>
      <c r="G205" s="722">
        <f t="shared" si="13"/>
        <v>0</v>
      </c>
      <c r="H205" s="728"/>
    </row>
    <row r="206" spans="1:8" hidden="1">
      <c r="A206" s="696"/>
      <c r="B206" s="696" t="s">
        <v>4647</v>
      </c>
      <c r="C206" s="610" t="str">
        <f>IFERROR(VLOOKUP(B206,'ПО КОРИСНИЦИМА'!$C$6:$J$13997,5,FALSE),"")</f>
        <v/>
      </c>
      <c r="D206" s="726">
        <f>SUMIF('ПО КОРИСНИЦИМА'!$G$6:$G$13997,"Свега за пројекат 0701-П10:",'ПО КОРИСНИЦИМА'!$H$6:$H$13997)</f>
        <v>0</v>
      </c>
      <c r="E206" s="723">
        <f t="shared" si="14"/>
        <v>0</v>
      </c>
      <c r="F206" s="727">
        <f>SUMIF('ПО КОРИСНИЦИМА'!$G$6:$G$13997,"Свега за пројекат 0701-П10:",'ПО КОРИСНИЦИМА'!$I$6:$I$13997)</f>
        <v>0</v>
      </c>
      <c r="G206" s="722">
        <f t="shared" si="13"/>
        <v>0</v>
      </c>
      <c r="H206" s="728"/>
    </row>
    <row r="207" spans="1:8" hidden="1">
      <c r="A207" s="696"/>
      <c r="B207" s="696" t="s">
        <v>4648</v>
      </c>
      <c r="C207" s="610" t="str">
        <f>IFERROR(VLOOKUP(B207,'ПО КОРИСНИЦИМА'!$C$6:$J$13997,5,FALSE),"")</f>
        <v/>
      </c>
      <c r="D207" s="726">
        <f>SUMIF('ПО КОРИСНИЦИМА'!$G$6:$G$13997,"Свега за пројекат 0701-П11:",'ПО КОРИСНИЦИМА'!$H$6:$H$13997)</f>
        <v>0</v>
      </c>
      <c r="E207" s="723">
        <f t="shared" si="14"/>
        <v>0</v>
      </c>
      <c r="F207" s="727">
        <f>SUMIF('ПО КОРИСНИЦИМА'!$G$6:$G$13997,"Свега за пројекат 0701-П11:",'ПО КОРИСНИЦИМА'!$I$6:$I$13997)</f>
        <v>0</v>
      </c>
      <c r="G207" s="722">
        <f t="shared" si="13"/>
        <v>0</v>
      </c>
      <c r="H207" s="728"/>
    </row>
    <row r="208" spans="1:8" hidden="1">
      <c r="A208" s="696"/>
      <c r="B208" s="696" t="s">
        <v>4649</v>
      </c>
      <c r="C208" s="610" t="str">
        <f>IFERROR(VLOOKUP(B208,'ПО КОРИСНИЦИМА'!$C$6:$J$13997,5,FALSE),"")</f>
        <v/>
      </c>
      <c r="D208" s="726">
        <f>SUMIF('ПО КОРИСНИЦИМА'!$G$6:$G$13997,"Свега за пројекат 0701-П12:",'ПО КОРИСНИЦИМА'!$H$6:$H$13997)</f>
        <v>0</v>
      </c>
      <c r="E208" s="723">
        <f t="shared" si="14"/>
        <v>0</v>
      </c>
      <c r="F208" s="727">
        <f>SUMIF('ПО КОРИСНИЦИМА'!$G$6:$G$13997,"Свега за пројекат 0701-П12:",'ПО КОРИСНИЦИМА'!$I$6:$I$13997)</f>
        <v>0</v>
      </c>
      <c r="G208" s="722">
        <f t="shared" si="13"/>
        <v>0</v>
      </c>
      <c r="H208" s="728"/>
    </row>
    <row r="209" spans="1:8" hidden="1">
      <c r="A209" s="696"/>
      <c r="B209" s="696" t="s">
        <v>4650</v>
      </c>
      <c r="C209" s="610" t="str">
        <f>IFERROR(VLOOKUP(B209,'ПО КОРИСНИЦИМА'!$C$6:$J$13997,5,FALSE),"")</f>
        <v/>
      </c>
      <c r="D209" s="726">
        <f>SUMIF('ПО КОРИСНИЦИМА'!$G$6:$G$13997,"Свега за пројекат 0701-П13:",'ПО КОРИСНИЦИМА'!$H$6:$H$13997)</f>
        <v>0</v>
      </c>
      <c r="E209" s="723">
        <f t="shared" si="14"/>
        <v>0</v>
      </c>
      <c r="F209" s="727">
        <f>SUMIF('ПО КОРИСНИЦИМА'!$G$6:$G$13997,"Свега за пројекат 0701-П13:",'ПО КОРИСНИЦИМА'!$I$6:$I$13997)</f>
        <v>0</v>
      </c>
      <c r="G209" s="722">
        <f t="shared" si="13"/>
        <v>0</v>
      </c>
      <c r="H209" s="728"/>
    </row>
    <row r="210" spans="1:8" hidden="1">
      <c r="A210" s="696"/>
      <c r="B210" s="696" t="s">
        <v>4651</v>
      </c>
      <c r="C210" s="610" t="str">
        <f>IFERROR(VLOOKUP(B210,'ПО КОРИСНИЦИМА'!$C$6:$J$13997,5,FALSE),"")</f>
        <v/>
      </c>
      <c r="D210" s="726">
        <f>SUMIF('ПО КОРИСНИЦИМА'!$G$6:$G$13997,"Свега за пројекат 0701-П14:",'ПО КОРИСНИЦИМА'!$H$6:$H$13997)</f>
        <v>0</v>
      </c>
      <c r="E210" s="723">
        <f t="shared" si="14"/>
        <v>0</v>
      </c>
      <c r="F210" s="727">
        <f>SUMIF('ПО КОРИСНИЦИМА'!$G$6:$G$13997,"Свега за пројекат 0701-П14:",'ПО КОРИСНИЦИМА'!$I$6:$I$13997)</f>
        <v>0</v>
      </c>
      <c r="G210" s="722">
        <f t="shared" si="13"/>
        <v>0</v>
      </c>
      <c r="H210" s="728"/>
    </row>
    <row r="211" spans="1:8" hidden="1">
      <c r="A211" s="696"/>
      <c r="B211" s="696" t="s">
        <v>4652</v>
      </c>
      <c r="C211" s="610" t="str">
        <f>IFERROR(VLOOKUP(B211,'ПО КОРИСНИЦИМА'!$C$6:$J$13997,5,FALSE),"")</f>
        <v/>
      </c>
      <c r="D211" s="726">
        <f>SUMIF('ПО КОРИСНИЦИМА'!$G$6:$G$13997,"Свега за пројекат 0701-П15:",'ПО КОРИСНИЦИМА'!$H$6:$H$13997)</f>
        <v>0</v>
      </c>
      <c r="E211" s="723">
        <f t="shared" si="14"/>
        <v>0</v>
      </c>
      <c r="F211" s="727">
        <f>SUMIF('ПО КОРИСНИЦИМА'!$G$6:$G$13997,"Свега за пројекат 0701-П15:",'ПО КОРИСНИЦИМА'!$I$6:$I$13997)</f>
        <v>0</v>
      </c>
      <c r="G211" s="722">
        <f t="shared" si="13"/>
        <v>0</v>
      </c>
      <c r="H211" s="728"/>
    </row>
    <row r="212" spans="1:8" hidden="1">
      <c r="A212" s="696"/>
      <c r="B212" s="696" t="s">
        <v>4653</v>
      </c>
      <c r="C212" s="610" t="str">
        <f>IFERROR(VLOOKUP(B212,'ПО КОРИСНИЦИМА'!$C$6:$J$13997,5,FALSE),"")</f>
        <v/>
      </c>
      <c r="D212" s="726">
        <f>SUMIF('ПО КОРИСНИЦИМА'!$G$6:$G$13997,"Свега за пројекат 0701-П16:",'ПО КОРИСНИЦИМА'!$H$6:$H$13997)</f>
        <v>0</v>
      </c>
      <c r="E212" s="723">
        <f t="shared" si="14"/>
        <v>0</v>
      </c>
      <c r="F212" s="727">
        <f>SUMIF('ПО КОРИСНИЦИМА'!$G$6:$G$13997,"Свега за пројекат 0701-П16:",'ПО КОРИСНИЦИМА'!$I$6:$I$13997)</f>
        <v>0</v>
      </c>
      <c r="G212" s="722">
        <f t="shared" si="13"/>
        <v>0</v>
      </c>
      <c r="H212" s="728"/>
    </row>
    <row r="213" spans="1:8" hidden="1">
      <c r="A213" s="696"/>
      <c r="B213" s="696" t="s">
        <v>4654</v>
      </c>
      <c r="C213" s="610" t="str">
        <f>IFERROR(VLOOKUP(B213,'ПО КОРИСНИЦИМА'!$C$6:$J$13997,5,FALSE),"")</f>
        <v/>
      </c>
      <c r="D213" s="726">
        <f>SUMIF('ПО КОРИСНИЦИМА'!$G$6:$G$13997,"Свега за пројекат 0701-П17:",'ПО КОРИСНИЦИМА'!$H$6:$H$13997)</f>
        <v>0</v>
      </c>
      <c r="E213" s="723">
        <f t="shared" si="14"/>
        <v>0</v>
      </c>
      <c r="F213" s="727">
        <f>SUMIF('ПО КОРИСНИЦИМА'!$G$6:$G$13997,"Свега за пројекат 0701-П17:",'ПО КОРИСНИЦИМА'!$I$6:$I$13997)</f>
        <v>0</v>
      </c>
      <c r="G213" s="722">
        <f t="shared" si="13"/>
        <v>0</v>
      </c>
      <c r="H213" s="728"/>
    </row>
    <row r="214" spans="1:8" hidden="1">
      <c r="A214" s="696"/>
      <c r="B214" s="696" t="s">
        <v>4655</v>
      </c>
      <c r="C214" s="610" t="str">
        <f>IFERROR(VLOOKUP(B214,'ПО КОРИСНИЦИМА'!$C$6:$J$13997,5,FALSE),"")</f>
        <v/>
      </c>
      <c r="D214" s="726">
        <f>SUMIF('ПО КОРИСНИЦИМА'!$G$6:$G$13997,"Свега за пројекат 0701-П18:",'ПО КОРИСНИЦИМА'!$H$6:$H$13997)</f>
        <v>0</v>
      </c>
      <c r="E214" s="723">
        <f t="shared" si="14"/>
        <v>0</v>
      </c>
      <c r="F214" s="727">
        <f>SUMIF('ПО КОРИСНИЦИМА'!$G$6:$G$13997,"Свега за пројекат 0701-П18:",'ПО КОРИСНИЦИМА'!$I$6:$I$13997)</f>
        <v>0</v>
      </c>
      <c r="G214" s="722">
        <f t="shared" si="13"/>
        <v>0</v>
      </c>
      <c r="H214" s="728"/>
    </row>
    <row r="215" spans="1:8" hidden="1">
      <c r="A215" s="696"/>
      <c r="B215" s="696" t="s">
        <v>4656</v>
      </c>
      <c r="C215" s="610" t="str">
        <f>IFERROR(VLOOKUP(B215,'ПО КОРИСНИЦИМА'!$C$6:$J$13997,5,FALSE),"")</f>
        <v/>
      </c>
      <c r="D215" s="726">
        <f>SUMIF('ПО КОРИСНИЦИМА'!$G$6:$G$13997,"Свега за пројекат 0701-П19:",'ПО КОРИСНИЦИМА'!$H$6:$H$13997)</f>
        <v>0</v>
      </c>
      <c r="E215" s="723">
        <f t="shared" si="14"/>
        <v>0</v>
      </c>
      <c r="F215" s="727">
        <f>SUMIF('ПО КОРИСНИЦИМА'!$G$6:$G$13997,"Свега за пројекат 0701-П19:",'ПО КОРИСНИЦИМА'!$I$6:$I$13997)</f>
        <v>0</v>
      </c>
      <c r="G215" s="722">
        <f t="shared" si="13"/>
        <v>0</v>
      </c>
      <c r="H215" s="728"/>
    </row>
    <row r="216" spans="1:8" hidden="1">
      <c r="A216" s="696"/>
      <c r="B216" s="696" t="s">
        <v>4657</v>
      </c>
      <c r="C216" s="610" t="str">
        <f>IFERROR(VLOOKUP(B216,'ПО КОРИСНИЦИМА'!$C$6:$J$13997,5,FALSE),"")</f>
        <v/>
      </c>
      <c r="D216" s="726">
        <f>SUMIF('ПО КОРИСНИЦИМА'!$G$6:$G$13997,"Свега за пројекат 0701-П20:",'ПО КОРИСНИЦИМА'!$H$6:$H$13997)</f>
        <v>0</v>
      </c>
      <c r="E216" s="723">
        <f t="shared" si="14"/>
        <v>0</v>
      </c>
      <c r="F216" s="727">
        <f>SUMIF('ПО КОРИСНИЦИМА'!$G$6:$G$13997,"Свега за пројекат 0701-П20:",'ПО КОРИСНИЦИМА'!$I$6:$I$13997)</f>
        <v>0</v>
      </c>
      <c r="G216" s="722">
        <f t="shared" si="13"/>
        <v>0</v>
      </c>
      <c r="H216" s="728"/>
    </row>
    <row r="217" spans="1:8" hidden="1">
      <c r="A217" s="696"/>
      <c r="B217" s="696" t="s">
        <v>4658</v>
      </c>
      <c r="C217" s="610" t="str">
        <f>IFERROR(VLOOKUP(B217,'ПО КОРИСНИЦИМА'!$C$6:$J$13997,5,FALSE),"")</f>
        <v/>
      </c>
      <c r="D217" s="726">
        <f>SUMIF('ПО КОРИСНИЦИМА'!$G$6:$G$13997,"Свега за пројекат 0701-П21:",'ПО КОРИСНИЦИМА'!$H$6:$H$13997)</f>
        <v>0</v>
      </c>
      <c r="E217" s="723">
        <f t="shared" si="14"/>
        <v>0</v>
      </c>
      <c r="F217" s="727">
        <f>SUMIF('ПО КОРИСНИЦИМА'!$G$6:$G$13997,"Свега за пројекат 0701-П21:",'ПО КОРИСНИЦИМА'!$I$6:$I$13997)</f>
        <v>0</v>
      </c>
      <c r="G217" s="722">
        <f t="shared" si="13"/>
        <v>0</v>
      </c>
      <c r="H217" s="728"/>
    </row>
    <row r="218" spans="1:8" hidden="1">
      <c r="A218" s="696"/>
      <c r="B218" s="696" t="s">
        <v>4659</v>
      </c>
      <c r="C218" s="610" t="str">
        <f>IFERROR(VLOOKUP(B218,'ПО КОРИСНИЦИМА'!$C$6:$J$13997,5,FALSE),"")</f>
        <v/>
      </c>
      <c r="D218" s="726">
        <f>SUMIF('ПО КОРИСНИЦИМА'!$G$6:$G$13997,"Свега за пројекат 0701-П22:",'ПО КОРИСНИЦИМА'!$H$6:$H$13997)</f>
        <v>0</v>
      </c>
      <c r="E218" s="723">
        <f t="shared" si="14"/>
        <v>0</v>
      </c>
      <c r="F218" s="727">
        <f>SUMIF('ПО КОРИСНИЦИМА'!$G$6:$G$13997,"Свега за пројекат 0701-П22:",'ПО КОРИСНИЦИМА'!$I$6:$I$13997)</f>
        <v>0</v>
      </c>
      <c r="G218" s="722">
        <f t="shared" si="13"/>
        <v>0</v>
      </c>
      <c r="H218" s="728"/>
    </row>
    <row r="219" spans="1:8" hidden="1">
      <c r="A219" s="696"/>
      <c r="B219" s="696" t="s">
        <v>4660</v>
      </c>
      <c r="C219" s="610" t="str">
        <f>IFERROR(VLOOKUP(B219,'ПО КОРИСНИЦИМА'!$C$6:$J$13997,5,FALSE),"")</f>
        <v/>
      </c>
      <c r="D219" s="726">
        <f>SUMIF('ПО КОРИСНИЦИМА'!$G$6:$G$13997,"Свега за пројекат 0701-П23:",'ПО КОРИСНИЦИМА'!$H$6:$H$13997)</f>
        <v>0</v>
      </c>
      <c r="E219" s="723">
        <f t="shared" si="14"/>
        <v>0</v>
      </c>
      <c r="F219" s="727">
        <f>SUMIF('ПО КОРИСНИЦИМА'!$G$6:$G$13997,"Свега за пројекат 0701-П23:",'ПО КОРИСНИЦИМА'!$I$6:$I$13997)</f>
        <v>0</v>
      </c>
      <c r="G219" s="722">
        <f t="shared" si="13"/>
        <v>0</v>
      </c>
      <c r="H219" s="728"/>
    </row>
    <row r="220" spans="1:8" hidden="1">
      <c r="A220" s="696"/>
      <c r="B220" s="696" t="s">
        <v>4661</v>
      </c>
      <c r="C220" s="610" t="str">
        <f>IFERROR(VLOOKUP(B220,'ПО КОРИСНИЦИМА'!$C$6:$J$13997,5,FALSE),"")</f>
        <v/>
      </c>
      <c r="D220" s="726">
        <f>SUMIF('ПО КОРИСНИЦИМА'!$G$6:$G$13997,"Свега за пројекат 0701-П24:",'ПО КОРИСНИЦИМА'!$H$6:$H$13997)</f>
        <v>0</v>
      </c>
      <c r="E220" s="723">
        <f t="shared" si="14"/>
        <v>0</v>
      </c>
      <c r="F220" s="727">
        <f>SUMIF('ПО КОРИСНИЦИМА'!$G$6:$G$13997,"Свега за пројекат 0701-П24:",'ПО КОРИСНИЦИМА'!$I$6:$I$13997)</f>
        <v>0</v>
      </c>
      <c r="G220" s="722">
        <f t="shared" si="13"/>
        <v>0</v>
      </c>
      <c r="H220" s="728"/>
    </row>
    <row r="221" spans="1:8" hidden="1">
      <c r="A221" s="696"/>
      <c r="B221" s="696" t="s">
        <v>4662</v>
      </c>
      <c r="C221" s="610" t="str">
        <f>IFERROR(VLOOKUP(B221,'ПО КОРИСНИЦИМА'!$C$6:$J$13997,5,FALSE),"")</f>
        <v/>
      </c>
      <c r="D221" s="726">
        <f>SUMIF('ПО КОРИСНИЦИМА'!$G$6:$G$13997,"Свега за пројекат 0701-П25:",'ПО КОРИСНИЦИМА'!$H$6:$H$13997)</f>
        <v>0</v>
      </c>
      <c r="E221" s="723">
        <f t="shared" si="14"/>
        <v>0</v>
      </c>
      <c r="F221" s="727">
        <f>SUMIF('ПО КОРИСНИЦИМА'!$G$6:$G$13997,"Свега за пројекат 0701-П25:",'ПО КОРИСНИЦИМА'!$I$6:$I$13997)</f>
        <v>0</v>
      </c>
      <c r="G221" s="722">
        <f t="shared" si="13"/>
        <v>0</v>
      </c>
      <c r="H221" s="728"/>
    </row>
    <row r="222" spans="1:8" hidden="1">
      <c r="A222" s="696"/>
      <c r="B222" s="696" t="s">
        <v>4663</v>
      </c>
      <c r="C222" s="610" t="str">
        <f>IFERROR(VLOOKUP(B222,'ПО КОРИСНИЦИМА'!$C$6:$J$13997,5,FALSE),"")</f>
        <v/>
      </c>
      <c r="D222" s="726">
        <f>SUMIF('ПО КОРИСНИЦИМА'!$G$6:$G$13997,"Свега за пројекат 0701-П26:",'ПО КОРИСНИЦИМА'!$H$6:$H$13997)</f>
        <v>0</v>
      </c>
      <c r="E222" s="723">
        <f t="shared" si="14"/>
        <v>0</v>
      </c>
      <c r="F222" s="727">
        <f>SUMIF('ПО КОРИСНИЦИМА'!$G$6:$G$13997,"Свега за пројекат 0701-П26:",'ПО КОРИСНИЦИМА'!$I$6:$I$13997)</f>
        <v>0</v>
      </c>
      <c r="G222" s="722">
        <f t="shared" si="13"/>
        <v>0</v>
      </c>
      <c r="H222" s="728"/>
    </row>
    <row r="223" spans="1:8" hidden="1">
      <c r="A223" s="696"/>
      <c r="B223" s="696" t="s">
        <v>4664</v>
      </c>
      <c r="C223" s="610" t="str">
        <f>IFERROR(VLOOKUP(B223,'ПО КОРИСНИЦИМА'!$C$6:$J$13997,5,FALSE),"")</f>
        <v/>
      </c>
      <c r="D223" s="726">
        <f>SUMIF('ПО КОРИСНИЦИМА'!$G$6:$G$13997,"Свега за пројекат 0701-П27:",'ПО КОРИСНИЦИМА'!$H$6:$H$13997)</f>
        <v>0</v>
      </c>
      <c r="E223" s="723">
        <f t="shared" si="14"/>
        <v>0</v>
      </c>
      <c r="F223" s="727">
        <f>SUMIF('ПО КОРИСНИЦИМА'!$G$6:$G$13997,"Свега за пројекат 0701-П27:",'ПО КОРИСНИЦИМА'!$I$6:$I$13997)</f>
        <v>0</v>
      </c>
      <c r="G223" s="722">
        <f t="shared" si="13"/>
        <v>0</v>
      </c>
      <c r="H223" s="728"/>
    </row>
    <row r="224" spans="1:8" hidden="1">
      <c r="A224" s="696"/>
      <c r="B224" s="696" t="s">
        <v>4665</v>
      </c>
      <c r="C224" s="610" t="str">
        <f>IFERROR(VLOOKUP(B224,'ПО КОРИСНИЦИМА'!$C$6:$J$13997,5,FALSE),"")</f>
        <v/>
      </c>
      <c r="D224" s="726">
        <f>SUMIF('ПО КОРИСНИЦИМА'!$G$6:$G$13997,"Свега за пројекат 0701-П28:",'ПО КОРИСНИЦИМА'!$H$6:$H$13997)</f>
        <v>0</v>
      </c>
      <c r="E224" s="723">
        <f t="shared" si="14"/>
        <v>0</v>
      </c>
      <c r="F224" s="727">
        <f>SUMIF('ПО КОРИСНИЦИМА'!$G$6:$G$13997,"Свега за пројекат 0701-П28:",'ПО КОРИСНИЦИМА'!$I$6:$I$13997)</f>
        <v>0</v>
      </c>
      <c r="G224" s="722">
        <f t="shared" si="13"/>
        <v>0</v>
      </c>
      <c r="H224" s="728"/>
    </row>
    <row r="225" spans="1:8" hidden="1">
      <c r="A225" s="696"/>
      <c r="B225" s="696" t="s">
        <v>4666</v>
      </c>
      <c r="C225" s="610" t="str">
        <f>IFERROR(VLOOKUP(B225,'ПО КОРИСНИЦИМА'!$C$6:$J$13997,5,FALSE),"")</f>
        <v/>
      </c>
      <c r="D225" s="726">
        <f>SUMIF('ПО КОРИСНИЦИМА'!$G$6:$G$13997,"Свега за пројекат 0701-П29:",'ПО КОРИСНИЦИМА'!$H$6:$H$13997)</f>
        <v>0</v>
      </c>
      <c r="E225" s="723">
        <f t="shared" si="14"/>
        <v>0</v>
      </c>
      <c r="F225" s="727">
        <f>SUMIF('ПО КОРИСНИЦИМА'!$G$6:$G$13997,"Свега за пројекат 0701-П29:",'ПО КОРИСНИЦИМА'!$I$6:$I$13997)</f>
        <v>0</v>
      </c>
      <c r="G225" s="722">
        <f t="shared" si="13"/>
        <v>0</v>
      </c>
      <c r="H225" s="728"/>
    </row>
    <row r="226" spans="1:8" hidden="1">
      <c r="A226" s="696"/>
      <c r="B226" s="696" t="s">
        <v>4667</v>
      </c>
      <c r="C226" s="610" t="str">
        <f>IFERROR(VLOOKUP(B226,'ПО КОРИСНИЦИМА'!$C$6:$J$13997,5,FALSE),"")</f>
        <v/>
      </c>
      <c r="D226" s="726">
        <f>SUMIF('ПО КОРИСНИЦИМА'!$G$6:$G$13997,"Свега за пројекат 0701-П30:",'ПО КОРИСНИЦИМА'!$H$6:$H$13997)</f>
        <v>0</v>
      </c>
      <c r="E226" s="723">
        <f t="shared" si="14"/>
        <v>0</v>
      </c>
      <c r="F226" s="727">
        <f>SUMIF('ПО КОРИСНИЦИМА'!$G$6:$G$13997,"Свега за пројекат 0701-П30:",'ПО КОРИСНИЦИМА'!$I$6:$I$13997)</f>
        <v>0</v>
      </c>
      <c r="G226" s="722">
        <f t="shared" si="13"/>
        <v>0</v>
      </c>
      <c r="H226" s="728"/>
    </row>
    <row r="227" spans="1:8" hidden="1">
      <c r="A227" s="696"/>
      <c r="B227" s="696" t="s">
        <v>4668</v>
      </c>
      <c r="C227" s="610" t="str">
        <f>IFERROR(VLOOKUP(B227,'ПО КОРИСНИЦИМА'!$C$6:$J$13997,5,FALSE),"")</f>
        <v/>
      </c>
      <c r="D227" s="726">
        <f>SUMIF('ПО КОРИСНИЦИМА'!$G$6:$G$13997,"Свега за пројекат 0701-П31:",'ПО КОРИСНИЦИМА'!$H$6:$H$13997)</f>
        <v>0</v>
      </c>
      <c r="E227" s="723">
        <f t="shared" si="14"/>
        <v>0</v>
      </c>
      <c r="F227" s="727">
        <f>SUMIF('ПО КОРИСНИЦИМА'!$G$6:$G$13997,"Свега за пројекат 0701-П31:",'ПО КОРИСНИЦИМА'!$I$6:$I$13997)</f>
        <v>0</v>
      </c>
      <c r="G227" s="722">
        <f t="shared" si="13"/>
        <v>0</v>
      </c>
      <c r="H227" s="728"/>
    </row>
    <row r="228" spans="1:8" hidden="1">
      <c r="A228" s="696"/>
      <c r="B228" s="696" t="s">
        <v>4669</v>
      </c>
      <c r="C228" s="610" t="str">
        <f>IFERROR(VLOOKUP(B228,'ПО КОРИСНИЦИМА'!$C$6:$J$13997,5,FALSE),"")</f>
        <v/>
      </c>
      <c r="D228" s="726">
        <f>SUMIF('ПО КОРИСНИЦИМА'!$G$6:$G$13997,"Свега за пројекат 0701-П32:",'ПО КОРИСНИЦИМА'!$H$6:$H$13997)</f>
        <v>0</v>
      </c>
      <c r="E228" s="723">
        <f t="shared" si="14"/>
        <v>0</v>
      </c>
      <c r="F228" s="727">
        <f>SUMIF('ПО КОРИСНИЦИМА'!$G$6:$G$13997,"Свега за пројекат 0701-П32:",'ПО КОРИСНИЦИМА'!$I$6:$I$13997)</f>
        <v>0</v>
      </c>
      <c r="G228" s="722">
        <f t="shared" si="13"/>
        <v>0</v>
      </c>
      <c r="H228" s="728"/>
    </row>
    <row r="229" spans="1:8" hidden="1">
      <c r="A229" s="696"/>
      <c r="B229" s="696" t="s">
        <v>4670</v>
      </c>
      <c r="C229" s="610" t="str">
        <f>IFERROR(VLOOKUP(B229,'ПО КОРИСНИЦИМА'!$C$6:$J$13997,5,FALSE),"")</f>
        <v/>
      </c>
      <c r="D229" s="726">
        <f>SUMIF('ПО КОРИСНИЦИМА'!$G$6:$G$13997,"Свега за пројекат 0701-П33:",'ПО КОРИСНИЦИМА'!$H$6:$H$13997)</f>
        <v>0</v>
      </c>
      <c r="E229" s="723">
        <f t="shared" si="14"/>
        <v>0</v>
      </c>
      <c r="F229" s="727">
        <f>SUMIF('ПО КОРИСНИЦИМА'!$G$6:$G$13997,"Свега за пројекат 0701-П33:",'ПО КОРИСНИЦИМА'!$I$6:$I$13997)</f>
        <v>0</v>
      </c>
      <c r="G229" s="722">
        <f t="shared" si="13"/>
        <v>0</v>
      </c>
      <c r="H229" s="728"/>
    </row>
    <row r="230" spans="1:8" hidden="1">
      <c r="A230" s="696"/>
      <c r="B230" s="696" t="s">
        <v>4671</v>
      </c>
      <c r="C230" s="610" t="str">
        <f>IFERROR(VLOOKUP(B230,'ПО КОРИСНИЦИМА'!$C$6:$J$13997,5,FALSE),"")</f>
        <v/>
      </c>
      <c r="D230" s="726">
        <f>SUMIF('ПО КОРИСНИЦИМА'!$G$6:$G$13997,"Свега за пројекат 0701-П34:",'ПО КОРИСНИЦИМА'!$H$6:$H$13997)</f>
        <v>0</v>
      </c>
      <c r="E230" s="723">
        <f t="shared" si="14"/>
        <v>0</v>
      </c>
      <c r="F230" s="727">
        <f>SUMIF('ПО КОРИСНИЦИМА'!$G$6:$G$13997,"Свега за пројекат 0701-П34:",'ПО КОРИСНИЦИМА'!$I$6:$I$13997)</f>
        <v>0</v>
      </c>
      <c r="G230" s="722">
        <f t="shared" si="13"/>
        <v>0</v>
      </c>
      <c r="H230" s="728"/>
    </row>
    <row r="231" spans="1:8" hidden="1">
      <c r="A231" s="696"/>
      <c r="B231" s="696" t="s">
        <v>4672</v>
      </c>
      <c r="C231" s="610" t="str">
        <f>IFERROR(VLOOKUP(B231,'ПО КОРИСНИЦИМА'!$C$6:$J$13997,5,FALSE),"")</f>
        <v/>
      </c>
      <c r="D231" s="726">
        <f>SUMIF('ПО КОРИСНИЦИМА'!$G$6:$G$13997,"Свега за пројекат 0701-П35:",'ПО КОРИСНИЦИМА'!$H$6:$H$13997)</f>
        <v>0</v>
      </c>
      <c r="E231" s="723">
        <f t="shared" si="14"/>
        <v>0</v>
      </c>
      <c r="F231" s="727">
        <f>SUMIF('ПО КОРИСНИЦИМА'!$G$6:$G$13997,"Свега за пројекат 0701-П35:",'ПО КОРИСНИЦИМА'!$I$6:$I$13997)</f>
        <v>0</v>
      </c>
      <c r="G231" s="722">
        <f t="shared" si="13"/>
        <v>0</v>
      </c>
      <c r="H231" s="728"/>
    </row>
    <row r="232" spans="1:8" hidden="1">
      <c r="A232" s="696"/>
      <c r="B232" s="696" t="s">
        <v>4673</v>
      </c>
      <c r="C232" s="610" t="str">
        <f>IFERROR(VLOOKUP(B232,'ПО КОРИСНИЦИМА'!$C$6:$J$13997,5,FALSE),"")</f>
        <v/>
      </c>
      <c r="D232" s="726">
        <f>SUMIF('ПО КОРИСНИЦИМА'!$G$6:$G$13997,"Свега за пројекат 0701-П36:",'ПО КОРИСНИЦИМА'!$H$6:$H$13997)</f>
        <v>0</v>
      </c>
      <c r="E232" s="723">
        <f t="shared" si="14"/>
        <v>0</v>
      </c>
      <c r="F232" s="727">
        <f>SUMIF('ПО КОРИСНИЦИМА'!$G$6:$G$13997,"Свега за пројекат 0701-П36:",'ПО КОРИСНИЦИМА'!$I$6:$I$13997)</f>
        <v>0</v>
      </c>
      <c r="G232" s="722">
        <f t="shared" si="13"/>
        <v>0</v>
      </c>
      <c r="H232" s="728"/>
    </row>
    <row r="233" spans="1:8" hidden="1">
      <c r="A233" s="696"/>
      <c r="B233" s="696" t="s">
        <v>4674</v>
      </c>
      <c r="C233" s="610" t="str">
        <f>IFERROR(VLOOKUP(B233,'ПО КОРИСНИЦИМА'!$C$6:$J$13997,5,FALSE),"")</f>
        <v/>
      </c>
      <c r="D233" s="726">
        <f>SUMIF('ПО КОРИСНИЦИМА'!$G$6:$G$13997,"Свега за пројекат 0701-П37:",'ПО КОРИСНИЦИМА'!$H$6:$H$13997)</f>
        <v>0</v>
      </c>
      <c r="E233" s="723">
        <f t="shared" si="14"/>
        <v>0</v>
      </c>
      <c r="F233" s="727">
        <f>SUMIF('ПО КОРИСНИЦИМА'!$G$6:$G$13997,"Свега за пројекат 0701-П37:",'ПО КОРИСНИЦИМА'!$I$6:$I$13997)</f>
        <v>0</v>
      </c>
      <c r="G233" s="722">
        <f t="shared" si="13"/>
        <v>0</v>
      </c>
      <c r="H233" s="728"/>
    </row>
    <row r="234" spans="1:8" hidden="1">
      <c r="A234" s="696"/>
      <c r="B234" s="696" t="s">
        <v>4675</v>
      </c>
      <c r="C234" s="610" t="str">
        <f>IFERROR(VLOOKUP(B234,'ПО КОРИСНИЦИМА'!$C$6:$J$13997,5,FALSE),"")</f>
        <v/>
      </c>
      <c r="D234" s="726">
        <f>SUMIF('ПО КОРИСНИЦИМА'!$G$6:$G$13997,"Свега за пројекат 0701-П38:",'ПО КОРИСНИЦИМА'!$H$6:$H$13997)</f>
        <v>0</v>
      </c>
      <c r="E234" s="723">
        <f t="shared" si="14"/>
        <v>0</v>
      </c>
      <c r="F234" s="727">
        <f>SUMIF('ПО КОРИСНИЦИМА'!$G$6:$G$13997,"Свега за пројекат 0701-П38:",'ПО КОРИСНИЦИМА'!$I$6:$I$13997)</f>
        <v>0</v>
      </c>
      <c r="G234" s="722">
        <f t="shared" si="13"/>
        <v>0</v>
      </c>
      <c r="H234" s="728"/>
    </row>
    <row r="235" spans="1:8" hidden="1">
      <c r="A235" s="696"/>
      <c r="B235" s="696" t="s">
        <v>4676</v>
      </c>
      <c r="C235" s="610" t="str">
        <f>IFERROR(VLOOKUP(B235,'ПО КОРИСНИЦИМА'!$C$6:$J$13997,5,FALSE),"")</f>
        <v/>
      </c>
      <c r="D235" s="726">
        <f>SUMIF('ПО КОРИСНИЦИМА'!$G$6:$G$13997,"Свега за пројекат 0701-П39:",'ПО КОРИСНИЦИМА'!$H$6:$H$13997)</f>
        <v>0</v>
      </c>
      <c r="E235" s="723">
        <f t="shared" si="14"/>
        <v>0</v>
      </c>
      <c r="F235" s="727">
        <f>SUMIF('ПО КОРИСНИЦИМА'!$G$6:$G$13997,"Свега за пројекат 0701-П39:",'ПО КОРИСНИЦИМА'!$I$6:$I$13997)</f>
        <v>0</v>
      </c>
      <c r="G235" s="722">
        <f t="shared" si="13"/>
        <v>0</v>
      </c>
      <c r="H235" s="728"/>
    </row>
    <row r="236" spans="1:8" hidden="1">
      <c r="A236" s="696"/>
      <c r="B236" s="696" t="s">
        <v>4677</v>
      </c>
      <c r="C236" s="610" t="str">
        <f>IFERROR(VLOOKUP(B236,'ПО КОРИСНИЦИМА'!$C$6:$J$13997,5,FALSE),"")</f>
        <v/>
      </c>
      <c r="D236" s="726">
        <f>SUMIF('ПО КОРИСНИЦИМА'!$G$6:$G$13997,"Свега за пројекат 0701-П40:",'ПО КОРИСНИЦИМА'!$H$6:$H$13997)</f>
        <v>0</v>
      </c>
      <c r="E236" s="723">
        <f t="shared" si="14"/>
        <v>0</v>
      </c>
      <c r="F236" s="727">
        <f>SUMIF('ПО КОРИСНИЦИМА'!$G$6:$G$13997,"Свега за пројекат 0701-П40:",'ПО КОРИСНИЦИМА'!$I$6:$I$13997)</f>
        <v>0</v>
      </c>
      <c r="G236" s="722">
        <f t="shared" si="13"/>
        <v>0</v>
      </c>
      <c r="H236" s="728"/>
    </row>
    <row r="237" spans="1:8" hidden="1">
      <c r="A237" s="696"/>
      <c r="B237" s="696" t="s">
        <v>4678</v>
      </c>
      <c r="C237" s="610" t="str">
        <f>IFERROR(VLOOKUP(B237,'ПО КОРИСНИЦИМА'!$C$6:$J$13997,5,FALSE),"")</f>
        <v/>
      </c>
      <c r="D237" s="726">
        <f>SUMIF('ПО КОРИСНИЦИМА'!$G$6:$G$13997,"Свега за пројекат 0701-П41:",'ПО КОРИСНИЦИМА'!$H$6:$H$13997)</f>
        <v>0</v>
      </c>
      <c r="E237" s="723">
        <f t="shared" si="14"/>
        <v>0</v>
      </c>
      <c r="F237" s="727">
        <f>SUMIF('ПО КОРИСНИЦИМА'!$G$6:$G$13997,"Свега за пројекат 0701-П41:",'ПО КОРИСНИЦИМА'!$I$6:$I$13997)</f>
        <v>0</v>
      </c>
      <c r="G237" s="722">
        <f t="shared" si="13"/>
        <v>0</v>
      </c>
      <c r="H237" s="728"/>
    </row>
    <row r="238" spans="1:8" hidden="1">
      <c r="A238" s="696"/>
      <c r="B238" s="696" t="s">
        <v>4679</v>
      </c>
      <c r="C238" s="610" t="str">
        <f>IFERROR(VLOOKUP(B238,'ПО КОРИСНИЦИМА'!$C$6:$J$13997,5,FALSE),"")</f>
        <v/>
      </c>
      <c r="D238" s="726">
        <f>SUMIF('ПО КОРИСНИЦИМА'!$G$6:$G$13997,"Свега за пројекат 0701-П42:",'ПО КОРИСНИЦИМА'!$H$6:$H$13997)</f>
        <v>0</v>
      </c>
      <c r="E238" s="723">
        <f t="shared" si="14"/>
        <v>0</v>
      </c>
      <c r="F238" s="727">
        <f>SUMIF('ПО КОРИСНИЦИМА'!$G$6:$G$13997,"Свега за пројекат 0701-П42:",'ПО КОРИСНИЦИМА'!$I$6:$I$13997)</f>
        <v>0</v>
      </c>
      <c r="G238" s="722">
        <f t="shared" si="13"/>
        <v>0</v>
      </c>
      <c r="H238" s="728"/>
    </row>
    <row r="239" spans="1:8" hidden="1">
      <c r="A239" s="696"/>
      <c r="B239" s="696" t="s">
        <v>4680</v>
      </c>
      <c r="C239" s="610" t="str">
        <f>IFERROR(VLOOKUP(B239,'ПО КОРИСНИЦИМА'!$C$6:$J$13997,5,FALSE),"")</f>
        <v/>
      </c>
      <c r="D239" s="726">
        <f>SUMIF('ПО КОРИСНИЦИМА'!$G$6:$G$13997,"Свега за пројекат 0701-П43:",'ПО КОРИСНИЦИМА'!$H$6:$H$13997)</f>
        <v>0</v>
      </c>
      <c r="E239" s="723">
        <f t="shared" si="14"/>
        <v>0</v>
      </c>
      <c r="F239" s="727">
        <f>SUMIF('ПО КОРИСНИЦИМА'!$G$6:$G$13997,"Свега за пројекат 0701-П43:",'ПО КОРИСНИЦИМА'!$I$6:$I$13997)</f>
        <v>0</v>
      </c>
      <c r="G239" s="722">
        <f t="shared" si="13"/>
        <v>0</v>
      </c>
      <c r="H239" s="728"/>
    </row>
    <row r="240" spans="1:8" hidden="1">
      <c r="A240" s="696"/>
      <c r="B240" s="696" t="s">
        <v>4681</v>
      </c>
      <c r="C240" s="610" t="str">
        <f>IFERROR(VLOOKUP(B240,'ПО КОРИСНИЦИМА'!$C$6:$J$13997,5,FALSE),"")</f>
        <v/>
      </c>
      <c r="D240" s="726">
        <f>SUMIF('ПО КОРИСНИЦИМА'!$G$6:$G$13997,"Свега за пројекат 0701-П44:",'ПО КОРИСНИЦИМА'!$H$6:$H$13997)</f>
        <v>0</v>
      </c>
      <c r="E240" s="723">
        <f t="shared" si="14"/>
        <v>0</v>
      </c>
      <c r="F240" s="727">
        <f>SUMIF('ПО КОРИСНИЦИМА'!$G$6:$G$13997,"Свега за пројекат 0701-П44:",'ПО КОРИСНИЦИМА'!$I$6:$I$13997)</f>
        <v>0</v>
      </c>
      <c r="G240" s="722">
        <f t="shared" ref="G240:G246" si="15">D240+F240</f>
        <v>0</v>
      </c>
      <c r="H240" s="728"/>
    </row>
    <row r="241" spans="1:8" hidden="1">
      <c r="A241" s="696"/>
      <c r="B241" s="696" t="s">
        <v>4682</v>
      </c>
      <c r="C241" s="610" t="str">
        <f>IFERROR(VLOOKUP(B241,'ПО КОРИСНИЦИМА'!$C$6:$J$13997,5,FALSE),"")</f>
        <v/>
      </c>
      <c r="D241" s="726">
        <f>SUMIF('ПО КОРИСНИЦИМА'!$G$6:$G$13997,"Свега за пројекат 0701-П45:",'ПО КОРИСНИЦИМА'!$H$6:$H$13997)</f>
        <v>0</v>
      </c>
      <c r="E241" s="723">
        <f t="shared" si="14"/>
        <v>0</v>
      </c>
      <c r="F241" s="727">
        <f>SUMIF('ПО КОРИСНИЦИМА'!$G$6:$G$13997,"Свега за пројекат 0701-П45:",'ПО КОРИСНИЦИМА'!$I$6:$I$13997)</f>
        <v>0</v>
      </c>
      <c r="G241" s="722">
        <f t="shared" si="15"/>
        <v>0</v>
      </c>
      <c r="H241" s="728"/>
    </row>
    <row r="242" spans="1:8" hidden="1">
      <c r="A242" s="696"/>
      <c r="B242" s="696" t="s">
        <v>4683</v>
      </c>
      <c r="C242" s="610" t="str">
        <f>IFERROR(VLOOKUP(B242,'ПО КОРИСНИЦИМА'!$C$6:$J$13997,5,FALSE),"")</f>
        <v/>
      </c>
      <c r="D242" s="726">
        <f>SUMIF('ПО КОРИСНИЦИМА'!$G$6:$G$13997,"Свега за пројекат 0701-П46:",'ПО КОРИСНИЦИМА'!$H$6:$H$13997)</f>
        <v>0</v>
      </c>
      <c r="E242" s="723">
        <f t="shared" si="14"/>
        <v>0</v>
      </c>
      <c r="F242" s="727">
        <f>SUMIF('ПО КОРИСНИЦИМА'!$G$6:$G$13997,"Свега за пројекат 0701-П46:",'ПО КОРИСНИЦИМА'!$I$6:$I$13997)</f>
        <v>0</v>
      </c>
      <c r="G242" s="722">
        <f t="shared" si="15"/>
        <v>0</v>
      </c>
      <c r="H242" s="728"/>
    </row>
    <row r="243" spans="1:8" hidden="1">
      <c r="A243" s="696"/>
      <c r="B243" s="696" t="s">
        <v>4684</v>
      </c>
      <c r="C243" s="610" t="str">
        <f>IFERROR(VLOOKUP(B243,'ПО КОРИСНИЦИМА'!$C$6:$J$13997,5,FALSE),"")</f>
        <v/>
      </c>
      <c r="D243" s="726">
        <f>SUMIF('ПО КОРИСНИЦИМА'!$G$6:$G$13997,"Свега за пројекат 0701-П47:",'ПО КОРИСНИЦИМА'!$H$6:$H$13997)</f>
        <v>0</v>
      </c>
      <c r="E243" s="723">
        <f t="shared" si="14"/>
        <v>0</v>
      </c>
      <c r="F243" s="727">
        <f>SUMIF('ПО КОРИСНИЦИМА'!$G$6:$G$13997,"Свега за пројекат 0701-П47:",'ПО КОРИСНИЦИМА'!$I$6:$I$13997)</f>
        <v>0</v>
      </c>
      <c r="G243" s="722">
        <f t="shared" si="15"/>
        <v>0</v>
      </c>
      <c r="H243" s="728"/>
    </row>
    <row r="244" spans="1:8" hidden="1">
      <c r="A244" s="696"/>
      <c r="B244" s="696" t="s">
        <v>4685</v>
      </c>
      <c r="C244" s="610" t="str">
        <f>IFERROR(VLOOKUP(B244,'ПО КОРИСНИЦИМА'!$C$6:$J$13997,5,FALSE),"")</f>
        <v/>
      </c>
      <c r="D244" s="726">
        <f>SUMIF('ПО КОРИСНИЦИМА'!$G$6:$G$13997,"Свега за пројекат 0701-П48:",'ПО КОРИСНИЦИМА'!$H$6:$H$13997)</f>
        <v>0</v>
      </c>
      <c r="E244" s="723">
        <f t="shared" si="14"/>
        <v>0</v>
      </c>
      <c r="F244" s="727">
        <f>SUMIF('ПО КОРИСНИЦИМА'!$G$6:$G$13997,"Свега за пројекат 0701-П48:",'ПО КОРИСНИЦИМА'!$I$6:$I$13997)</f>
        <v>0</v>
      </c>
      <c r="G244" s="722">
        <f t="shared" si="15"/>
        <v>0</v>
      </c>
      <c r="H244" s="728"/>
    </row>
    <row r="245" spans="1:8" hidden="1">
      <c r="A245" s="696"/>
      <c r="B245" s="696" t="s">
        <v>4686</v>
      </c>
      <c r="C245" s="610" t="str">
        <f>IFERROR(VLOOKUP(B245,'ПО КОРИСНИЦИМА'!$C$6:$J$13997,5,FALSE),"")</f>
        <v/>
      </c>
      <c r="D245" s="726">
        <f>SUMIF('ПО КОРИСНИЦИМА'!$G$6:$G$13997,"Свега за пројекат 0701-П49:",'ПО КОРИСНИЦИМА'!$H$6:$H$13997)</f>
        <v>0</v>
      </c>
      <c r="E245" s="723">
        <f t="shared" si="14"/>
        <v>0</v>
      </c>
      <c r="F245" s="727">
        <f>SUMIF('ПО КОРИСНИЦИМА'!$G$6:$G$13997,"Свега за пројекат 0701-П49:",'ПО КОРИСНИЦИМА'!$I$6:$I$13997)</f>
        <v>0</v>
      </c>
      <c r="G245" s="722">
        <f t="shared" si="15"/>
        <v>0</v>
      </c>
      <c r="H245" s="737"/>
    </row>
    <row r="246" spans="1:8" hidden="1">
      <c r="A246" s="697"/>
      <c r="B246" s="696" t="s">
        <v>4687</v>
      </c>
      <c r="C246" s="610" t="str">
        <f>IFERROR(VLOOKUP(B246,'ПО КОРИСНИЦИМА'!$C$6:$J$13997,5,FALSE),"")</f>
        <v/>
      </c>
      <c r="D246" s="726">
        <f>SUMIF('ПО КОРИСНИЦИМА'!$G$6:$G$13997,"Свега за пројекат 0701-П50:",'ПО КОРИСНИЦИМА'!$H$6:$H$13997)</f>
        <v>0</v>
      </c>
      <c r="E246" s="723">
        <f t="shared" si="14"/>
        <v>0</v>
      </c>
      <c r="F246" s="727">
        <f>SUMIF('ПО КОРИСНИЦИМА'!$G$6:$G$13997,"Свега за пројекат 0701-П50:",'ПО КОРИСНИЦИМА'!$I$6:$I$13997)</f>
        <v>0</v>
      </c>
      <c r="G246" s="722">
        <f t="shared" si="15"/>
        <v>0</v>
      </c>
      <c r="H246" s="738"/>
    </row>
    <row r="247" spans="1:8" s="694" customFormat="1" ht="15" customHeight="1">
      <c r="A247" s="687" t="s">
        <v>3579</v>
      </c>
      <c r="B247" s="688"/>
      <c r="C247" s="608" t="s">
        <v>3672</v>
      </c>
      <c r="D247" s="714">
        <f>SUM(D248:D278)</f>
        <v>18057207</v>
      </c>
      <c r="E247" s="715">
        <f>IFERROR(D247/$D$599,"-")</f>
        <v>3.8064544348996664E-2</v>
      </c>
      <c r="F247" s="716">
        <f>SUM(F248:F278)</f>
        <v>11754011</v>
      </c>
      <c r="G247" s="714">
        <f t="shared" si="13"/>
        <v>29811218</v>
      </c>
      <c r="H247" s="735"/>
    </row>
    <row r="248" spans="1:8">
      <c r="A248" s="689"/>
      <c r="B248" s="698" t="s">
        <v>4337</v>
      </c>
      <c r="C248" s="614" t="s">
        <v>4109</v>
      </c>
      <c r="D248" s="718">
        <f>SUMIF('ПО КОРИСНИЦИМА'!$G$6:$G$13997,"Свега за програмску активност 2001-0001:",'ПО КОРИСНИЦИМА'!$H$6:$H$13997)</f>
        <v>16948611</v>
      </c>
      <c r="E248" s="719">
        <f>IFERROR(D248/$D$599,"-")</f>
        <v>3.5727626928316915E-2</v>
      </c>
      <c r="F248" s="720">
        <f>SUMIF('ПО КОРИСНИЦИМА'!$G$6:$G$13997,"Свега за програмску активност 2001-0001:",'ПО КОРИСНИЦИМА'!$I$6:$I$13997)</f>
        <v>11617443</v>
      </c>
      <c r="G248" s="718">
        <f t="shared" si="13"/>
        <v>28566054</v>
      </c>
      <c r="H248" s="739"/>
    </row>
    <row r="249" spans="1:8">
      <c r="A249" s="696"/>
      <c r="B249" s="696" t="s">
        <v>4688</v>
      </c>
      <c r="C249" s="610" t="str">
        <f>IFERROR(VLOOKUP(B249,'ПО КОРИСНИЦИМА'!$C$6:$J$13997,5,FALSE),"")</f>
        <v>Доградња котларнице за складиште пелета</v>
      </c>
      <c r="D249" s="726">
        <f>SUMIF('ПО КОРИСНИЦИМА'!$G$6:$G$13997,"Свега за пројекат 2001-П1:",'ПО КОРИСНИЦИМА'!$H$6:$H$13997)</f>
        <v>1108596</v>
      </c>
      <c r="E249" s="723">
        <f>IFERROR(D249/$D$599,"-")</f>
        <v>2.3369174206797488E-3</v>
      </c>
      <c r="F249" s="727">
        <f>SUMIF('ПО КОРИСНИЦИМА'!$G$6:$G$13997,"Свега за пројекат 2001-П1:",'ПО КОРИСНИЦИМА'!$I$6:$I$13997)</f>
        <v>136568</v>
      </c>
      <c r="G249" s="722">
        <f t="shared" si="13"/>
        <v>1245164</v>
      </c>
      <c r="H249" s="740"/>
    </row>
    <row r="250" spans="1:8" hidden="1">
      <c r="A250" s="696"/>
      <c r="B250" s="696" t="s">
        <v>4689</v>
      </c>
      <c r="C250" s="610" t="str">
        <f>IFERROR(VLOOKUP(B250,'ПО КОРИСНИЦИМА'!$C$6:$J$13997,5,FALSE),"")</f>
        <v>Реконструкција дворишта</v>
      </c>
      <c r="D250" s="726">
        <f>SUMIF('ПО КОРИСНИЦИМА'!$G$6:$G$13997,"Свега за пројекат 2001-П2:",'ПО КОРИСНИЦИМА'!$H$6:$H$13997)</f>
        <v>0</v>
      </c>
      <c r="E250" s="723">
        <f t="shared" ref="E250:E278" si="16">IFERROR(D250/$D$599,"-")</f>
        <v>0</v>
      </c>
      <c r="F250" s="727">
        <f>SUMIF('ПО КОРИСНИЦИМА'!$G$6:$G$13997,"Свега за пројекат 2001-П2:",'ПО КОРИСНИЦИМА'!$I$6:$I$13997)</f>
        <v>0</v>
      </c>
      <c r="G250" s="722">
        <f t="shared" ref="G250:G278" si="17">D250+F250</f>
        <v>0</v>
      </c>
      <c r="H250" s="741"/>
    </row>
    <row r="251" spans="1:8" hidden="1">
      <c r="A251" s="696"/>
      <c r="B251" s="696" t="s">
        <v>4690</v>
      </c>
      <c r="C251" s="610" t="str">
        <f>IFERROR(VLOOKUP(B251,'ПО КОРИСНИЦИМА'!$C$6:$J$13997,5,FALSE),"")</f>
        <v>Реконструкција санитарних чворова</v>
      </c>
      <c r="D251" s="726">
        <f>SUMIF('ПО КОРИСНИЦИМА'!$G$6:$G$13997,"Свега за пројекат 2001-П3:",'ПО КОРИСНИЦИМА'!$H$6:$H$13997)</f>
        <v>0</v>
      </c>
      <c r="E251" s="723">
        <f t="shared" si="16"/>
        <v>0</v>
      </c>
      <c r="F251" s="727">
        <f>SUMIF('ПО КОРИСНИЦИМА'!$G$6:$G$13997,"Свега за пројекат 2001-П3:",'ПО КОРИСНИЦИМА'!$I$6:$I$13997)</f>
        <v>0</v>
      </c>
      <c r="G251" s="722">
        <f t="shared" si="17"/>
        <v>0</v>
      </c>
      <c r="H251" s="741"/>
    </row>
    <row r="252" spans="1:8" hidden="1">
      <c r="A252" s="696"/>
      <c r="B252" s="696" t="s">
        <v>4691</v>
      </c>
      <c r="C252" s="610" t="str">
        <f>IFERROR(VLOOKUP(B252,'ПО КОРИСНИЦИМА'!$C$6:$J$13997,5,FALSE),"")</f>
        <v/>
      </c>
      <c r="D252" s="726">
        <f>SUMIF('ПО КОРИСНИЦИМА'!$G$6:$G$13997,"Свега за пројекат 2001-П4:",'ПО КОРИСНИЦИМА'!$H$6:$H$13997)</f>
        <v>0</v>
      </c>
      <c r="E252" s="723">
        <f t="shared" si="16"/>
        <v>0</v>
      </c>
      <c r="F252" s="727">
        <f>SUMIF('ПО КОРИСНИЦИМА'!$G$6:$G$13997,"Свега за пројекат 2001-П4:",'ПО КОРИСНИЦИМА'!$I$6:$I$13997)</f>
        <v>0</v>
      </c>
      <c r="G252" s="722">
        <f t="shared" si="17"/>
        <v>0</v>
      </c>
      <c r="H252" s="741"/>
    </row>
    <row r="253" spans="1:8" hidden="1">
      <c r="A253" s="696"/>
      <c r="B253" s="696" t="s">
        <v>4692</v>
      </c>
      <c r="C253" s="610" t="str">
        <f>IFERROR(VLOOKUP(B253,'ПО КОРИСНИЦИМА'!$C$6:$J$13997,5,FALSE),"")</f>
        <v/>
      </c>
      <c r="D253" s="726">
        <f>SUMIF('ПО КОРИСНИЦИМА'!$G$6:$G$13997,"Свега за пројекат 2001-П5:",'ПО КОРИСНИЦИМА'!$H$6:$H$13997)</f>
        <v>0</v>
      </c>
      <c r="E253" s="723">
        <f t="shared" si="16"/>
        <v>0</v>
      </c>
      <c r="F253" s="727">
        <f>SUMIF('ПО КОРИСНИЦИМА'!$G$6:$G$13997,"Свега за пројекат 2001-П5:",'ПО КОРИСНИЦИМА'!$I$6:$I$13997)</f>
        <v>0</v>
      </c>
      <c r="G253" s="722">
        <f t="shared" si="17"/>
        <v>0</v>
      </c>
      <c r="H253" s="741"/>
    </row>
    <row r="254" spans="1:8" hidden="1">
      <c r="A254" s="696"/>
      <c r="B254" s="696" t="s">
        <v>4693</v>
      </c>
      <c r="C254" s="610" t="str">
        <f>IFERROR(VLOOKUP(B254,'ПО КОРИСНИЦИМА'!$C$6:$J$13997,5,FALSE),"")</f>
        <v/>
      </c>
      <c r="D254" s="726">
        <f>SUMIF('ПО КОРИСНИЦИМА'!$G$6:$G$13997,"Свега за пројекат 2001-П6:",'ПО КОРИСНИЦИМА'!$H$6:$H$13997)</f>
        <v>0</v>
      </c>
      <c r="E254" s="723">
        <f t="shared" si="16"/>
        <v>0</v>
      </c>
      <c r="F254" s="727">
        <f>SUMIF('ПО КОРИСНИЦИМА'!$G$6:$G$13997,"Свега за пројекат 2001-П6:",'ПО КОРИСНИЦИМА'!$I$6:$I$13997)</f>
        <v>0</v>
      </c>
      <c r="G254" s="722">
        <f t="shared" si="17"/>
        <v>0</v>
      </c>
      <c r="H254" s="741"/>
    </row>
    <row r="255" spans="1:8" hidden="1">
      <c r="A255" s="696"/>
      <c r="B255" s="696" t="s">
        <v>4694</v>
      </c>
      <c r="C255" s="610" t="str">
        <f>IFERROR(VLOOKUP(B255,'ПО КОРИСНИЦИМА'!$C$6:$J$13997,5,FALSE),"")</f>
        <v/>
      </c>
      <c r="D255" s="726">
        <f>SUMIF('ПО КОРИСНИЦИМА'!$G$6:$G$13997,"Свега за пројекат 2001-П7:",'ПО КОРИСНИЦИМА'!$H$6:$H$13997)</f>
        <v>0</v>
      </c>
      <c r="E255" s="723">
        <f t="shared" si="16"/>
        <v>0</v>
      </c>
      <c r="F255" s="727">
        <f>SUMIF('ПО КОРИСНИЦИМА'!$G$6:$G$13997,"Свега за пројекат 2001-П7:",'ПО КОРИСНИЦИМА'!$I$6:$I$13997)</f>
        <v>0</v>
      </c>
      <c r="G255" s="722">
        <f t="shared" si="17"/>
        <v>0</v>
      </c>
      <c r="H255" s="741"/>
    </row>
    <row r="256" spans="1:8" hidden="1">
      <c r="A256" s="696"/>
      <c r="B256" s="696" t="s">
        <v>4695</v>
      </c>
      <c r="C256" s="610" t="str">
        <f>IFERROR(VLOOKUP(B256,'ПО КОРИСНИЦИМА'!$C$6:$J$13997,5,FALSE),"")</f>
        <v/>
      </c>
      <c r="D256" s="726">
        <f>SUMIF('ПО КОРИСНИЦИМА'!$G$6:$G$13997,"Свега за пројекат 2001-П8:",'ПО КОРИСНИЦИМА'!$H$6:$H$13997)</f>
        <v>0</v>
      </c>
      <c r="E256" s="723">
        <f t="shared" si="16"/>
        <v>0</v>
      </c>
      <c r="F256" s="727">
        <f>SUMIF('ПО КОРИСНИЦИМА'!$G$6:$G$13997,"Свега за пројекат 2001-П8:",'ПО КОРИСНИЦИМА'!$I$6:$I$13997)</f>
        <v>0</v>
      </c>
      <c r="G256" s="722">
        <f t="shared" si="17"/>
        <v>0</v>
      </c>
      <c r="H256" s="741"/>
    </row>
    <row r="257" spans="1:8" hidden="1">
      <c r="A257" s="696"/>
      <c r="B257" s="696" t="s">
        <v>4696</v>
      </c>
      <c r="C257" s="610" t="str">
        <f>IFERROR(VLOOKUP(B257,'ПО КОРИСНИЦИМА'!$C$6:$J$13997,5,FALSE),"")</f>
        <v/>
      </c>
      <c r="D257" s="726">
        <f>SUMIF('ПО КОРИСНИЦИМА'!$G$6:$G$13997,"Свега за пројекат 2001-П9:",'ПО КОРИСНИЦИМА'!$H$6:$H$13997)</f>
        <v>0</v>
      </c>
      <c r="E257" s="723">
        <f t="shared" si="16"/>
        <v>0</v>
      </c>
      <c r="F257" s="727">
        <f>SUMIF('ПО КОРИСНИЦИМА'!$G$6:$G$13997,"Свега за пројекат 2001-П9:",'ПО КОРИСНИЦИМА'!$I$6:$I$13997)</f>
        <v>0</v>
      </c>
      <c r="G257" s="722">
        <f t="shared" si="17"/>
        <v>0</v>
      </c>
      <c r="H257" s="741"/>
    </row>
    <row r="258" spans="1:8" hidden="1">
      <c r="A258" s="696"/>
      <c r="B258" s="696" t="s">
        <v>4697</v>
      </c>
      <c r="C258" s="610" t="str">
        <f>IFERROR(VLOOKUP(B258,'ПО КОРИСНИЦИМА'!$C$6:$J$13997,5,FALSE),"")</f>
        <v/>
      </c>
      <c r="D258" s="726">
        <f>SUMIF('ПО КОРИСНИЦИМА'!$G$6:$G$13997,"Свега за пројекат 2001-П10:",'ПО КОРИСНИЦИМА'!$H$6:$H$13997)</f>
        <v>0</v>
      </c>
      <c r="E258" s="723">
        <f t="shared" si="16"/>
        <v>0</v>
      </c>
      <c r="F258" s="727">
        <f>SUMIF('ПО КОРИСНИЦИМА'!$G$6:$G$13997,"Свега за пројекат 2001-П10:",'ПО КОРИСНИЦИМА'!$I$6:$I$13997)</f>
        <v>0</v>
      </c>
      <c r="G258" s="722">
        <f t="shared" si="17"/>
        <v>0</v>
      </c>
      <c r="H258" s="741"/>
    </row>
    <row r="259" spans="1:8" hidden="1">
      <c r="A259" s="696"/>
      <c r="B259" s="696" t="s">
        <v>4698</v>
      </c>
      <c r="C259" s="610" t="str">
        <f>IFERROR(VLOOKUP(B259,'ПО КОРИСНИЦИМА'!$C$6:$J$13997,5,FALSE),"")</f>
        <v/>
      </c>
      <c r="D259" s="726">
        <f>SUMIF('ПО КОРИСНИЦИМА'!$G$6:$G$13997,"Свега за пројекат 2001-П11:",'ПО КОРИСНИЦИМА'!$H$6:$H$13997)</f>
        <v>0</v>
      </c>
      <c r="E259" s="723">
        <f t="shared" si="16"/>
        <v>0</v>
      </c>
      <c r="F259" s="727">
        <f>SUMIF('ПО КОРИСНИЦИМА'!$G$6:$G$13997,"Свега за пројекат 2001-П11:",'ПО КОРИСНИЦИМА'!$I$6:$I$13997)</f>
        <v>0</v>
      </c>
      <c r="G259" s="722">
        <f t="shared" si="17"/>
        <v>0</v>
      </c>
      <c r="H259" s="741"/>
    </row>
    <row r="260" spans="1:8" hidden="1">
      <c r="A260" s="696"/>
      <c r="B260" s="696" t="s">
        <v>4699</v>
      </c>
      <c r="C260" s="610" t="str">
        <f>IFERROR(VLOOKUP(B260,'ПО КОРИСНИЦИМА'!$C$6:$J$13997,5,FALSE),"")</f>
        <v/>
      </c>
      <c r="D260" s="726">
        <f>SUMIF('ПО КОРИСНИЦИМА'!$G$6:$G$13997,"Свега за пројекат 2001-П12:",'ПО КОРИСНИЦИМА'!$H$6:$H$13997)</f>
        <v>0</v>
      </c>
      <c r="E260" s="723">
        <f t="shared" si="16"/>
        <v>0</v>
      </c>
      <c r="F260" s="727">
        <f>SUMIF('ПО КОРИСНИЦИМА'!$G$6:$G$13997,"Свега за пројекат 2001-П12:",'ПО КОРИСНИЦИМА'!$I$6:$I$13997)</f>
        <v>0</v>
      </c>
      <c r="G260" s="722">
        <f t="shared" si="17"/>
        <v>0</v>
      </c>
      <c r="H260" s="741"/>
    </row>
    <row r="261" spans="1:8" hidden="1">
      <c r="A261" s="696"/>
      <c r="B261" s="696" t="s">
        <v>4700</v>
      </c>
      <c r="C261" s="610" t="str">
        <f>IFERROR(VLOOKUP(B261,'ПО КОРИСНИЦИМА'!$C$6:$J$13997,5,FALSE),"")</f>
        <v/>
      </c>
      <c r="D261" s="726">
        <f>SUMIF('ПО КОРИСНИЦИМА'!$G$6:$G$13997,"Свега за пројекат 2001-П13:",'ПО КОРИСНИЦИМА'!$H$6:$H$13997)</f>
        <v>0</v>
      </c>
      <c r="E261" s="723">
        <f t="shared" si="16"/>
        <v>0</v>
      </c>
      <c r="F261" s="727">
        <f>SUMIF('ПО КОРИСНИЦИМА'!$G$6:$G$13997,"Свега за пројекат 2001-П13:",'ПО КОРИСНИЦИМА'!$I$6:$I$13997)</f>
        <v>0</v>
      </c>
      <c r="G261" s="722">
        <f t="shared" si="17"/>
        <v>0</v>
      </c>
      <c r="H261" s="741"/>
    </row>
    <row r="262" spans="1:8" hidden="1">
      <c r="A262" s="696"/>
      <c r="B262" s="696" t="s">
        <v>4701</v>
      </c>
      <c r="C262" s="610" t="str">
        <f>IFERROR(VLOOKUP(B262,'ПО КОРИСНИЦИМА'!$C$6:$J$13997,5,FALSE),"")</f>
        <v/>
      </c>
      <c r="D262" s="726">
        <f>SUMIF('ПО КОРИСНИЦИМА'!$G$6:$G$13997,"Свега за пројекат 2001-П14:",'ПО КОРИСНИЦИМА'!$H$6:$H$13997)</f>
        <v>0</v>
      </c>
      <c r="E262" s="723">
        <f t="shared" si="16"/>
        <v>0</v>
      </c>
      <c r="F262" s="727">
        <f>SUMIF('ПО КОРИСНИЦИМА'!$G$6:$G$13997,"Свега за пројекат 2001-П14:",'ПО КОРИСНИЦИМА'!$I$6:$I$13997)</f>
        <v>0</v>
      </c>
      <c r="G262" s="722">
        <f t="shared" si="17"/>
        <v>0</v>
      </c>
      <c r="H262" s="741"/>
    </row>
    <row r="263" spans="1:8" hidden="1">
      <c r="A263" s="696"/>
      <c r="B263" s="696" t="s">
        <v>4702</v>
      </c>
      <c r="C263" s="610" t="str">
        <f>IFERROR(VLOOKUP(B263,'ПО КОРИСНИЦИМА'!$C$6:$J$13997,5,FALSE),"")</f>
        <v/>
      </c>
      <c r="D263" s="726">
        <f>SUMIF('ПО КОРИСНИЦИМА'!$G$6:$G$13997,"Свега за пројекат 2001-П15:",'ПО КОРИСНИЦИМА'!$H$6:$H$13997)</f>
        <v>0</v>
      </c>
      <c r="E263" s="723">
        <f t="shared" si="16"/>
        <v>0</v>
      </c>
      <c r="F263" s="727">
        <f>SUMIF('ПО КОРИСНИЦИМА'!$G$6:$G$13997,"Свега за пројекат 2001-П15:",'ПО КОРИСНИЦИМА'!$I$6:$I$13997)</f>
        <v>0</v>
      </c>
      <c r="G263" s="722">
        <f t="shared" si="17"/>
        <v>0</v>
      </c>
      <c r="H263" s="741"/>
    </row>
    <row r="264" spans="1:8" hidden="1">
      <c r="A264" s="696"/>
      <c r="B264" s="696" t="s">
        <v>4703</v>
      </c>
      <c r="C264" s="610" t="str">
        <f>IFERROR(VLOOKUP(B264,'ПО КОРИСНИЦИМА'!$C$6:$J$13997,5,FALSE),"")</f>
        <v/>
      </c>
      <c r="D264" s="726">
        <f>SUMIF('ПО КОРИСНИЦИМА'!$G$6:$G$13997,"Свега за пројекат 2001-П16:",'ПО КОРИСНИЦИМА'!$H$6:$H$13997)</f>
        <v>0</v>
      </c>
      <c r="E264" s="723">
        <f t="shared" si="16"/>
        <v>0</v>
      </c>
      <c r="F264" s="727">
        <f>SUMIF('ПО КОРИСНИЦИМА'!$G$6:$G$13997,"Свега за пројекат 2001-П16:",'ПО КОРИСНИЦИМА'!$I$6:$I$13997)</f>
        <v>0</v>
      </c>
      <c r="G264" s="722">
        <f t="shared" si="17"/>
        <v>0</v>
      </c>
      <c r="H264" s="741"/>
    </row>
    <row r="265" spans="1:8" hidden="1">
      <c r="A265" s="696"/>
      <c r="B265" s="696" t="s">
        <v>4704</v>
      </c>
      <c r="C265" s="610" t="str">
        <f>IFERROR(VLOOKUP(B265,'ПО КОРИСНИЦИМА'!$C$6:$J$13997,5,FALSE),"")</f>
        <v/>
      </c>
      <c r="D265" s="726">
        <f>SUMIF('ПО КОРИСНИЦИМА'!$G$6:$G$13997,"Свега за пројекат 2001-П17:",'ПО КОРИСНИЦИМА'!$H$6:$H$13997)</f>
        <v>0</v>
      </c>
      <c r="E265" s="723">
        <f t="shared" si="16"/>
        <v>0</v>
      </c>
      <c r="F265" s="727">
        <f>SUMIF('ПО КОРИСНИЦИМА'!$G$6:$G$13997,"Свега за пројекат 2001-П17:",'ПО КОРИСНИЦИМА'!$I$6:$I$13997)</f>
        <v>0</v>
      </c>
      <c r="G265" s="722">
        <f t="shared" si="17"/>
        <v>0</v>
      </c>
      <c r="H265" s="741"/>
    </row>
    <row r="266" spans="1:8" hidden="1">
      <c r="A266" s="696"/>
      <c r="B266" s="696" t="s">
        <v>4705</v>
      </c>
      <c r="C266" s="610" t="str">
        <f>IFERROR(VLOOKUP(B266,'ПО КОРИСНИЦИМА'!$C$6:$J$13997,5,FALSE),"")</f>
        <v/>
      </c>
      <c r="D266" s="726">
        <f>SUMIF('ПО КОРИСНИЦИМА'!$G$6:$G$13997,"Свега за пројекат 2001-П18:",'ПО КОРИСНИЦИМА'!$H$6:$H$13997)</f>
        <v>0</v>
      </c>
      <c r="E266" s="723">
        <f t="shared" si="16"/>
        <v>0</v>
      </c>
      <c r="F266" s="727">
        <f>SUMIF('ПО КОРИСНИЦИМА'!$G$6:$G$13997,"Свега за пројекат 2001-П18:",'ПО КОРИСНИЦИМА'!$I$6:$I$13997)</f>
        <v>0</v>
      </c>
      <c r="G266" s="722">
        <f t="shared" si="17"/>
        <v>0</v>
      </c>
      <c r="H266" s="741"/>
    </row>
    <row r="267" spans="1:8" hidden="1">
      <c r="A267" s="696"/>
      <c r="B267" s="696" t="s">
        <v>4706</v>
      </c>
      <c r="C267" s="610" t="str">
        <f>IFERROR(VLOOKUP(B267,'ПО КОРИСНИЦИМА'!$C$6:$J$13997,5,FALSE),"")</f>
        <v/>
      </c>
      <c r="D267" s="726">
        <f>SUMIF('ПО КОРИСНИЦИМА'!$G$6:$G$13997,"Свега за пројекат 2001-П19:",'ПО КОРИСНИЦИМА'!$H$6:$H$13997)</f>
        <v>0</v>
      </c>
      <c r="E267" s="723">
        <f t="shared" si="16"/>
        <v>0</v>
      </c>
      <c r="F267" s="727">
        <f>SUMIF('ПО КОРИСНИЦИМА'!$G$6:$G$13997,"Свега за пројекат 2001-П19:",'ПО КОРИСНИЦИМА'!$I$6:$I$13997)</f>
        <v>0</v>
      </c>
      <c r="G267" s="722">
        <f t="shared" si="17"/>
        <v>0</v>
      </c>
      <c r="H267" s="741"/>
    </row>
    <row r="268" spans="1:8" hidden="1">
      <c r="A268" s="696"/>
      <c r="B268" s="696" t="s">
        <v>4707</v>
      </c>
      <c r="C268" s="610" t="str">
        <f>IFERROR(VLOOKUP(B268,'ПО КОРИСНИЦИМА'!$C$6:$J$13997,5,FALSE),"")</f>
        <v/>
      </c>
      <c r="D268" s="726">
        <f>SUMIF('ПО КОРИСНИЦИМА'!$G$6:$G$13997,"Свега за пројекат 2001-П20:",'ПО КОРИСНИЦИМА'!$H$6:$H$13997)</f>
        <v>0</v>
      </c>
      <c r="E268" s="723">
        <f t="shared" si="16"/>
        <v>0</v>
      </c>
      <c r="F268" s="727">
        <f>SUMIF('ПО КОРИСНИЦИМА'!$G$6:$G$13997,"Свега за пројекат 2001-П20:",'ПО КОРИСНИЦИМА'!$I$6:$I$13997)</f>
        <v>0</v>
      </c>
      <c r="G268" s="722">
        <f t="shared" si="17"/>
        <v>0</v>
      </c>
      <c r="H268" s="740"/>
    </row>
    <row r="269" spans="1:8" hidden="1">
      <c r="A269" s="696"/>
      <c r="B269" s="696" t="s">
        <v>4708</v>
      </c>
      <c r="C269" s="610" t="str">
        <f>IFERROR(VLOOKUP(B269,'ПО КОРИСНИЦИМА'!$C$6:$J$13997,5,FALSE),"")</f>
        <v/>
      </c>
      <c r="D269" s="726">
        <f>SUMIF('ПО КОРИСНИЦИМА'!$G$6:$G$13997,"Свега за пројекат 2001-П21:",'ПО КОРИСНИЦИМА'!$H$6:$H$13997)</f>
        <v>0</v>
      </c>
      <c r="E269" s="723">
        <f t="shared" si="16"/>
        <v>0</v>
      </c>
      <c r="F269" s="727">
        <f>SUMIF('ПО КОРИСНИЦИМА'!$G$6:$G$13997,"Свега за пројекат 2001-П21:",'ПО КОРИСНИЦИМА'!$I$6:$I$13997)</f>
        <v>0</v>
      </c>
      <c r="G269" s="722">
        <f t="shared" si="17"/>
        <v>0</v>
      </c>
      <c r="H269" s="741"/>
    </row>
    <row r="270" spans="1:8" hidden="1">
      <c r="A270" s="696"/>
      <c r="B270" s="696" t="s">
        <v>4709</v>
      </c>
      <c r="C270" s="610" t="str">
        <f>IFERROR(VLOOKUP(B270,'ПО КОРИСНИЦИМА'!$C$6:$J$13997,5,FALSE),"")</f>
        <v/>
      </c>
      <c r="D270" s="726">
        <f>SUMIF('ПО КОРИСНИЦИМА'!$G$6:$G$13997,"Свега за пројекат 2001-П22:",'ПО КОРИСНИЦИМА'!$H$6:$H$13997)</f>
        <v>0</v>
      </c>
      <c r="E270" s="723">
        <f t="shared" si="16"/>
        <v>0</v>
      </c>
      <c r="F270" s="727">
        <f>SUMIF('ПО КОРИСНИЦИМА'!$G$6:$G$13997,"Свега за пројекат 2001-П22:",'ПО КОРИСНИЦИМА'!$I$6:$I$13997)</f>
        <v>0</v>
      </c>
      <c r="G270" s="722">
        <f t="shared" si="17"/>
        <v>0</v>
      </c>
      <c r="H270" s="741"/>
    </row>
    <row r="271" spans="1:8" hidden="1">
      <c r="A271" s="696"/>
      <c r="B271" s="696" t="s">
        <v>4710</v>
      </c>
      <c r="C271" s="610" t="str">
        <f>IFERROR(VLOOKUP(B271,'ПО КОРИСНИЦИМА'!$C$6:$J$13997,5,FALSE),"")</f>
        <v/>
      </c>
      <c r="D271" s="726">
        <f>SUMIF('ПО КОРИСНИЦИМА'!$G$6:$G$13997,"Свега за пројекат 2001-П23:",'ПО КОРИСНИЦИМА'!$H$6:$H$13997)</f>
        <v>0</v>
      </c>
      <c r="E271" s="723">
        <f t="shared" si="16"/>
        <v>0</v>
      </c>
      <c r="F271" s="727">
        <f>SUMIF('ПО КОРИСНИЦИМА'!$G$6:$G$13997,"Свега за пројекат 2001-П23:",'ПО КОРИСНИЦИМА'!$I$6:$I$13997)</f>
        <v>0</v>
      </c>
      <c r="G271" s="722">
        <f t="shared" si="17"/>
        <v>0</v>
      </c>
      <c r="H271" s="741"/>
    </row>
    <row r="272" spans="1:8" hidden="1">
      <c r="A272" s="696"/>
      <c r="B272" s="696" t="s">
        <v>4711</v>
      </c>
      <c r="C272" s="610" t="str">
        <f>IFERROR(VLOOKUP(B272,'ПО КОРИСНИЦИМА'!$C$6:$J$13997,5,FALSE),"")</f>
        <v/>
      </c>
      <c r="D272" s="726">
        <f>SUMIF('ПО КОРИСНИЦИМА'!$G$6:$G$13997,"Свега за пројекат 2001-П24:",'ПО КОРИСНИЦИМА'!$H$6:$H$13997)</f>
        <v>0</v>
      </c>
      <c r="E272" s="723">
        <f t="shared" si="16"/>
        <v>0</v>
      </c>
      <c r="F272" s="727">
        <f>SUMIF('ПО КОРИСНИЦИМА'!$G$6:$G$13997,"Свега за пројекат 2001-П24:",'ПО КОРИСНИЦИМА'!$I$6:$I$13997)</f>
        <v>0</v>
      </c>
      <c r="G272" s="722">
        <f t="shared" si="17"/>
        <v>0</v>
      </c>
      <c r="H272" s="741"/>
    </row>
    <row r="273" spans="1:8" hidden="1">
      <c r="A273" s="696"/>
      <c r="B273" s="696" t="s">
        <v>4712</v>
      </c>
      <c r="C273" s="610" t="str">
        <f>IFERROR(VLOOKUP(B273,'ПО КОРИСНИЦИМА'!$C$6:$J$13997,5,FALSE),"")</f>
        <v/>
      </c>
      <c r="D273" s="726">
        <f>SUMIF('ПО КОРИСНИЦИМА'!$G$6:$G$13997,"Свега за пројекат 2001-П25:",'ПО КОРИСНИЦИМА'!$H$6:$H$13997)</f>
        <v>0</v>
      </c>
      <c r="E273" s="723">
        <f t="shared" si="16"/>
        <v>0</v>
      </c>
      <c r="F273" s="727">
        <f>SUMIF('ПО КОРИСНИЦИМА'!$G$6:$G$13997,"Свега за пројекат 2001-П25:",'ПО КОРИСНИЦИМА'!$I$6:$I$13997)</f>
        <v>0</v>
      </c>
      <c r="G273" s="722">
        <f t="shared" si="17"/>
        <v>0</v>
      </c>
      <c r="H273" s="741"/>
    </row>
    <row r="274" spans="1:8" hidden="1">
      <c r="A274" s="696"/>
      <c r="B274" s="696" t="s">
        <v>4713</v>
      </c>
      <c r="C274" s="610" t="str">
        <f>IFERROR(VLOOKUP(B274,'ПО КОРИСНИЦИМА'!$C$6:$J$13997,5,FALSE),"")</f>
        <v/>
      </c>
      <c r="D274" s="726">
        <f>SUMIF('ПО КОРИСНИЦИМА'!$G$6:$G$13997,"Свега за пројекат 2001-П26:",'ПО КОРИСНИЦИМА'!$H$6:$H$13997)</f>
        <v>0</v>
      </c>
      <c r="E274" s="723">
        <f t="shared" si="16"/>
        <v>0</v>
      </c>
      <c r="F274" s="727">
        <f>SUMIF('ПО КОРИСНИЦИМА'!$G$6:$G$13997,"Свега за пројекат 2001-П26:",'ПО КОРИСНИЦИМА'!$I$6:$I$13997)</f>
        <v>0</v>
      </c>
      <c r="G274" s="722">
        <f t="shared" si="17"/>
        <v>0</v>
      </c>
      <c r="H274" s="741"/>
    </row>
    <row r="275" spans="1:8" hidden="1">
      <c r="A275" s="696"/>
      <c r="B275" s="696" t="s">
        <v>4714</v>
      </c>
      <c r="C275" s="610" t="str">
        <f>IFERROR(VLOOKUP(B275,'ПО КОРИСНИЦИМА'!$C$6:$J$13997,5,FALSE),"")</f>
        <v/>
      </c>
      <c r="D275" s="726">
        <f>SUMIF('ПО КОРИСНИЦИМА'!$G$6:$G$13997,"Свега за пројекат 2001-П27:",'ПО КОРИСНИЦИМА'!$H$6:$H$13997)</f>
        <v>0</v>
      </c>
      <c r="E275" s="723">
        <f t="shared" si="16"/>
        <v>0</v>
      </c>
      <c r="F275" s="727">
        <f>SUMIF('ПО КОРИСНИЦИМА'!$G$6:$G$13997,"Свега за пројекат 2001-П27:",'ПО КОРИСНИЦИМА'!$I$6:$I$13997)</f>
        <v>0</v>
      </c>
      <c r="G275" s="722">
        <f t="shared" si="17"/>
        <v>0</v>
      </c>
      <c r="H275" s="741"/>
    </row>
    <row r="276" spans="1:8" hidden="1">
      <c r="A276" s="696"/>
      <c r="B276" s="696" t="s">
        <v>4715</v>
      </c>
      <c r="C276" s="610" t="str">
        <f>IFERROR(VLOOKUP(B276,'ПО КОРИСНИЦИМА'!$C$6:$J$13997,5,FALSE),"")</f>
        <v/>
      </c>
      <c r="D276" s="726">
        <f>SUMIF('ПО КОРИСНИЦИМА'!$G$6:$G$13997,"Свега за пројекат 2001-П28:",'ПО КОРИСНИЦИМА'!$H$6:$H$13997)</f>
        <v>0</v>
      </c>
      <c r="E276" s="723">
        <f t="shared" si="16"/>
        <v>0</v>
      </c>
      <c r="F276" s="727">
        <f>SUMIF('ПО КОРИСНИЦИМА'!$G$6:$G$13997,"Свега за пројекат 2001-П28:",'ПО КОРИСНИЦИМА'!$I$6:$I$13997)</f>
        <v>0</v>
      </c>
      <c r="G276" s="722">
        <f t="shared" si="17"/>
        <v>0</v>
      </c>
      <c r="H276" s="737"/>
    </row>
    <row r="277" spans="1:8" hidden="1">
      <c r="A277" s="696"/>
      <c r="B277" s="696" t="s">
        <v>4716</v>
      </c>
      <c r="C277" s="610" t="str">
        <f>IFERROR(VLOOKUP(B277,'ПО КОРИСНИЦИМА'!$C$6:$J$13997,5,FALSE),"")</f>
        <v/>
      </c>
      <c r="D277" s="726">
        <f>SUMIF('ПО КОРИСНИЦИМА'!$G$6:$G$13997,"Свега за пројекат 2001-П29:",'ПО КОРИСНИЦИМА'!$H$6:$H$13997)</f>
        <v>0</v>
      </c>
      <c r="E277" s="723">
        <f t="shared" si="16"/>
        <v>0</v>
      </c>
      <c r="F277" s="727">
        <f>SUMIF('ПО КОРИСНИЦИМА'!$G$6:$G$13997,"Свега за пројекат 2001-П29:",'ПО КОРИСНИЦИМА'!$I$6:$I$13997)</f>
        <v>0</v>
      </c>
      <c r="G277" s="722">
        <f t="shared" si="17"/>
        <v>0</v>
      </c>
      <c r="H277" s="737"/>
    </row>
    <row r="278" spans="1:8" hidden="1">
      <c r="A278" s="697"/>
      <c r="B278" s="696" t="s">
        <v>4777</v>
      </c>
      <c r="C278" s="610" t="str">
        <f>IFERROR(VLOOKUP(B278,'ПО КОРИСНИЦИМА'!$C$6:$J$13997,5,FALSE),"")</f>
        <v/>
      </c>
      <c r="D278" s="726">
        <f>SUMIF('ПО КОРИСНИЦИМА'!$G$6:$G$13997,"Свега за пројекат 2001-П30:",'ПО КОРИСНИЦИМА'!$H$6:$H$13997)</f>
        <v>0</v>
      </c>
      <c r="E278" s="723">
        <f t="shared" si="16"/>
        <v>0</v>
      </c>
      <c r="F278" s="727">
        <f>SUMIF('ПО КОРИСНИЦИМА'!$G$6:$G$13997,"Свега за пројекат 2001-П30:",'ПО КОРИСНИЦИМА'!$I$6:$I$13997)</f>
        <v>0</v>
      </c>
      <c r="G278" s="722">
        <f t="shared" si="17"/>
        <v>0</v>
      </c>
      <c r="H278" s="734"/>
    </row>
    <row r="279" spans="1:8" s="694" customFormat="1">
      <c r="A279" s="687" t="s">
        <v>3582</v>
      </c>
      <c r="B279" s="688"/>
      <c r="C279" s="608" t="s">
        <v>3673</v>
      </c>
      <c r="D279" s="714">
        <f>SUM(D280:D310)</f>
        <v>28950000</v>
      </c>
      <c r="E279" s="715">
        <f>IFERROR(D279/$D$599,"-")</f>
        <v>6.1026523033349149E-2</v>
      </c>
      <c r="F279" s="716">
        <f>SUM(F280:F310)</f>
        <v>0</v>
      </c>
      <c r="G279" s="714">
        <f t="shared" si="13"/>
        <v>28950000</v>
      </c>
      <c r="H279" s="735"/>
    </row>
    <row r="280" spans="1:8">
      <c r="A280" s="689"/>
      <c r="B280" s="698" t="s">
        <v>4115</v>
      </c>
      <c r="C280" s="614" t="s">
        <v>4110</v>
      </c>
      <c r="D280" s="718">
        <f>SUMIF('ПО КОРИСНИЦИМА'!$G$6:$G$13997,"Свега за програмску активност 2002-0001:",'ПО КОРИСНИЦИМА'!$H$6:$H$13997)</f>
        <v>28950000</v>
      </c>
      <c r="E280" s="719">
        <f>IFERROR(D280/$D$599,"-")</f>
        <v>6.1026523033349149E-2</v>
      </c>
      <c r="F280" s="720">
        <f>SUMIF('ПО КОРИСНИЦИМА'!$G$6:$G$13997,"Свега за програмску активност 2002-0001:",'ПО КОРИСНИЦИМА'!$I$6:$I$13997)</f>
        <v>0</v>
      </c>
      <c r="G280" s="718">
        <f t="shared" si="13"/>
        <v>28950000</v>
      </c>
      <c r="H280" s="721"/>
    </row>
    <row r="281" spans="1:8" hidden="1">
      <c r="A281" s="689"/>
      <c r="B281" s="698" t="s">
        <v>4717</v>
      </c>
      <c r="C281" s="610" t="str">
        <f>IFERROR(VLOOKUP(B281,'ПО КОРИСНИЦИМА'!$C$6:$J$13997,5,FALSE),"")</f>
        <v>Школа у природи</v>
      </c>
      <c r="D281" s="726">
        <f>SUMIF('ПО КОРИСНИЦИМА'!$G$6:$G$13997,"Свега за пројекат 2002-П1:",'ПО КОРИСНИЦИМА'!$H$6:$H$13997)</f>
        <v>0</v>
      </c>
      <c r="E281" s="723">
        <f>IFERROR(D281/$D$599,"-")</f>
        <v>0</v>
      </c>
      <c r="F281" s="727">
        <f>SUMIF('ПО КОРИСНИЦИМА'!$G$6:$G$13997,"Свега за пројекат 2002-П1:",'ПО КОРИСНИЦИМА'!$I$6:$I$13997)</f>
        <v>0</v>
      </c>
      <c r="G281" s="718">
        <f t="shared" ref="G281:G310" si="18">D281+F281</f>
        <v>0</v>
      </c>
      <c r="H281" s="721"/>
    </row>
    <row r="282" spans="1:8" hidden="1">
      <c r="A282" s="689"/>
      <c r="B282" s="698" t="s">
        <v>4718</v>
      </c>
      <c r="C282" s="610" t="str">
        <f>IFERROR(VLOOKUP(B282,'ПО КОРИСНИЦИМА'!$C$6:$J$13997,5,FALSE),"")</f>
        <v>Изградња школе у Бресници</v>
      </c>
      <c r="D282" s="726">
        <f>SUMIF('ПО КОРИСНИЦИМА'!$G$6:$G$13997,"Свега за пројекат 2002-П2:",'ПО КОРИСНИЦИМА'!$H$6:$H$13997)</f>
        <v>0</v>
      </c>
      <c r="E282" s="723">
        <f t="shared" ref="E282:E341" si="19">IFERROR(D282/$D$599,"-")</f>
        <v>0</v>
      </c>
      <c r="F282" s="727">
        <f>SUMIF('ПО КОРИСНИЦИМА'!$G$6:$G$13997,"Свега за пројекат 2002-П2:",'ПО КОРИСНИЦИМА'!$I$6:$I$13997)</f>
        <v>0</v>
      </c>
      <c r="G282" s="718">
        <f t="shared" si="18"/>
        <v>0</v>
      </c>
      <c r="H282" s="721"/>
    </row>
    <row r="283" spans="1:8" hidden="1">
      <c r="A283" s="689"/>
      <c r="B283" s="698" t="s">
        <v>4719</v>
      </c>
      <c r="C283" s="610" t="str">
        <f>IFERROR(VLOOKUP(B283,'ПО КОРИСНИЦИМА'!$C$6:$J$13997,5,FALSE),"")</f>
        <v/>
      </c>
      <c r="D283" s="726">
        <f>SUMIF('ПО КОРИСНИЦИМА'!$G$6:$G$13997,"Свега за пројекат 2002-П3:",'ПО КОРИСНИЦИМА'!$H$6:$H$13997)</f>
        <v>0</v>
      </c>
      <c r="E283" s="723">
        <f t="shared" si="19"/>
        <v>0</v>
      </c>
      <c r="F283" s="727">
        <f>SUMIF('ПО КОРИСНИЦИМА'!$G$6:$G$13997,"Свега за пројекат 2002-П3:",'ПО КОРИСНИЦИМА'!$I$6:$I$13997)</f>
        <v>0</v>
      </c>
      <c r="G283" s="718">
        <f t="shared" si="18"/>
        <v>0</v>
      </c>
      <c r="H283" s="721"/>
    </row>
    <row r="284" spans="1:8" hidden="1">
      <c r="A284" s="689"/>
      <c r="B284" s="698" t="s">
        <v>4720</v>
      </c>
      <c r="C284" s="610" t="str">
        <f>IFERROR(VLOOKUP(B284,'ПО КОРИСНИЦИМА'!$C$6:$J$13997,5,FALSE),"")</f>
        <v/>
      </c>
      <c r="D284" s="726">
        <f>SUMIF('ПО КОРИСНИЦИМА'!$G$6:$G$13997,"Свега за пројекат 2002-П4:",'ПО КОРИСНИЦИМА'!$H$6:$H$13997)</f>
        <v>0</v>
      </c>
      <c r="E284" s="723">
        <f t="shared" si="19"/>
        <v>0</v>
      </c>
      <c r="F284" s="727">
        <f>SUMIF('ПО КОРИСНИЦИМА'!$G$6:$G$13997,"Свега за пројекат 2002-П4:",'ПО КОРИСНИЦИМА'!$I$6:$I$13997)</f>
        <v>0</v>
      </c>
      <c r="G284" s="718">
        <f t="shared" si="18"/>
        <v>0</v>
      </c>
      <c r="H284" s="721"/>
    </row>
    <row r="285" spans="1:8" hidden="1">
      <c r="A285" s="689"/>
      <c r="B285" s="698" t="s">
        <v>4721</v>
      </c>
      <c r="C285" s="610" t="str">
        <f>IFERROR(VLOOKUP(B285,'ПО КОРИСНИЦИМА'!$C$6:$J$13997,5,FALSE),"")</f>
        <v/>
      </c>
      <c r="D285" s="726">
        <f>SUMIF('ПО КОРИСНИЦИМА'!$G$6:$G$13997,"Свега за пројекат 2002-П5:",'ПО КОРИСНИЦИМА'!$H$6:$H$13997)</f>
        <v>0</v>
      </c>
      <c r="E285" s="723">
        <f t="shared" si="19"/>
        <v>0</v>
      </c>
      <c r="F285" s="727">
        <f>SUMIF('ПО КОРИСНИЦИМА'!$G$6:$G$13997,"Свега за пројекат 2002-П5:",'ПО КОРИСНИЦИМА'!$I$6:$I$13997)</f>
        <v>0</v>
      </c>
      <c r="G285" s="718">
        <f t="shared" si="18"/>
        <v>0</v>
      </c>
      <c r="H285" s="721"/>
    </row>
    <row r="286" spans="1:8" hidden="1">
      <c r="A286" s="689"/>
      <c r="B286" s="698" t="s">
        <v>4722</v>
      </c>
      <c r="C286" s="610" t="str">
        <f>IFERROR(VLOOKUP(B286,'ПО КОРИСНИЦИМА'!$C$6:$J$13997,5,FALSE),"")</f>
        <v/>
      </c>
      <c r="D286" s="726">
        <f>SUMIF('ПО КОРИСНИЦИМА'!$G$6:$G$13997,"Свега за пројекат 2002-П6:",'ПО КОРИСНИЦИМА'!$H$6:$H$13997)</f>
        <v>0</v>
      </c>
      <c r="E286" s="723">
        <f t="shared" si="19"/>
        <v>0</v>
      </c>
      <c r="F286" s="727">
        <f>SUMIF('ПО КОРИСНИЦИМА'!$G$6:$G$13997,"Свега за пројекат 2002-П6:",'ПО КОРИСНИЦИМА'!$I$6:$I$13997)</f>
        <v>0</v>
      </c>
      <c r="G286" s="718">
        <f t="shared" si="18"/>
        <v>0</v>
      </c>
      <c r="H286" s="721"/>
    </row>
    <row r="287" spans="1:8" hidden="1">
      <c r="A287" s="689"/>
      <c r="B287" s="698" t="s">
        <v>4723</v>
      </c>
      <c r="C287" s="610" t="str">
        <f>IFERROR(VLOOKUP(B287,'ПО КОРИСНИЦИМА'!$C$6:$J$13997,5,FALSE),"")</f>
        <v/>
      </c>
      <c r="D287" s="726">
        <f>SUMIF('ПО КОРИСНИЦИМА'!$G$6:$G$13997,"Свега за пројекат 2002-П7:",'ПО КОРИСНИЦИМА'!$H$6:$H$13997)</f>
        <v>0</v>
      </c>
      <c r="E287" s="723">
        <f t="shared" si="19"/>
        <v>0</v>
      </c>
      <c r="F287" s="727">
        <f>SUMIF('ПО КОРИСНИЦИМА'!$G$6:$G$13997,"Свега за пројекат 2002-П7:",'ПО КОРИСНИЦИМА'!$I$6:$I$13997)</f>
        <v>0</v>
      </c>
      <c r="G287" s="718">
        <f t="shared" si="18"/>
        <v>0</v>
      </c>
      <c r="H287" s="721"/>
    </row>
    <row r="288" spans="1:8" hidden="1">
      <c r="A288" s="689"/>
      <c r="B288" s="698" t="s">
        <v>4724</v>
      </c>
      <c r="C288" s="610" t="str">
        <f>IFERROR(VLOOKUP(B288,'ПО КОРИСНИЦИМА'!$C$6:$J$13997,5,FALSE),"")</f>
        <v/>
      </c>
      <c r="D288" s="726">
        <f>SUMIF('ПО КОРИСНИЦИМА'!$G$6:$G$13997,"Свега за пројекат 2002-П8:",'ПО КОРИСНИЦИМА'!$H$6:$H$13997)</f>
        <v>0</v>
      </c>
      <c r="E288" s="723">
        <f t="shared" si="19"/>
        <v>0</v>
      </c>
      <c r="F288" s="727">
        <f>SUMIF('ПО КОРИСНИЦИМА'!$G$6:$G$13997,"Свега за пројекат 2002-П8:",'ПО КОРИСНИЦИМА'!$I$6:$I$13997)</f>
        <v>0</v>
      </c>
      <c r="G288" s="718">
        <f t="shared" si="18"/>
        <v>0</v>
      </c>
      <c r="H288" s="721"/>
    </row>
    <row r="289" spans="1:8" hidden="1">
      <c r="A289" s="689"/>
      <c r="B289" s="698" t="s">
        <v>4725</v>
      </c>
      <c r="C289" s="610" t="str">
        <f>IFERROR(VLOOKUP(B289,'ПО КОРИСНИЦИМА'!$C$6:$J$13997,5,FALSE),"")</f>
        <v/>
      </c>
      <c r="D289" s="726">
        <f>SUMIF('ПО КОРИСНИЦИМА'!$G$6:$G$13997,"Свега за пројекат 2002-П9:",'ПО КОРИСНИЦИМА'!$H$6:$H$13997)</f>
        <v>0</v>
      </c>
      <c r="E289" s="723">
        <f t="shared" si="19"/>
        <v>0</v>
      </c>
      <c r="F289" s="727">
        <f>SUMIF('ПО КОРИСНИЦИМА'!$G$6:$G$13997,"Свега за пројекат 2002-П9:",'ПО КОРИСНИЦИМА'!$I$6:$I$13997)</f>
        <v>0</v>
      </c>
      <c r="G289" s="718">
        <f t="shared" si="18"/>
        <v>0</v>
      </c>
      <c r="H289" s="721"/>
    </row>
    <row r="290" spans="1:8" hidden="1">
      <c r="A290" s="689"/>
      <c r="B290" s="698" t="s">
        <v>4726</v>
      </c>
      <c r="C290" s="610" t="str">
        <f>IFERROR(VLOOKUP(B290,'ПО КОРИСНИЦИМА'!$C$6:$J$13997,5,FALSE),"")</f>
        <v/>
      </c>
      <c r="D290" s="726">
        <f>SUMIF('ПО КОРИСНИЦИМА'!$G$6:$G$13997,"Свега за пројекат 2002-П10:",'ПО КОРИСНИЦИМА'!$H$6:$H$13997)</f>
        <v>0</v>
      </c>
      <c r="E290" s="723">
        <f t="shared" si="19"/>
        <v>0</v>
      </c>
      <c r="F290" s="727">
        <f>SUMIF('ПО КОРИСНИЦИМА'!$G$6:$G$13997,"Свега за пројекат 2002-П10:",'ПО КОРИСНИЦИМА'!$I$6:$I$13997)</f>
        <v>0</v>
      </c>
      <c r="G290" s="718">
        <f t="shared" si="18"/>
        <v>0</v>
      </c>
      <c r="H290" s="721"/>
    </row>
    <row r="291" spans="1:8" hidden="1">
      <c r="A291" s="689"/>
      <c r="B291" s="698" t="s">
        <v>4727</v>
      </c>
      <c r="C291" s="610" t="str">
        <f>IFERROR(VLOOKUP(B291,'ПО КОРИСНИЦИМА'!$C$6:$J$13997,5,FALSE),"")</f>
        <v/>
      </c>
      <c r="D291" s="726">
        <f>SUMIF('ПО КОРИСНИЦИМА'!$G$6:$G$13997,"Свега за пројекат 2002-П11:",'ПО КОРИСНИЦИМА'!$H$6:$H$13997)</f>
        <v>0</v>
      </c>
      <c r="E291" s="723">
        <f t="shared" si="19"/>
        <v>0</v>
      </c>
      <c r="F291" s="727">
        <f>SUMIF('ПО КОРИСНИЦИМА'!$G$6:$G$13997,"Свега за пројекат 2002-П11:",'ПО КОРИСНИЦИМА'!$I$6:$I$13997)</f>
        <v>0</v>
      </c>
      <c r="G291" s="718">
        <f t="shared" si="18"/>
        <v>0</v>
      </c>
      <c r="H291" s="721"/>
    </row>
    <row r="292" spans="1:8" hidden="1">
      <c r="A292" s="689"/>
      <c r="B292" s="698" t="s">
        <v>4728</v>
      </c>
      <c r="C292" s="610" t="str">
        <f>IFERROR(VLOOKUP(B292,'ПО КОРИСНИЦИМА'!$C$6:$J$13997,5,FALSE),"")</f>
        <v/>
      </c>
      <c r="D292" s="726">
        <f>SUMIF('ПО КОРИСНИЦИМА'!$G$6:$G$13997,"Свега за пројекат 2002-П12:",'ПО КОРИСНИЦИМА'!$H$6:$H$13997)</f>
        <v>0</v>
      </c>
      <c r="E292" s="723">
        <f t="shared" si="19"/>
        <v>0</v>
      </c>
      <c r="F292" s="727">
        <f>SUMIF('ПО КОРИСНИЦИМА'!$G$6:$G$13997,"Свега за пројекат 2002-П12:",'ПО КОРИСНИЦИМА'!$I$6:$I$13997)</f>
        <v>0</v>
      </c>
      <c r="G292" s="718">
        <f t="shared" si="18"/>
        <v>0</v>
      </c>
      <c r="H292" s="721"/>
    </row>
    <row r="293" spans="1:8" hidden="1">
      <c r="A293" s="689"/>
      <c r="B293" s="698" t="s">
        <v>4729</v>
      </c>
      <c r="C293" s="610" t="str">
        <f>IFERROR(VLOOKUP(B293,'ПО КОРИСНИЦИМА'!$C$6:$J$13997,5,FALSE),"")</f>
        <v/>
      </c>
      <c r="D293" s="726">
        <f>SUMIF('ПО КОРИСНИЦИМА'!$G$6:$G$13997,"Свега за пројекат 2002-П13:",'ПО КОРИСНИЦИМА'!$H$6:$H$13997)</f>
        <v>0</v>
      </c>
      <c r="E293" s="723">
        <f t="shared" si="19"/>
        <v>0</v>
      </c>
      <c r="F293" s="727">
        <f>SUMIF('ПО КОРИСНИЦИМА'!$G$6:$G$13997,"Свега за пројекат 2002-П13:",'ПО КОРИСНИЦИМА'!$I$6:$I$13997)</f>
        <v>0</v>
      </c>
      <c r="G293" s="718">
        <f t="shared" si="18"/>
        <v>0</v>
      </c>
      <c r="H293" s="721"/>
    </row>
    <row r="294" spans="1:8" hidden="1">
      <c r="A294" s="689"/>
      <c r="B294" s="698" t="s">
        <v>4730</v>
      </c>
      <c r="C294" s="610" t="str">
        <f>IFERROR(VLOOKUP(B294,'ПО КОРИСНИЦИМА'!$C$6:$J$13997,5,FALSE),"")</f>
        <v/>
      </c>
      <c r="D294" s="726">
        <f>SUMIF('ПО КОРИСНИЦИМА'!$G$6:$G$13997,"Свега за пројекат 2002-П14:",'ПО КОРИСНИЦИМА'!$H$6:$H$13997)</f>
        <v>0</v>
      </c>
      <c r="E294" s="723">
        <f t="shared" si="19"/>
        <v>0</v>
      </c>
      <c r="F294" s="727">
        <f>SUMIF('ПО КОРИСНИЦИМА'!$G$6:$G$13997,"Свега за пројекат 2002-П14:",'ПО КОРИСНИЦИМА'!$I$6:$I$13997)</f>
        <v>0</v>
      </c>
      <c r="G294" s="718">
        <f t="shared" si="18"/>
        <v>0</v>
      </c>
      <c r="H294" s="721"/>
    </row>
    <row r="295" spans="1:8" hidden="1">
      <c r="A295" s="689"/>
      <c r="B295" s="698" t="s">
        <v>4731</v>
      </c>
      <c r="C295" s="610" t="str">
        <f>IFERROR(VLOOKUP(B295,'ПО КОРИСНИЦИМА'!$C$6:$J$13997,5,FALSE),"")</f>
        <v/>
      </c>
      <c r="D295" s="726">
        <f>SUMIF('ПО КОРИСНИЦИМА'!$G$6:$G$13997,"Свега за пројекат 2002-П15:",'ПО КОРИСНИЦИМА'!$H$6:$H$13997)</f>
        <v>0</v>
      </c>
      <c r="E295" s="723">
        <f t="shared" si="19"/>
        <v>0</v>
      </c>
      <c r="F295" s="727">
        <f>SUMIF('ПО КОРИСНИЦИМА'!$G$6:$G$13997,"Свега за пројекат 2002-П15:",'ПО КОРИСНИЦИМА'!$I$6:$I$13997)</f>
        <v>0</v>
      </c>
      <c r="G295" s="718">
        <f t="shared" si="18"/>
        <v>0</v>
      </c>
      <c r="H295" s="721"/>
    </row>
    <row r="296" spans="1:8" hidden="1">
      <c r="A296" s="689"/>
      <c r="B296" s="698" t="s">
        <v>4732</v>
      </c>
      <c r="C296" s="610" t="str">
        <f>IFERROR(VLOOKUP(B296,'ПО КОРИСНИЦИМА'!$C$6:$J$13997,5,FALSE),"")</f>
        <v/>
      </c>
      <c r="D296" s="726">
        <f>SUMIF('ПО КОРИСНИЦИМА'!$G$6:$G$13997,"Свега за пројекат 2002-П16:",'ПО КОРИСНИЦИМА'!$H$6:$H$13997)</f>
        <v>0</v>
      </c>
      <c r="E296" s="723">
        <f t="shared" si="19"/>
        <v>0</v>
      </c>
      <c r="F296" s="727">
        <f>SUMIF('ПО КОРИСНИЦИМА'!$G$6:$G$13997,"Свега за пројекат 2002-П16:",'ПО КОРИСНИЦИМА'!$I$6:$I$13997)</f>
        <v>0</v>
      </c>
      <c r="G296" s="718">
        <f t="shared" si="18"/>
        <v>0</v>
      </c>
      <c r="H296" s="721"/>
    </row>
    <row r="297" spans="1:8" hidden="1">
      <c r="A297" s="689"/>
      <c r="B297" s="698" t="s">
        <v>4733</v>
      </c>
      <c r="C297" s="610" t="str">
        <f>IFERROR(VLOOKUP(B297,'ПО КОРИСНИЦИМА'!$C$6:$J$13997,5,FALSE),"")</f>
        <v/>
      </c>
      <c r="D297" s="726">
        <f>SUMIF('ПО КОРИСНИЦИМА'!$G$6:$G$13997,"Свега за пројекат 2002-П17:",'ПО КОРИСНИЦИМА'!$H$6:$H$13997)</f>
        <v>0</v>
      </c>
      <c r="E297" s="723">
        <f t="shared" si="19"/>
        <v>0</v>
      </c>
      <c r="F297" s="727">
        <f>SUMIF('ПО КОРИСНИЦИМА'!$G$6:$G$13997,"Свега за пројекат 2002-П17:",'ПО КОРИСНИЦИМА'!$I$6:$I$13997)</f>
        <v>0</v>
      </c>
      <c r="G297" s="718">
        <f t="shared" si="18"/>
        <v>0</v>
      </c>
      <c r="H297" s="721"/>
    </row>
    <row r="298" spans="1:8" hidden="1">
      <c r="A298" s="689"/>
      <c r="B298" s="698" t="s">
        <v>4734</v>
      </c>
      <c r="C298" s="610" t="str">
        <f>IFERROR(VLOOKUP(B298,'ПО КОРИСНИЦИМА'!$C$6:$J$13997,5,FALSE),"")</f>
        <v/>
      </c>
      <c r="D298" s="726">
        <f>SUMIF('ПО КОРИСНИЦИМА'!$G$6:$G$13997,"Свега за пројекат 2002-П18:",'ПО КОРИСНИЦИМА'!$H$6:$H$13997)</f>
        <v>0</v>
      </c>
      <c r="E298" s="723">
        <f t="shared" si="19"/>
        <v>0</v>
      </c>
      <c r="F298" s="727">
        <f>SUMIF('ПО КОРИСНИЦИМА'!$G$6:$G$13997,"Свега за пројекат 2002-П18:",'ПО КОРИСНИЦИМА'!$I$6:$I$13997)</f>
        <v>0</v>
      </c>
      <c r="G298" s="718">
        <f t="shared" si="18"/>
        <v>0</v>
      </c>
      <c r="H298" s="721"/>
    </row>
    <row r="299" spans="1:8" hidden="1">
      <c r="A299" s="689"/>
      <c r="B299" s="698" t="s">
        <v>4735</v>
      </c>
      <c r="C299" s="610" t="str">
        <f>IFERROR(VLOOKUP(B299,'ПО КОРИСНИЦИМА'!$C$6:$J$13997,5,FALSE),"")</f>
        <v/>
      </c>
      <c r="D299" s="726">
        <f>SUMIF('ПО КОРИСНИЦИМА'!$G$6:$G$13997,"Свега за пројекат 2002-П19:",'ПО КОРИСНИЦИМА'!$H$6:$H$13997)</f>
        <v>0</v>
      </c>
      <c r="E299" s="723">
        <f t="shared" si="19"/>
        <v>0</v>
      </c>
      <c r="F299" s="727">
        <f>SUMIF('ПО КОРИСНИЦИМА'!$G$6:$G$13997,"Свега за пројекат 2002-П19:",'ПО КОРИСНИЦИМА'!$I$6:$I$13997)</f>
        <v>0</v>
      </c>
      <c r="G299" s="718">
        <f t="shared" si="18"/>
        <v>0</v>
      </c>
      <c r="H299" s="721"/>
    </row>
    <row r="300" spans="1:8" hidden="1">
      <c r="A300" s="689"/>
      <c r="B300" s="698" t="s">
        <v>4736</v>
      </c>
      <c r="C300" s="610" t="str">
        <f>IFERROR(VLOOKUP(B300,'ПО КОРИСНИЦИМА'!$C$6:$J$13997,5,FALSE),"")</f>
        <v/>
      </c>
      <c r="D300" s="726">
        <f>SUMIF('ПО КОРИСНИЦИМА'!$G$6:$G$13997,"Свега за пројекат 2002-П20:",'ПО КОРИСНИЦИМА'!$H$6:$H$13997)</f>
        <v>0</v>
      </c>
      <c r="E300" s="723">
        <f t="shared" si="19"/>
        <v>0</v>
      </c>
      <c r="F300" s="727">
        <f>SUMIF('ПО КОРИСНИЦИМА'!$G$6:$G$13997,"Свега за пројекат 2002-П20:",'ПО КОРИСНИЦИМА'!$I$6:$I$13997)</f>
        <v>0</v>
      </c>
      <c r="G300" s="718">
        <f t="shared" si="18"/>
        <v>0</v>
      </c>
      <c r="H300" s="721"/>
    </row>
    <row r="301" spans="1:8" hidden="1">
      <c r="A301" s="689"/>
      <c r="B301" s="698" t="s">
        <v>4737</v>
      </c>
      <c r="C301" s="610" t="str">
        <f>IFERROR(VLOOKUP(B301,'ПО КОРИСНИЦИМА'!$C$6:$J$13997,5,FALSE),"")</f>
        <v/>
      </c>
      <c r="D301" s="726">
        <f>SUMIF('ПО КОРИСНИЦИМА'!$G$6:$G$13997,"Свега за пројекат 2002-П21:",'ПО КОРИСНИЦИМА'!$H$6:$H$13997)</f>
        <v>0</v>
      </c>
      <c r="E301" s="723">
        <f t="shared" si="19"/>
        <v>0</v>
      </c>
      <c r="F301" s="727">
        <f>SUMIF('ПО КОРИСНИЦИМА'!$G$6:$G$13997,"Свега за пројекат 2002-П21:",'ПО КОРИСНИЦИМА'!$I$6:$I$13997)</f>
        <v>0</v>
      </c>
      <c r="G301" s="718">
        <f t="shared" si="18"/>
        <v>0</v>
      </c>
      <c r="H301" s="721"/>
    </row>
    <row r="302" spans="1:8" hidden="1">
      <c r="A302" s="689"/>
      <c r="B302" s="698" t="s">
        <v>4738</v>
      </c>
      <c r="C302" s="610" t="str">
        <f>IFERROR(VLOOKUP(B302,'ПО КОРИСНИЦИМА'!$C$6:$J$13997,5,FALSE),"")</f>
        <v/>
      </c>
      <c r="D302" s="726">
        <f>SUMIF('ПО КОРИСНИЦИМА'!$G$6:$G$13997,"Свега за пројекат 2002-П22:",'ПО КОРИСНИЦИМА'!$H$6:$H$13997)</f>
        <v>0</v>
      </c>
      <c r="E302" s="723">
        <f t="shared" si="19"/>
        <v>0</v>
      </c>
      <c r="F302" s="727">
        <f>SUMIF('ПО КОРИСНИЦИМА'!$G$6:$G$13997,"Свега за пројекат 2002-П22:",'ПО КОРИСНИЦИМА'!$I$6:$I$13997)</f>
        <v>0</v>
      </c>
      <c r="G302" s="718">
        <f t="shared" si="18"/>
        <v>0</v>
      </c>
      <c r="H302" s="721"/>
    </row>
    <row r="303" spans="1:8" hidden="1">
      <c r="A303" s="689"/>
      <c r="B303" s="698" t="s">
        <v>4739</v>
      </c>
      <c r="C303" s="610" t="str">
        <f>IFERROR(VLOOKUP(B303,'ПО КОРИСНИЦИМА'!$C$6:$J$13997,5,FALSE),"")</f>
        <v/>
      </c>
      <c r="D303" s="726">
        <f>SUMIF('ПО КОРИСНИЦИМА'!$G$6:$G$13997,"Свега за пројекат 2002-П23:",'ПО КОРИСНИЦИМА'!$H$6:$H$13997)</f>
        <v>0</v>
      </c>
      <c r="E303" s="723">
        <f t="shared" si="19"/>
        <v>0</v>
      </c>
      <c r="F303" s="727">
        <f>SUMIF('ПО КОРИСНИЦИМА'!$G$6:$G$13997,"Свега за пројекат 2002-П23:",'ПО КОРИСНИЦИМА'!$I$6:$I$13997)</f>
        <v>0</v>
      </c>
      <c r="G303" s="718">
        <f t="shared" si="18"/>
        <v>0</v>
      </c>
      <c r="H303" s="721"/>
    </row>
    <row r="304" spans="1:8" hidden="1">
      <c r="A304" s="689"/>
      <c r="B304" s="698" t="s">
        <v>4740</v>
      </c>
      <c r="C304" s="610" t="str">
        <f>IFERROR(VLOOKUP(B304,'ПО КОРИСНИЦИМА'!$C$6:$J$13997,5,FALSE),"")</f>
        <v/>
      </c>
      <c r="D304" s="726">
        <f>SUMIF('ПО КОРИСНИЦИМА'!$G$6:$G$13997,"Свега за пројекат 2002-П24:",'ПО КОРИСНИЦИМА'!$H$6:$H$13997)</f>
        <v>0</v>
      </c>
      <c r="E304" s="723">
        <f t="shared" si="19"/>
        <v>0</v>
      </c>
      <c r="F304" s="727">
        <f>SUMIF('ПО КОРИСНИЦИМА'!$G$6:$G$13997,"Свега за пројекат 2002-П24:",'ПО КОРИСНИЦИМА'!$I$6:$I$13997)</f>
        <v>0</v>
      </c>
      <c r="G304" s="718">
        <f t="shared" si="18"/>
        <v>0</v>
      </c>
      <c r="H304" s="721"/>
    </row>
    <row r="305" spans="1:8" hidden="1">
      <c r="A305" s="689"/>
      <c r="B305" s="698" t="s">
        <v>4741</v>
      </c>
      <c r="C305" s="610" t="str">
        <f>IFERROR(VLOOKUP(B305,'ПО КОРИСНИЦИМА'!$C$6:$J$13997,5,FALSE),"")</f>
        <v/>
      </c>
      <c r="D305" s="726">
        <f>SUMIF('ПО КОРИСНИЦИМА'!$G$6:$G$13997,"Свега за пројекат 2002-П25:",'ПО КОРИСНИЦИМА'!$H$6:$H$13997)</f>
        <v>0</v>
      </c>
      <c r="E305" s="723">
        <f t="shared" si="19"/>
        <v>0</v>
      </c>
      <c r="F305" s="727">
        <f>SUMIF('ПО КОРИСНИЦИМА'!$G$6:$G$13997,"Свега за пројекат 2002-П25:",'ПО КОРИСНИЦИМА'!$I$6:$I$13997)</f>
        <v>0</v>
      </c>
      <c r="G305" s="718">
        <f t="shared" si="18"/>
        <v>0</v>
      </c>
      <c r="H305" s="721"/>
    </row>
    <row r="306" spans="1:8" hidden="1">
      <c r="A306" s="696"/>
      <c r="B306" s="698" t="s">
        <v>4742</v>
      </c>
      <c r="C306" s="610" t="str">
        <f>IFERROR(VLOOKUP(B306,'ПО КОРИСНИЦИМА'!$C$6:$J$13997,5,FALSE),"")</f>
        <v/>
      </c>
      <c r="D306" s="726">
        <f>SUMIF('ПО КОРИСНИЦИМА'!$G$6:$G$13997,"Свега за пројекат 2002-П26:",'ПО КОРИСНИЦИМА'!$H$6:$H$13997)</f>
        <v>0</v>
      </c>
      <c r="E306" s="723">
        <f t="shared" si="19"/>
        <v>0</v>
      </c>
      <c r="F306" s="727">
        <f>SUMIF('ПО КОРИСНИЦИМА'!$G$6:$G$13997,"Свега за пројекат 2002-П26:",'ПО КОРИСНИЦИМА'!$I$6:$I$13997)</f>
        <v>0</v>
      </c>
      <c r="G306" s="718">
        <f t="shared" si="18"/>
        <v>0</v>
      </c>
      <c r="H306" s="725"/>
    </row>
    <row r="307" spans="1:8" hidden="1">
      <c r="A307" s="696"/>
      <c r="B307" s="698" t="s">
        <v>4743</v>
      </c>
      <c r="C307" s="610" t="str">
        <f>IFERROR(VLOOKUP(B307,'ПО КОРИСНИЦИМА'!$C$6:$J$13997,5,FALSE),"")</f>
        <v/>
      </c>
      <c r="D307" s="726">
        <f>SUMIF('ПО КОРИСНИЦИМА'!$G$6:$G$13997,"Свега за пројекат 2002-П27:",'ПО КОРИСНИЦИМА'!$H$6:$H$13997)</f>
        <v>0</v>
      </c>
      <c r="E307" s="723">
        <f t="shared" si="19"/>
        <v>0</v>
      </c>
      <c r="F307" s="727">
        <f>SUMIF('ПО КОРИСНИЦИМА'!$G$6:$G$13997,"Свега за пројекат 2002-П27:",'ПО КОРИСНИЦИМА'!$I$6:$I$13997)</f>
        <v>0</v>
      </c>
      <c r="G307" s="718">
        <f t="shared" si="18"/>
        <v>0</v>
      </c>
      <c r="H307" s="725"/>
    </row>
    <row r="308" spans="1:8" hidden="1">
      <c r="A308" s="696"/>
      <c r="B308" s="698" t="s">
        <v>4744</v>
      </c>
      <c r="C308" s="610" t="str">
        <f>IFERROR(VLOOKUP(B308,'ПО КОРИСНИЦИМА'!$C$6:$J$13997,5,FALSE),"")</f>
        <v/>
      </c>
      <c r="D308" s="726">
        <f>SUMIF('ПО КОРИСНИЦИМА'!$G$6:$G$13997,"Свега за пројекат 2002-П28:",'ПО КОРИСНИЦИМА'!$H$6:$H$13997)</f>
        <v>0</v>
      </c>
      <c r="E308" s="723">
        <f t="shared" si="19"/>
        <v>0</v>
      </c>
      <c r="F308" s="727">
        <f>SUMIF('ПО КОРИСНИЦИМА'!$G$6:$G$13997,"Свега за пројекат 2002-П28:",'ПО КОРИСНИЦИМА'!$I$6:$I$13997)</f>
        <v>0</v>
      </c>
      <c r="G308" s="718">
        <f t="shared" si="18"/>
        <v>0</v>
      </c>
      <c r="H308" s="725"/>
    </row>
    <row r="309" spans="1:8" hidden="1">
      <c r="A309" s="696"/>
      <c r="B309" s="698" t="s">
        <v>4745</v>
      </c>
      <c r="C309" s="610" t="str">
        <f>IFERROR(VLOOKUP(B309,'ПО КОРИСНИЦИМА'!$C$6:$J$13997,5,FALSE),"")</f>
        <v/>
      </c>
      <c r="D309" s="726">
        <f>SUMIF('ПО КОРИСНИЦИМА'!$G$6:$G$13997,"Свега за пројекат 2002-П29:",'ПО КОРИСНИЦИМА'!$H$6:$H$13997)</f>
        <v>0</v>
      </c>
      <c r="E309" s="723">
        <f t="shared" si="19"/>
        <v>0</v>
      </c>
      <c r="F309" s="727">
        <f>SUMIF('ПО КОРИСНИЦИМА'!$G$6:$G$13997,"Свега за пројекат 2002-П29:",'ПО КОРИСНИЦИМА'!$I$6:$I$13997)</f>
        <v>0</v>
      </c>
      <c r="G309" s="718">
        <f t="shared" si="18"/>
        <v>0</v>
      </c>
      <c r="H309" s="725"/>
    </row>
    <row r="310" spans="1:8" hidden="1">
      <c r="A310" s="697"/>
      <c r="B310" s="698" t="s">
        <v>4746</v>
      </c>
      <c r="C310" s="610" t="str">
        <f>IFERROR(VLOOKUP(B310,'ПО КОРИСНИЦИМА'!$C$6:$J$13997,5,FALSE),"")</f>
        <v/>
      </c>
      <c r="D310" s="726">
        <f>SUMIF('ПО КОРИСНИЦИМА'!$G$6:$G$13997,"Свега за пројекат 2002-П30:",'ПО КОРИСНИЦИМА'!$H$6:$H$13997)</f>
        <v>0</v>
      </c>
      <c r="E310" s="723">
        <f t="shared" si="19"/>
        <v>0</v>
      </c>
      <c r="F310" s="727">
        <f>SUMIF('ПО КОРИСНИЦИМА'!$G$6:$G$13997,"Свега за пројекат 2002-П30:",'ПО КОРИСНИЦИМА'!$I$6:$I$13997)</f>
        <v>0</v>
      </c>
      <c r="G310" s="718">
        <f t="shared" si="18"/>
        <v>0</v>
      </c>
      <c r="H310" s="734"/>
    </row>
    <row r="311" spans="1:8" s="694" customFormat="1">
      <c r="A311" s="687" t="s">
        <v>3585</v>
      </c>
      <c r="B311" s="688"/>
      <c r="C311" s="608" t="s">
        <v>3674</v>
      </c>
      <c r="D311" s="714">
        <f>SUM(D312:D342)</f>
        <v>6136840</v>
      </c>
      <c r="E311" s="715">
        <f>IFERROR(D311/$D$599,"-")</f>
        <v>1.2936442404558839E-2</v>
      </c>
      <c r="F311" s="716">
        <f>SUM(F312:F342)</f>
        <v>0</v>
      </c>
      <c r="G311" s="714">
        <f t="shared" si="13"/>
        <v>6136840</v>
      </c>
      <c r="H311" s="735"/>
    </row>
    <row r="312" spans="1:8">
      <c r="A312" s="690"/>
      <c r="B312" s="698" t="s">
        <v>4341</v>
      </c>
      <c r="C312" s="614" t="s">
        <v>4111</v>
      </c>
      <c r="D312" s="718">
        <f>SUMIF('ПО КОРИСНИЦИМА'!$G$6:$G$13997,"Свега за програмску активност 2003-0001:",'ПО КОРИСНИЦИМА'!$H$6:$H$13997)</f>
        <v>6136840</v>
      </c>
      <c r="E312" s="723">
        <f t="shared" si="19"/>
        <v>1.2936442404558839E-2</v>
      </c>
      <c r="F312" s="720">
        <f>SUMIF('ПО КОРИСНИЦИМА'!$G$6:$G$13997,"Свега за програмску активност 2003-0001:",'ПО КОРИСНИЦИМА'!$I$6:$I$13997)</f>
        <v>0</v>
      </c>
      <c r="G312" s="718">
        <f t="shared" si="13"/>
        <v>6136840</v>
      </c>
      <c r="H312" s="721"/>
    </row>
    <row r="313" spans="1:8" hidden="1">
      <c r="A313" s="696"/>
      <c r="B313" s="696" t="s">
        <v>4747</v>
      </c>
      <c r="C313" s="610" t="str">
        <f>IFERROR(VLOOKUP(B313,'ПО КОРИСНИЦИМА'!$C$6:$J$13997,5,FALSE),"")</f>
        <v xml:space="preserve">Пројекат: </v>
      </c>
      <c r="D313" s="726">
        <f>SUMIF('ПО КОРИСНИЦИМА'!$G$6:$G$13997,"Свега за пројекат 2003-П1:",'ПО КОРИСНИЦИМА'!$H$6:$H$13997)</f>
        <v>0</v>
      </c>
      <c r="E313" s="723">
        <f>IFERROR(D313/$D$599,"-")</f>
        <v>0</v>
      </c>
      <c r="F313" s="727">
        <f>SUMIF('ПО КОРИСНИЦИМА'!$G$6:$G$13997,"Свега за пројекат 2003-П1:",'ПО КОРИСНИЦИМА'!$I$6:$I$13997)</f>
        <v>0</v>
      </c>
      <c r="G313" s="718">
        <f t="shared" ref="G313:G342" si="20">D313+F313</f>
        <v>0</v>
      </c>
      <c r="H313" s="725"/>
    </row>
    <row r="314" spans="1:8" hidden="1">
      <c r="A314" s="696"/>
      <c r="B314" s="696" t="s">
        <v>4748</v>
      </c>
      <c r="C314" s="610" t="str">
        <f>IFERROR(VLOOKUP(B314,'ПО КОРИСНИЦИМА'!$C$6:$J$13997,5,FALSE),"")</f>
        <v xml:space="preserve">Пројекат: </v>
      </c>
      <c r="D314" s="726">
        <f>SUMIF('ПО КОРИСНИЦИМА'!$G$6:$G$13997,"Свега за пројекат 2003-П2:",'ПО КОРИСНИЦИМА'!$H$6:$H$13997)</f>
        <v>0</v>
      </c>
      <c r="E314" s="723">
        <f t="shared" si="19"/>
        <v>0</v>
      </c>
      <c r="F314" s="727">
        <f>SUMIF('ПО КОРИСНИЦИМА'!$G$6:$G$13997,"Свега за пројекат 2003-П2:",'ПО КОРИСНИЦИМА'!$I$6:$I$13997)</f>
        <v>0</v>
      </c>
      <c r="G314" s="718">
        <f t="shared" si="20"/>
        <v>0</v>
      </c>
      <c r="H314" s="728"/>
    </row>
    <row r="315" spans="1:8" hidden="1">
      <c r="A315" s="696"/>
      <c r="B315" s="696" t="s">
        <v>4749</v>
      </c>
      <c r="C315" s="610" t="str">
        <f>IFERROR(VLOOKUP(B315,'ПО КОРИСНИЦИМА'!$C$6:$J$13997,5,FALSE),"")</f>
        <v/>
      </c>
      <c r="D315" s="726">
        <f>SUMIF('ПО КОРИСНИЦИМА'!$G$6:$G$13997,"Свега за пројекат 2003-П3:",'ПО КОРИСНИЦИМА'!$H$6:$H$13997)</f>
        <v>0</v>
      </c>
      <c r="E315" s="723">
        <f t="shared" si="19"/>
        <v>0</v>
      </c>
      <c r="F315" s="727">
        <f>SUMIF('ПО КОРИСНИЦИМА'!$G$6:$G$13997,"Свега за пројекат 2003-П3:",'ПО КОРИСНИЦИМА'!$I$6:$I$13997)</f>
        <v>0</v>
      </c>
      <c r="G315" s="718">
        <f t="shared" si="20"/>
        <v>0</v>
      </c>
      <c r="H315" s="728"/>
    </row>
    <row r="316" spans="1:8" hidden="1">
      <c r="A316" s="696"/>
      <c r="B316" s="696" t="s">
        <v>4750</v>
      </c>
      <c r="C316" s="610" t="str">
        <f>IFERROR(VLOOKUP(B316,'ПО КОРИСНИЦИМА'!$C$6:$J$13997,5,FALSE),"")</f>
        <v/>
      </c>
      <c r="D316" s="726">
        <f>SUMIF('ПО КОРИСНИЦИМА'!$G$6:$G$13997,"Свега за пројекат 2003-П4:",'ПО КОРИСНИЦИМА'!$H$6:$H$13997)</f>
        <v>0</v>
      </c>
      <c r="E316" s="723">
        <f t="shared" si="19"/>
        <v>0</v>
      </c>
      <c r="F316" s="727">
        <f>SUMIF('ПО КОРИСНИЦИМА'!$G$6:$G$13997,"Свега за пројекат 2003-П4:",'ПО КОРИСНИЦИМА'!$I$6:$I$13997)</f>
        <v>0</v>
      </c>
      <c r="G316" s="718">
        <f t="shared" si="20"/>
        <v>0</v>
      </c>
      <c r="H316" s="728"/>
    </row>
    <row r="317" spans="1:8" hidden="1">
      <c r="A317" s="696"/>
      <c r="B317" s="696" t="s">
        <v>4751</v>
      </c>
      <c r="C317" s="610" t="str">
        <f>IFERROR(VLOOKUP(B317,'ПО КОРИСНИЦИМА'!$C$6:$J$13997,5,FALSE),"")</f>
        <v/>
      </c>
      <c r="D317" s="726">
        <f>SUMIF('ПО КОРИСНИЦИМА'!$G$6:$G$13997,"Свега за пројекат 2003-П5:",'ПО КОРИСНИЦИМА'!$H$6:$H$13997)</f>
        <v>0</v>
      </c>
      <c r="E317" s="723">
        <f t="shared" si="19"/>
        <v>0</v>
      </c>
      <c r="F317" s="727">
        <f>SUMIF('ПО КОРИСНИЦИМА'!$G$6:$G$13997,"Свега за пројекат 2003-П5:",'ПО КОРИСНИЦИМА'!$I$6:$I$13997)</f>
        <v>0</v>
      </c>
      <c r="G317" s="718">
        <f t="shared" si="20"/>
        <v>0</v>
      </c>
      <c r="H317" s="728"/>
    </row>
    <row r="318" spans="1:8" hidden="1">
      <c r="A318" s="696"/>
      <c r="B318" s="696" t="s">
        <v>4752</v>
      </c>
      <c r="C318" s="610" t="str">
        <f>IFERROR(VLOOKUP(B318,'ПО КОРИСНИЦИМА'!$C$6:$J$13997,5,FALSE),"")</f>
        <v/>
      </c>
      <c r="D318" s="726">
        <f>SUMIF('ПО КОРИСНИЦИМА'!$G$6:$G$13997,"Свега за пројекат 2003-П6:",'ПО КОРИСНИЦИМА'!$H$6:$H$13997)</f>
        <v>0</v>
      </c>
      <c r="E318" s="723">
        <f t="shared" si="19"/>
        <v>0</v>
      </c>
      <c r="F318" s="727">
        <f>SUMIF('ПО КОРИСНИЦИМА'!$G$6:$G$13997,"Свега за пројекат 2003-П6:",'ПО КОРИСНИЦИМА'!$I$6:$I$13997)</f>
        <v>0</v>
      </c>
      <c r="G318" s="718">
        <f t="shared" si="20"/>
        <v>0</v>
      </c>
      <c r="H318" s="728"/>
    </row>
    <row r="319" spans="1:8" hidden="1">
      <c r="A319" s="696"/>
      <c r="B319" s="696" t="s">
        <v>4753</v>
      </c>
      <c r="C319" s="610" t="str">
        <f>IFERROR(VLOOKUP(B319,'ПО КОРИСНИЦИМА'!$C$6:$J$13997,5,FALSE),"")</f>
        <v/>
      </c>
      <c r="D319" s="726">
        <f>SUMIF('ПО КОРИСНИЦИМА'!$G$6:$G$13997,"Свега за пројекат 2003-П7:",'ПО КОРИСНИЦИМА'!$H$6:$H$13997)</f>
        <v>0</v>
      </c>
      <c r="E319" s="723">
        <f t="shared" si="19"/>
        <v>0</v>
      </c>
      <c r="F319" s="727">
        <f>SUMIF('ПО КОРИСНИЦИМА'!$G$6:$G$13997,"Свега за пројекат 2003-П7:",'ПО КОРИСНИЦИМА'!$I$6:$I$13997)</f>
        <v>0</v>
      </c>
      <c r="G319" s="718">
        <f t="shared" si="20"/>
        <v>0</v>
      </c>
      <c r="H319" s="728"/>
    </row>
    <row r="320" spans="1:8" hidden="1">
      <c r="A320" s="696"/>
      <c r="B320" s="696" t="s">
        <v>4754</v>
      </c>
      <c r="C320" s="610" t="str">
        <f>IFERROR(VLOOKUP(B320,'ПО КОРИСНИЦИМА'!$C$6:$J$13997,5,FALSE),"")</f>
        <v/>
      </c>
      <c r="D320" s="726">
        <f>SUMIF('ПО КОРИСНИЦИМА'!$G$6:$G$13997,"Свега за пројекат 2003-П8:",'ПО КОРИСНИЦИМА'!$H$6:$H$13997)</f>
        <v>0</v>
      </c>
      <c r="E320" s="723">
        <f t="shared" si="19"/>
        <v>0</v>
      </c>
      <c r="F320" s="727">
        <f>SUMIF('ПО КОРИСНИЦИМА'!$G$6:$G$13997,"Свега за пројекат 2003-П8:",'ПО КОРИСНИЦИМА'!$I$6:$I$13997)</f>
        <v>0</v>
      </c>
      <c r="G320" s="718">
        <f t="shared" si="20"/>
        <v>0</v>
      </c>
      <c r="H320" s="728"/>
    </row>
    <row r="321" spans="1:8" hidden="1">
      <c r="A321" s="696"/>
      <c r="B321" s="696" t="s">
        <v>4755</v>
      </c>
      <c r="C321" s="610" t="str">
        <f>IFERROR(VLOOKUP(B321,'ПО КОРИСНИЦИМА'!$C$6:$J$13997,5,FALSE),"")</f>
        <v/>
      </c>
      <c r="D321" s="726">
        <f>SUMIF('ПО КОРИСНИЦИМА'!$G$6:$G$13997,"Свега за пројекат 2003-П9:",'ПО КОРИСНИЦИМА'!$H$6:$H$13997)</f>
        <v>0</v>
      </c>
      <c r="E321" s="723">
        <f t="shared" si="19"/>
        <v>0</v>
      </c>
      <c r="F321" s="727">
        <f>SUMIF('ПО КОРИСНИЦИМА'!$G$6:$G$13997,"Свега за пројекат 2003-П9:",'ПО КОРИСНИЦИМА'!$I$6:$I$13997)</f>
        <v>0</v>
      </c>
      <c r="G321" s="718">
        <f t="shared" si="20"/>
        <v>0</v>
      </c>
      <c r="H321" s="728"/>
    </row>
    <row r="322" spans="1:8" hidden="1">
      <c r="A322" s="696"/>
      <c r="B322" s="696" t="s">
        <v>4756</v>
      </c>
      <c r="C322" s="610" t="str">
        <f>IFERROR(VLOOKUP(B322,'ПО КОРИСНИЦИМА'!$C$6:$J$13997,5,FALSE),"")</f>
        <v/>
      </c>
      <c r="D322" s="726">
        <f>SUMIF('ПО КОРИСНИЦИМА'!$G$6:$G$13997,"Свега за пројекат 2003-П10:",'ПО КОРИСНИЦИМА'!$H$6:$H$13997)</f>
        <v>0</v>
      </c>
      <c r="E322" s="723">
        <f t="shared" si="19"/>
        <v>0</v>
      </c>
      <c r="F322" s="727">
        <f>SUMIF('ПО КОРИСНИЦИМА'!$G$6:$G$13997,"Свега за пројекат 2003-П10:",'ПО КОРИСНИЦИМА'!$I$6:$I$13997)</f>
        <v>0</v>
      </c>
      <c r="G322" s="718">
        <f t="shared" si="20"/>
        <v>0</v>
      </c>
      <c r="H322" s="728"/>
    </row>
    <row r="323" spans="1:8" hidden="1">
      <c r="A323" s="696"/>
      <c r="B323" s="696" t="s">
        <v>4757</v>
      </c>
      <c r="C323" s="610" t="str">
        <f>IFERROR(VLOOKUP(B323,'ПО КОРИСНИЦИМА'!$C$6:$J$13997,5,FALSE),"")</f>
        <v/>
      </c>
      <c r="D323" s="726">
        <f>SUMIF('ПО КОРИСНИЦИМА'!$G$6:$G$13997,"Свега за пројекат 2003-П11:",'ПО КОРИСНИЦИМА'!$H$6:$H$13997)</f>
        <v>0</v>
      </c>
      <c r="E323" s="723">
        <f t="shared" si="19"/>
        <v>0</v>
      </c>
      <c r="F323" s="727">
        <f>SUMIF('ПО КОРИСНИЦИМА'!$G$6:$G$13997,"Свега за пројекат 2003-П11:",'ПО КОРИСНИЦИМА'!$I$6:$I$13997)</f>
        <v>0</v>
      </c>
      <c r="G323" s="718">
        <f t="shared" si="20"/>
        <v>0</v>
      </c>
      <c r="H323" s="728"/>
    </row>
    <row r="324" spans="1:8" hidden="1">
      <c r="A324" s="696"/>
      <c r="B324" s="696" t="s">
        <v>4758</v>
      </c>
      <c r="C324" s="610" t="str">
        <f>IFERROR(VLOOKUP(B324,'ПО КОРИСНИЦИМА'!$C$6:$J$13997,5,FALSE),"")</f>
        <v/>
      </c>
      <c r="D324" s="726">
        <f>SUMIF('ПО КОРИСНИЦИМА'!$G$6:$G$13997,"Свега за пројекат 2003-П12:",'ПО КОРИСНИЦИМА'!$H$6:$H$13997)</f>
        <v>0</v>
      </c>
      <c r="E324" s="723">
        <f t="shared" si="19"/>
        <v>0</v>
      </c>
      <c r="F324" s="727">
        <f>SUMIF('ПО КОРИСНИЦИМА'!$G$6:$G$13997,"Свега за пројекат 2003-П12:",'ПО КОРИСНИЦИМА'!$I$6:$I$13997)</f>
        <v>0</v>
      </c>
      <c r="G324" s="718">
        <f t="shared" si="20"/>
        <v>0</v>
      </c>
      <c r="H324" s="728"/>
    </row>
    <row r="325" spans="1:8" hidden="1">
      <c r="A325" s="696"/>
      <c r="B325" s="696" t="s">
        <v>4759</v>
      </c>
      <c r="C325" s="610" t="str">
        <f>IFERROR(VLOOKUP(B325,'ПО КОРИСНИЦИМА'!$C$6:$J$13997,5,FALSE),"")</f>
        <v/>
      </c>
      <c r="D325" s="726">
        <f>SUMIF('ПО КОРИСНИЦИМА'!$G$6:$G$13997,"Свега за пројекат 2003-П13:",'ПО КОРИСНИЦИМА'!$H$6:$H$13997)</f>
        <v>0</v>
      </c>
      <c r="E325" s="723">
        <f t="shared" si="19"/>
        <v>0</v>
      </c>
      <c r="F325" s="727">
        <f>SUMIF('ПО КОРИСНИЦИМА'!$G$6:$G$13997,"Свега за пројекат 2003-П13:",'ПО КОРИСНИЦИМА'!$I$6:$I$13997)</f>
        <v>0</v>
      </c>
      <c r="G325" s="718">
        <f t="shared" si="20"/>
        <v>0</v>
      </c>
      <c r="H325" s="728"/>
    </row>
    <row r="326" spans="1:8" hidden="1">
      <c r="A326" s="696"/>
      <c r="B326" s="696" t="s">
        <v>4760</v>
      </c>
      <c r="C326" s="610" t="str">
        <f>IFERROR(VLOOKUP(B326,'ПО КОРИСНИЦИМА'!$C$6:$J$13997,5,FALSE),"")</f>
        <v/>
      </c>
      <c r="D326" s="726">
        <f>SUMIF('ПО КОРИСНИЦИМА'!$G$6:$G$13997,"Свега за пројекат 2003-П14:",'ПО КОРИСНИЦИМА'!$H$6:$H$13997)</f>
        <v>0</v>
      </c>
      <c r="E326" s="723">
        <f t="shared" si="19"/>
        <v>0</v>
      </c>
      <c r="F326" s="727">
        <f>SUMIF('ПО КОРИСНИЦИМА'!$G$6:$G$13997,"Свега за пројекат 2003-П14:",'ПО КОРИСНИЦИМА'!$I$6:$I$13997)</f>
        <v>0</v>
      </c>
      <c r="G326" s="718">
        <f t="shared" si="20"/>
        <v>0</v>
      </c>
      <c r="H326" s="728"/>
    </row>
    <row r="327" spans="1:8" hidden="1">
      <c r="A327" s="696"/>
      <c r="B327" s="696" t="s">
        <v>4761</v>
      </c>
      <c r="C327" s="610" t="str">
        <f>IFERROR(VLOOKUP(B327,'ПО КОРИСНИЦИМА'!$C$6:$J$13997,5,FALSE),"")</f>
        <v/>
      </c>
      <c r="D327" s="726">
        <f>SUMIF('ПО КОРИСНИЦИМА'!$G$6:$G$13997,"Свега за пројекат 2003-П15:",'ПО КОРИСНИЦИМА'!$H$6:$H$13997)</f>
        <v>0</v>
      </c>
      <c r="E327" s="723">
        <f t="shared" si="19"/>
        <v>0</v>
      </c>
      <c r="F327" s="727">
        <f>SUMIF('ПО КОРИСНИЦИМА'!$G$6:$G$13997,"Свега за пројекат 2003-П15:",'ПО КОРИСНИЦИМА'!$I$6:$I$13997)</f>
        <v>0</v>
      </c>
      <c r="G327" s="718">
        <f t="shared" si="20"/>
        <v>0</v>
      </c>
      <c r="H327" s="728"/>
    </row>
    <row r="328" spans="1:8" hidden="1">
      <c r="A328" s="696"/>
      <c r="B328" s="696" t="s">
        <v>4762</v>
      </c>
      <c r="C328" s="610" t="str">
        <f>IFERROR(VLOOKUP(B328,'ПО КОРИСНИЦИМА'!$C$6:$J$13997,5,FALSE),"")</f>
        <v/>
      </c>
      <c r="D328" s="726">
        <f>SUMIF('ПО КОРИСНИЦИМА'!$G$6:$G$13997,"Свега за пројекат 2003-П16:",'ПО КОРИСНИЦИМА'!$H$6:$H$13997)</f>
        <v>0</v>
      </c>
      <c r="E328" s="723">
        <f t="shared" si="19"/>
        <v>0</v>
      </c>
      <c r="F328" s="727">
        <f>SUMIF('ПО КОРИСНИЦИМА'!$G$6:$G$13997,"Свега за пројекат 2003-П16:",'ПО КОРИСНИЦИМА'!$I$6:$I$13997)</f>
        <v>0</v>
      </c>
      <c r="G328" s="718">
        <f t="shared" si="20"/>
        <v>0</v>
      </c>
      <c r="H328" s="728"/>
    </row>
    <row r="329" spans="1:8" hidden="1">
      <c r="A329" s="696"/>
      <c r="B329" s="696" t="s">
        <v>4763</v>
      </c>
      <c r="C329" s="610" t="str">
        <f>IFERROR(VLOOKUP(B329,'ПО КОРИСНИЦИМА'!$C$6:$J$13997,5,FALSE),"")</f>
        <v/>
      </c>
      <c r="D329" s="726">
        <f>SUMIF('ПО КОРИСНИЦИМА'!$G$6:$G$13997,"Свега за пројекат 2003-П17:",'ПО КОРИСНИЦИМА'!$H$6:$H$13997)</f>
        <v>0</v>
      </c>
      <c r="E329" s="723">
        <f t="shared" si="19"/>
        <v>0</v>
      </c>
      <c r="F329" s="727">
        <f>SUMIF('ПО КОРИСНИЦИМА'!$G$6:$G$13997,"Свега за пројекат 2003-П17:",'ПО КОРИСНИЦИМА'!$I$6:$I$13997)</f>
        <v>0</v>
      </c>
      <c r="G329" s="718">
        <f t="shared" si="20"/>
        <v>0</v>
      </c>
      <c r="H329" s="728"/>
    </row>
    <row r="330" spans="1:8" hidden="1">
      <c r="A330" s="696"/>
      <c r="B330" s="696" t="s">
        <v>4764</v>
      </c>
      <c r="C330" s="610" t="str">
        <f>IFERROR(VLOOKUP(B330,'ПО КОРИСНИЦИМА'!$C$6:$J$13997,5,FALSE),"")</f>
        <v/>
      </c>
      <c r="D330" s="726">
        <f>SUMIF('ПО КОРИСНИЦИМА'!$G$6:$G$13997,"Свега за пројекат 2003-П18:",'ПО КОРИСНИЦИМА'!$H$6:$H$13997)</f>
        <v>0</v>
      </c>
      <c r="E330" s="723">
        <f t="shared" si="19"/>
        <v>0</v>
      </c>
      <c r="F330" s="727">
        <f>SUMIF('ПО КОРИСНИЦИМА'!$G$6:$G$13997,"Свега за пројекат 2003-П18:",'ПО КОРИСНИЦИМА'!$I$6:$I$13997)</f>
        <v>0</v>
      </c>
      <c r="G330" s="718">
        <f t="shared" si="20"/>
        <v>0</v>
      </c>
      <c r="H330" s="728"/>
    </row>
    <row r="331" spans="1:8" hidden="1">
      <c r="A331" s="696"/>
      <c r="B331" s="696" t="s">
        <v>4765</v>
      </c>
      <c r="C331" s="610" t="str">
        <f>IFERROR(VLOOKUP(B331,'ПО КОРИСНИЦИМА'!$C$6:$J$13997,5,FALSE),"")</f>
        <v/>
      </c>
      <c r="D331" s="726">
        <f>SUMIF('ПО КОРИСНИЦИМА'!$G$6:$G$13997,"Свега за пројекат 2003-П19:",'ПО КОРИСНИЦИМА'!$H$6:$H$13997)</f>
        <v>0</v>
      </c>
      <c r="E331" s="723">
        <f t="shared" si="19"/>
        <v>0</v>
      </c>
      <c r="F331" s="727">
        <f>SUMIF('ПО КОРИСНИЦИМА'!$G$6:$G$13997,"Свега за пројекат 2003-П19:",'ПО КОРИСНИЦИМА'!$I$6:$I$13997)</f>
        <v>0</v>
      </c>
      <c r="G331" s="718">
        <f t="shared" si="20"/>
        <v>0</v>
      </c>
      <c r="H331" s="728"/>
    </row>
    <row r="332" spans="1:8" hidden="1">
      <c r="A332" s="696"/>
      <c r="B332" s="696" t="s">
        <v>4766</v>
      </c>
      <c r="C332" s="610" t="str">
        <f>IFERROR(VLOOKUP(B332,'ПО КОРИСНИЦИМА'!$C$6:$J$13997,5,FALSE),"")</f>
        <v/>
      </c>
      <c r="D332" s="726">
        <f>SUMIF('ПО КОРИСНИЦИМА'!$G$6:$G$13997,"Свега за пројекат 2003-П20:",'ПО КОРИСНИЦИМА'!$H$6:$H$13997)</f>
        <v>0</v>
      </c>
      <c r="E332" s="723">
        <f t="shared" si="19"/>
        <v>0</v>
      </c>
      <c r="F332" s="727">
        <f>SUMIF('ПО КОРИСНИЦИМА'!$G$6:$G$13997,"Свега за пројекат 2003-П20:",'ПО КОРИСНИЦИМА'!$I$6:$I$13997)</f>
        <v>0</v>
      </c>
      <c r="G332" s="718">
        <f t="shared" si="20"/>
        <v>0</v>
      </c>
      <c r="H332" s="728"/>
    </row>
    <row r="333" spans="1:8" hidden="1">
      <c r="A333" s="696"/>
      <c r="B333" s="696" t="s">
        <v>4767</v>
      </c>
      <c r="C333" s="610" t="str">
        <f>IFERROR(VLOOKUP(B333,'ПО КОРИСНИЦИМА'!$C$6:$J$13997,5,FALSE),"")</f>
        <v/>
      </c>
      <c r="D333" s="726">
        <f>SUMIF('ПО КОРИСНИЦИМА'!$G$6:$G$13997,"Свега за пројекат 2003-П21:",'ПО КОРИСНИЦИМА'!$H$6:$H$13997)</f>
        <v>0</v>
      </c>
      <c r="E333" s="723">
        <f t="shared" si="19"/>
        <v>0</v>
      </c>
      <c r="F333" s="727">
        <f>SUMIF('ПО КОРИСНИЦИМА'!$G$6:$G$13997,"Свега за пројекат 2003-П21:",'ПО КОРИСНИЦИМА'!$I$6:$I$13997)</f>
        <v>0</v>
      </c>
      <c r="G333" s="718">
        <f t="shared" si="20"/>
        <v>0</v>
      </c>
      <c r="H333" s="728"/>
    </row>
    <row r="334" spans="1:8" hidden="1">
      <c r="A334" s="696"/>
      <c r="B334" s="696" t="s">
        <v>4768</v>
      </c>
      <c r="C334" s="610" t="str">
        <f>IFERROR(VLOOKUP(B334,'ПО КОРИСНИЦИМА'!$C$6:$J$13997,5,FALSE),"")</f>
        <v/>
      </c>
      <c r="D334" s="726">
        <f>SUMIF('ПО КОРИСНИЦИМА'!$G$6:$G$13997,"Свега за пројекат 2003-П22:",'ПО КОРИСНИЦИМА'!$H$6:$H$13997)</f>
        <v>0</v>
      </c>
      <c r="E334" s="723">
        <f t="shared" si="19"/>
        <v>0</v>
      </c>
      <c r="F334" s="727">
        <f>SUMIF('ПО КОРИСНИЦИМА'!$G$6:$G$13997,"Свега за пројекат 2003-П22:",'ПО КОРИСНИЦИМА'!$I$6:$I$13997)</f>
        <v>0</v>
      </c>
      <c r="G334" s="718">
        <f t="shared" si="20"/>
        <v>0</v>
      </c>
      <c r="H334" s="728"/>
    </row>
    <row r="335" spans="1:8" hidden="1">
      <c r="A335" s="696"/>
      <c r="B335" s="696" t="s">
        <v>4769</v>
      </c>
      <c r="C335" s="610" t="str">
        <f>IFERROR(VLOOKUP(B335,'ПО КОРИСНИЦИМА'!$C$6:$J$13997,5,FALSE),"")</f>
        <v/>
      </c>
      <c r="D335" s="726">
        <f>SUMIF('ПО КОРИСНИЦИМА'!$G$6:$G$13997,"Свега за пројекат 2003-П23:",'ПО КОРИСНИЦИМА'!$H$6:$H$13997)</f>
        <v>0</v>
      </c>
      <c r="E335" s="723">
        <f t="shared" si="19"/>
        <v>0</v>
      </c>
      <c r="F335" s="727">
        <f>SUMIF('ПО КОРИСНИЦИМА'!$G$6:$G$13997,"Свега за пројекат 2003-П23:",'ПО КОРИСНИЦИМА'!$I$6:$I$13997)</f>
        <v>0</v>
      </c>
      <c r="G335" s="718">
        <f t="shared" si="20"/>
        <v>0</v>
      </c>
      <c r="H335" s="728"/>
    </row>
    <row r="336" spans="1:8" hidden="1">
      <c r="A336" s="696"/>
      <c r="B336" s="696" t="s">
        <v>4770</v>
      </c>
      <c r="C336" s="610" t="str">
        <f>IFERROR(VLOOKUP(B336,'ПО КОРИСНИЦИМА'!$C$6:$J$13997,5,FALSE),"")</f>
        <v/>
      </c>
      <c r="D336" s="726">
        <f>SUMIF('ПО КОРИСНИЦИМА'!$G$6:$G$13997,"Свега за пројекат 2003-П24:",'ПО КОРИСНИЦИМА'!$H$6:$H$13997)</f>
        <v>0</v>
      </c>
      <c r="E336" s="723">
        <f t="shared" si="19"/>
        <v>0</v>
      </c>
      <c r="F336" s="727">
        <f>SUMIF('ПО КОРИСНИЦИМА'!$G$6:$G$13997,"Свега за пројекат 2003-П24:",'ПО КОРИСНИЦИМА'!$I$6:$I$13997)</f>
        <v>0</v>
      </c>
      <c r="G336" s="718">
        <f t="shared" si="20"/>
        <v>0</v>
      </c>
      <c r="H336" s="728"/>
    </row>
    <row r="337" spans="1:8" hidden="1">
      <c r="A337" s="696"/>
      <c r="B337" s="696" t="s">
        <v>4771</v>
      </c>
      <c r="C337" s="610" t="str">
        <f>IFERROR(VLOOKUP(B337,'ПО КОРИСНИЦИМА'!$C$6:$J$13997,5,FALSE),"")</f>
        <v/>
      </c>
      <c r="D337" s="726">
        <f>SUMIF('ПО КОРИСНИЦИМА'!$G$6:$G$13997,"Свега за пројекат 2003-П25:",'ПО КОРИСНИЦИМА'!$H$6:$H$13997)</f>
        <v>0</v>
      </c>
      <c r="E337" s="723">
        <f t="shared" si="19"/>
        <v>0</v>
      </c>
      <c r="F337" s="727">
        <f>SUMIF('ПО КОРИСНИЦИМА'!$G$6:$G$13997,"Свега за пројекат 2003-П25:",'ПО КОРИСНИЦИМА'!$I$6:$I$13997)</f>
        <v>0</v>
      </c>
      <c r="G337" s="718">
        <f t="shared" si="20"/>
        <v>0</v>
      </c>
      <c r="H337" s="728"/>
    </row>
    <row r="338" spans="1:8" hidden="1">
      <c r="A338" s="696"/>
      <c r="B338" s="696" t="s">
        <v>4772</v>
      </c>
      <c r="C338" s="610" t="str">
        <f>IFERROR(VLOOKUP(B338,'ПО КОРИСНИЦИМА'!$C$6:$J$13997,5,FALSE),"")</f>
        <v/>
      </c>
      <c r="D338" s="726">
        <f>SUMIF('ПО КОРИСНИЦИМА'!$G$6:$G$13997,"Свега за пројекат 2003-П26:",'ПО КОРИСНИЦИМА'!$H$6:$H$13997)</f>
        <v>0</v>
      </c>
      <c r="E338" s="723">
        <f t="shared" si="19"/>
        <v>0</v>
      </c>
      <c r="F338" s="727">
        <f>SUMIF('ПО КОРИСНИЦИМА'!$G$6:$G$13997,"Свега за пројекат 2003-П26:",'ПО КОРИСНИЦИМА'!$I$6:$I$13997)</f>
        <v>0</v>
      </c>
      <c r="G338" s="718">
        <f t="shared" si="20"/>
        <v>0</v>
      </c>
      <c r="H338" s="728"/>
    </row>
    <row r="339" spans="1:8" hidden="1">
      <c r="A339" s="696"/>
      <c r="B339" s="696" t="s">
        <v>4773</v>
      </c>
      <c r="C339" s="610" t="str">
        <f>IFERROR(VLOOKUP(B339,'ПО КОРИСНИЦИМА'!$C$6:$J$13997,5,FALSE),"")</f>
        <v/>
      </c>
      <c r="D339" s="726">
        <f>SUMIF('ПО КОРИСНИЦИМА'!$G$6:$G$13997,"Свега за пројекат 2003-П27:",'ПО КОРИСНИЦИМА'!$H$6:$H$13997)</f>
        <v>0</v>
      </c>
      <c r="E339" s="723">
        <f t="shared" si="19"/>
        <v>0</v>
      </c>
      <c r="F339" s="727">
        <f>SUMIF('ПО КОРИСНИЦИМА'!$G$6:$G$13997,"Свега за пројекат 2003-П27:",'ПО КОРИСНИЦИМА'!$I$6:$I$13997)</f>
        <v>0</v>
      </c>
      <c r="G339" s="718">
        <f t="shared" si="20"/>
        <v>0</v>
      </c>
      <c r="H339" s="728"/>
    </row>
    <row r="340" spans="1:8" hidden="1">
      <c r="A340" s="696"/>
      <c r="B340" s="696" t="s">
        <v>4774</v>
      </c>
      <c r="C340" s="610" t="str">
        <f>IFERROR(VLOOKUP(B340,'ПО КОРИСНИЦИМА'!$C$6:$J$13997,5,FALSE),"")</f>
        <v/>
      </c>
      <c r="D340" s="726">
        <f>SUMIF('ПО КОРИСНИЦИМА'!$G$6:$G$13997,"Свега за пројекат 2003-П28:",'ПО КОРИСНИЦИМА'!$H$6:$H$13997)</f>
        <v>0</v>
      </c>
      <c r="E340" s="723">
        <f t="shared" si="19"/>
        <v>0</v>
      </c>
      <c r="F340" s="727">
        <f>SUMIF('ПО КОРИСНИЦИМА'!$G$6:$G$13997,"Свега за пројекат 2003-П28:",'ПО КОРИСНИЦИМА'!$I$6:$I$13997)</f>
        <v>0</v>
      </c>
      <c r="G340" s="718">
        <f t="shared" si="20"/>
        <v>0</v>
      </c>
      <c r="H340" s="725"/>
    </row>
    <row r="341" spans="1:8" hidden="1">
      <c r="A341" s="696"/>
      <c r="B341" s="696" t="s">
        <v>4775</v>
      </c>
      <c r="C341" s="610" t="str">
        <f>IFERROR(VLOOKUP(B341,'ПО КОРИСНИЦИМА'!$C$6:$J$13997,5,FALSE),"")</f>
        <v/>
      </c>
      <c r="D341" s="726">
        <f>SUMIF('ПО КОРИСНИЦИМА'!$G$6:$G$13997,"Свега за пројекат 2003-П29:",'ПО КОРИСНИЦИМА'!$H$6:$H$13997)</f>
        <v>0</v>
      </c>
      <c r="E341" s="723">
        <f t="shared" si="19"/>
        <v>0</v>
      </c>
      <c r="F341" s="727">
        <f>SUMIF('ПО КОРИСНИЦИМА'!$G$6:$G$13997,"Свега за пројекат 2003-П29:",'ПО КОРИСНИЦИМА'!$I$6:$I$13997)</f>
        <v>0</v>
      </c>
      <c r="G341" s="718">
        <f t="shared" si="20"/>
        <v>0</v>
      </c>
      <c r="H341" s="725"/>
    </row>
    <row r="342" spans="1:8" hidden="1">
      <c r="A342" s="697"/>
      <c r="B342" s="696" t="s">
        <v>4776</v>
      </c>
      <c r="C342" s="610" t="str">
        <f>IFERROR(VLOOKUP(B342,'ПО КОРИСНИЦИМА'!$C$6:$J$13997,5,FALSE),"")</f>
        <v/>
      </c>
      <c r="D342" s="726">
        <f>SUMIF('ПО КОРИСНИЦИМА'!$G$6:$G$13997,"Свега за пројекат 2003-П30:",'ПО КОРИСНИЦИМА'!$H$6:$H$13997)</f>
        <v>0</v>
      </c>
      <c r="E342" s="723">
        <f t="shared" ref="E342:E349" si="21">IFERROR(D342/$D$599,"-")</f>
        <v>0</v>
      </c>
      <c r="F342" s="727">
        <f>SUMIF('ПО КОРИСНИЦИМА'!$G$6:$G$13997,"Свега за пројекат 2003-П30:",'ПО КОРИСНИЦИМА'!$I$6:$I$13997)</f>
        <v>0</v>
      </c>
      <c r="G342" s="718">
        <f t="shared" si="20"/>
        <v>0</v>
      </c>
      <c r="H342" s="734"/>
    </row>
    <row r="343" spans="1:8" s="694" customFormat="1">
      <c r="A343" s="687" t="s">
        <v>3588</v>
      </c>
      <c r="B343" s="688"/>
      <c r="C343" s="608" t="s">
        <v>3675</v>
      </c>
      <c r="D343" s="714">
        <f>SUM(D344:D378)</f>
        <v>7431000</v>
      </c>
      <c r="E343" s="715">
        <f t="shared" si="21"/>
        <v>1.5664528243896979E-2</v>
      </c>
      <c r="F343" s="716">
        <f>SUM(F344:F378)</f>
        <v>0</v>
      </c>
      <c r="G343" s="714">
        <f t="shared" si="13"/>
        <v>7431000</v>
      </c>
      <c r="H343" s="735"/>
    </row>
    <row r="344" spans="1:8">
      <c r="A344" s="690"/>
      <c r="B344" s="695" t="s">
        <v>4116</v>
      </c>
      <c r="C344" s="616" t="s">
        <v>4117</v>
      </c>
      <c r="D344" s="718">
        <f>SUMIF('ПО КОРИСНИЦИМА'!$G$6:$G$13997,"Свега за програмску активност 0901-0001:",'ПО КОРИСНИЦИМА'!$H$6:$H$13997)</f>
        <v>3417000</v>
      </c>
      <c r="E344" s="719">
        <f t="shared" si="21"/>
        <v>7.2030269155424539E-3</v>
      </c>
      <c r="F344" s="720">
        <f>SUMIF('ПО КОРИСНИЦИМА'!$G$6:$G$13997,"Свега за програмску активност 0901-0001:",'ПО КОРИСНИЦИМА'!$I$6:$I$13997)</f>
        <v>0</v>
      </c>
      <c r="G344" s="742">
        <f t="shared" si="13"/>
        <v>3417000</v>
      </c>
      <c r="H344" s="721"/>
    </row>
    <row r="345" spans="1:8">
      <c r="A345" s="692"/>
      <c r="B345" s="699" t="s">
        <v>4118</v>
      </c>
      <c r="C345" s="617" t="s">
        <v>4119</v>
      </c>
      <c r="D345" s="722">
        <f>SUMIF('ПО КОРИСНИЦИМА'!$G$6:$G$13997,"Свега за програмску активност 0901-0002:",'ПО КОРИСНИЦИМА'!$H$6:$H$13997)</f>
        <v>1250000</v>
      </c>
      <c r="E345" s="723">
        <f t="shared" si="21"/>
        <v>2.6349966767421915E-3</v>
      </c>
      <c r="F345" s="724">
        <f>SUMIF('ПО КОРИСНИЦИМА'!$G$6:$G$13997,"Свега за програмску активност 0901-0002:",'ПО КОРИСНИЦИМА'!$I$6:$I$13997)</f>
        <v>0</v>
      </c>
      <c r="G345" s="742">
        <f t="shared" ref="G345:G378" si="22">D345+F345</f>
        <v>1250000</v>
      </c>
      <c r="H345" s="725"/>
    </row>
    <row r="346" spans="1:8" hidden="1">
      <c r="A346" s="692"/>
      <c r="B346" s="699" t="s">
        <v>4120</v>
      </c>
      <c r="C346" s="617" t="s">
        <v>4121</v>
      </c>
      <c r="D346" s="722">
        <f>SUMIF('ПО КОРИСНИЦИМА'!$G$6:$G$13997,"Свега за програмску активност 0901-0003:",'ПО КОРИСНИЦИМА'!$H$6:$H$13997)</f>
        <v>0</v>
      </c>
      <c r="E346" s="723">
        <f t="shared" si="21"/>
        <v>0</v>
      </c>
      <c r="F346" s="724">
        <f>SUMIF('ПО КОРИСНИЦИМА'!$G$6:$G$13997,"Свега за програмску активност 0901-0003:",'ПО КОРИСНИЦИМА'!$I$6:$I$13997)</f>
        <v>0</v>
      </c>
      <c r="G346" s="742">
        <f t="shared" si="22"/>
        <v>0</v>
      </c>
      <c r="H346" s="725"/>
    </row>
    <row r="347" spans="1:8" hidden="1">
      <c r="A347" s="692"/>
      <c r="B347" s="699" t="s">
        <v>4122</v>
      </c>
      <c r="C347" s="617" t="s">
        <v>4123</v>
      </c>
      <c r="D347" s="722">
        <f>SUMIF('ПО КОРИСНИЦИМА'!$G$6:$G$13997,"Свега за програмску активност 0901-0004:",'ПО КОРИСНИЦИМА'!$H$6:$H$13997)</f>
        <v>0</v>
      </c>
      <c r="E347" s="723">
        <f t="shared" si="21"/>
        <v>0</v>
      </c>
      <c r="F347" s="724">
        <f>SUMIF('ПО КОРИСНИЦИМА'!$G$6:$G$13997,"Свега за програмску активност 0901-0004:",'ПО КОРИСНИЦИМА'!$I$6:$I$13997)</f>
        <v>0</v>
      </c>
      <c r="G347" s="742">
        <f t="shared" si="22"/>
        <v>0</v>
      </c>
      <c r="H347" s="725"/>
    </row>
    <row r="348" spans="1:8">
      <c r="A348" s="692"/>
      <c r="B348" s="699" t="s">
        <v>4124</v>
      </c>
      <c r="C348" s="617" t="s">
        <v>4125</v>
      </c>
      <c r="D348" s="722">
        <f>SUMIF('ПО КОРИСНИЦИМА'!$G$6:$G$13997,"Свега за програмску активност 0901-0005:",'ПО КОРИСНИЦИМА'!$H$6:$H$13997)</f>
        <v>634000</v>
      </c>
      <c r="E348" s="723">
        <f t="shared" si="21"/>
        <v>1.3364703144436395E-3</v>
      </c>
      <c r="F348" s="724">
        <f>SUMIF('ПО КОРИСНИЦИМА'!$G$6:$G$13997,"Свега за програмску активност 0901-0005:",'ПО КОРИСНИЦИМА'!$I$6:$I$13997)</f>
        <v>0</v>
      </c>
      <c r="G348" s="742">
        <f t="shared" si="22"/>
        <v>634000</v>
      </c>
      <c r="H348" s="725"/>
    </row>
    <row r="349" spans="1:8">
      <c r="A349" s="692"/>
      <c r="B349" s="699" t="s">
        <v>4778</v>
      </c>
      <c r="C349" s="610" t="str">
        <f>IFERROR(VLOOKUP(B349,'ПО КОРИСНИЦИМА'!$C$6:$J$13997,5,FALSE),"")</f>
        <v>Пројекат "Помоћ у кући"</v>
      </c>
      <c r="D349" s="726">
        <f>SUMIF('ПО КОРИСНИЦИМА'!$G$6:$G$13997,"Свега за пројекат 0901-П1:",'ПО КОРИСНИЦИМА'!$H$6:$H$13997)</f>
        <v>1730000</v>
      </c>
      <c r="E349" s="723">
        <f t="shared" si="21"/>
        <v>3.6468354006111928E-3</v>
      </c>
      <c r="F349" s="727">
        <f>SUMIF('ПО КОРИСНИЦИМА'!$G$6:$G$13997,"Свега за пројекат 0901-П1:",'ПО КОРИСНИЦИМА'!$I$6:$I$13997)</f>
        <v>0</v>
      </c>
      <c r="G349" s="742">
        <f t="shared" si="22"/>
        <v>1730000</v>
      </c>
      <c r="H349" s="725"/>
    </row>
    <row r="350" spans="1:8">
      <c r="A350" s="692"/>
      <c r="B350" s="699" t="s">
        <v>4779</v>
      </c>
      <c r="C350" s="610" t="str">
        <f>IFERROR(VLOOKUP(B350,'ПО КОРИСНИЦИМА'!$C$6:$J$13997,5,FALSE),"")</f>
        <v>Пројекат "Дневни боравак"</v>
      </c>
      <c r="D350" s="726">
        <f>SUMIF('ПО КОРИСНИЦИМА'!$G$6:$G$13997,"Свега за пројекат 0901-П2:",'ПО КОРИСНИЦИМА'!$H$6:$H$13997)</f>
        <v>400000</v>
      </c>
      <c r="E350" s="723">
        <f t="shared" ref="E350:E378" si="23">IFERROR(D350/$D$599,"-")</f>
        <v>8.4319893655750123E-4</v>
      </c>
      <c r="F350" s="727">
        <f>SUMIF('ПО КОРИСНИЦИМА'!$G$6:$G$13997,"Свега за пројекат 0901-П2:",'ПО КОРИСНИЦИМА'!$I$6:$I$13997)</f>
        <v>0</v>
      </c>
      <c r="G350" s="742">
        <f t="shared" si="22"/>
        <v>400000</v>
      </c>
      <c r="H350" s="725"/>
    </row>
    <row r="351" spans="1:8" hidden="1">
      <c r="A351" s="692"/>
      <c r="B351" s="699" t="s">
        <v>4780</v>
      </c>
      <c r="C351" s="610" t="str">
        <f>IFERROR(VLOOKUP(B351,'ПО КОРИСНИЦИМА'!$C$6:$J$13997,5,FALSE),"")</f>
        <v/>
      </c>
      <c r="D351" s="726">
        <f>SUMIF('ПО КОРИСНИЦИМА'!$G$6:$G$13997,"Свега за пројекат 0901-П3:",'ПО КОРИСНИЦИМА'!$H$6:$H$13997)</f>
        <v>0</v>
      </c>
      <c r="E351" s="723">
        <f t="shared" si="23"/>
        <v>0</v>
      </c>
      <c r="F351" s="727">
        <f>SUMIF('ПО КОРИСНИЦИМА'!$G$6:$G$13997,"Свега за пројекат 0901-П3:",'ПО КОРИСНИЦИМА'!$I$6:$I$13997)</f>
        <v>0</v>
      </c>
      <c r="G351" s="742">
        <f t="shared" si="22"/>
        <v>0</v>
      </c>
      <c r="H351" s="728"/>
    </row>
    <row r="352" spans="1:8" hidden="1">
      <c r="A352" s="692"/>
      <c r="B352" s="699" t="s">
        <v>4781</v>
      </c>
      <c r="C352" s="610" t="str">
        <f>IFERROR(VLOOKUP(B352,'ПО КОРИСНИЦИМА'!$C$6:$J$13997,5,FALSE),"")</f>
        <v/>
      </c>
      <c r="D352" s="726">
        <f>SUMIF('ПО КОРИСНИЦИМА'!$G$6:$G$13997,"Свега за пројекат 0901-П4:",'ПО КОРИСНИЦИМА'!$H$6:$H$13997)</f>
        <v>0</v>
      </c>
      <c r="E352" s="723">
        <f t="shared" si="23"/>
        <v>0</v>
      </c>
      <c r="F352" s="727">
        <f>SUMIF('ПО КОРИСНИЦИМА'!$G$6:$G$13997,"Свега за пројекат 0901-П4:",'ПО КОРИСНИЦИМА'!$I$6:$I$13997)</f>
        <v>0</v>
      </c>
      <c r="G352" s="742">
        <f t="shared" si="22"/>
        <v>0</v>
      </c>
      <c r="H352" s="728"/>
    </row>
    <row r="353" spans="1:8" hidden="1">
      <c r="A353" s="692"/>
      <c r="B353" s="699" t="s">
        <v>4782</v>
      </c>
      <c r="C353" s="610" t="str">
        <f>IFERROR(VLOOKUP(B353,'ПО КОРИСНИЦИМА'!$C$6:$J$13997,5,FALSE),"")</f>
        <v/>
      </c>
      <c r="D353" s="726">
        <f>SUMIF('ПО КОРИСНИЦИМА'!$G$6:$G$13997,"Свега за пројекат 0901-П5:",'ПО КОРИСНИЦИМА'!$H$6:$H$13997)</f>
        <v>0</v>
      </c>
      <c r="E353" s="723">
        <f t="shared" si="23"/>
        <v>0</v>
      </c>
      <c r="F353" s="727">
        <f>SUMIF('ПО КОРИСНИЦИМА'!$G$6:$G$13997,"Свега за пројекат 0901-П5:",'ПО КОРИСНИЦИМА'!$I$6:$I$13997)</f>
        <v>0</v>
      </c>
      <c r="G353" s="742">
        <f t="shared" si="22"/>
        <v>0</v>
      </c>
      <c r="H353" s="728"/>
    </row>
    <row r="354" spans="1:8" hidden="1">
      <c r="A354" s="692"/>
      <c r="B354" s="699" t="s">
        <v>4783</v>
      </c>
      <c r="C354" s="610" t="str">
        <f>IFERROR(VLOOKUP(B354,'ПО КОРИСНИЦИМА'!$C$6:$J$13997,5,FALSE),"")</f>
        <v/>
      </c>
      <c r="D354" s="726">
        <f>SUMIF('ПО КОРИСНИЦИМА'!$G$6:$G$13997,"Свега за пројекат 0901-П6:",'ПО КОРИСНИЦИМА'!$H$6:$H$13997)</f>
        <v>0</v>
      </c>
      <c r="E354" s="723">
        <f t="shared" si="23"/>
        <v>0</v>
      </c>
      <c r="F354" s="727">
        <f>SUMIF('ПО КОРИСНИЦИМА'!$G$6:$G$13997,"Свега за пројекат 0901-П6:",'ПО КОРИСНИЦИМА'!$I$6:$I$13997)</f>
        <v>0</v>
      </c>
      <c r="G354" s="742">
        <f t="shared" si="22"/>
        <v>0</v>
      </c>
      <c r="H354" s="728"/>
    </row>
    <row r="355" spans="1:8" hidden="1">
      <c r="A355" s="692"/>
      <c r="B355" s="699" t="s">
        <v>4784</v>
      </c>
      <c r="C355" s="610" t="str">
        <f>IFERROR(VLOOKUP(B355,'ПО КОРИСНИЦИМА'!$C$6:$J$13997,5,FALSE),"")</f>
        <v/>
      </c>
      <c r="D355" s="726">
        <f>SUMIF('ПО КОРИСНИЦИМА'!$G$6:$G$13997,"Свега за пројекат 0901-П7:",'ПО КОРИСНИЦИМА'!$H$6:$H$13997)</f>
        <v>0</v>
      </c>
      <c r="E355" s="723">
        <f t="shared" si="23"/>
        <v>0</v>
      </c>
      <c r="F355" s="727">
        <f>SUMIF('ПО КОРИСНИЦИМА'!$G$6:$G$13997,"Свега за пројекат 0901-П7:",'ПО КОРИСНИЦИМА'!$I$6:$I$13997)</f>
        <v>0</v>
      </c>
      <c r="G355" s="742">
        <f t="shared" si="22"/>
        <v>0</v>
      </c>
      <c r="H355" s="728"/>
    </row>
    <row r="356" spans="1:8" hidden="1">
      <c r="A356" s="692"/>
      <c r="B356" s="699" t="s">
        <v>4785</v>
      </c>
      <c r="C356" s="610" t="str">
        <f>IFERROR(VLOOKUP(B356,'ПО КОРИСНИЦИМА'!$C$6:$J$13997,5,FALSE),"")</f>
        <v/>
      </c>
      <c r="D356" s="726">
        <f>SUMIF('ПО КОРИСНИЦИМА'!$G$6:$G$13997,"Свега за пројекат 0901-П8:",'ПО КОРИСНИЦИМА'!$H$6:$H$13997)</f>
        <v>0</v>
      </c>
      <c r="E356" s="723">
        <f t="shared" si="23"/>
        <v>0</v>
      </c>
      <c r="F356" s="727">
        <f>SUMIF('ПО КОРИСНИЦИМА'!$G$6:$G$13997,"Свега за пројекат 0901-П8:",'ПО КОРИСНИЦИМА'!$I$6:$I$13997)</f>
        <v>0</v>
      </c>
      <c r="G356" s="742">
        <f t="shared" si="22"/>
        <v>0</v>
      </c>
      <c r="H356" s="728"/>
    </row>
    <row r="357" spans="1:8" hidden="1">
      <c r="A357" s="692"/>
      <c r="B357" s="699" t="s">
        <v>4786</v>
      </c>
      <c r="C357" s="610" t="str">
        <f>IFERROR(VLOOKUP(B357,'ПО КОРИСНИЦИМА'!$C$6:$J$13997,5,FALSE),"")</f>
        <v/>
      </c>
      <c r="D357" s="726">
        <f>SUMIF('ПО КОРИСНИЦИМА'!$G$6:$G$13997,"Свега за пројекат 0901-П9:",'ПО КОРИСНИЦИМА'!$H$6:$H$13997)</f>
        <v>0</v>
      </c>
      <c r="E357" s="723">
        <f t="shared" si="23"/>
        <v>0</v>
      </c>
      <c r="F357" s="727">
        <f>SUMIF('ПО КОРИСНИЦИМА'!$G$6:$G$13997,"Свега за пројекат 0901-П9:",'ПО КОРИСНИЦИМА'!$I$6:$I$13997)</f>
        <v>0</v>
      </c>
      <c r="G357" s="742">
        <f t="shared" si="22"/>
        <v>0</v>
      </c>
      <c r="H357" s="728"/>
    </row>
    <row r="358" spans="1:8" hidden="1">
      <c r="A358" s="692"/>
      <c r="B358" s="699" t="s">
        <v>4787</v>
      </c>
      <c r="C358" s="610" t="str">
        <f>IFERROR(VLOOKUP(B358,'ПО КОРИСНИЦИМА'!$C$6:$J$13997,5,FALSE),"")</f>
        <v/>
      </c>
      <c r="D358" s="726">
        <f>SUMIF('ПО КОРИСНИЦИМА'!$G$6:$G$13997,"Свега за пројекат 0901-П10:",'ПО КОРИСНИЦИМА'!$H$6:$H$13997)</f>
        <v>0</v>
      </c>
      <c r="E358" s="723">
        <f t="shared" si="23"/>
        <v>0</v>
      </c>
      <c r="F358" s="727">
        <f>SUMIF('ПО КОРИСНИЦИМА'!$G$6:$G$13997,"Свега за пројекат 0901-П10:",'ПО КОРИСНИЦИМА'!$I$6:$I$13997)</f>
        <v>0</v>
      </c>
      <c r="G358" s="742">
        <f t="shared" si="22"/>
        <v>0</v>
      </c>
      <c r="H358" s="728"/>
    </row>
    <row r="359" spans="1:8" hidden="1">
      <c r="A359" s="692"/>
      <c r="B359" s="699" t="s">
        <v>4788</v>
      </c>
      <c r="C359" s="610" t="str">
        <f>IFERROR(VLOOKUP(B359,'ПО КОРИСНИЦИМА'!$C$6:$J$13997,5,FALSE),"")</f>
        <v/>
      </c>
      <c r="D359" s="726">
        <f>SUMIF('ПО КОРИСНИЦИМА'!$G$6:$G$13997,"Свега за пројекат 0901-П11:",'ПО КОРИСНИЦИМА'!$H$6:$H$13997)</f>
        <v>0</v>
      </c>
      <c r="E359" s="723">
        <f t="shared" si="23"/>
        <v>0</v>
      </c>
      <c r="F359" s="727">
        <f>SUMIF('ПО КОРИСНИЦИМА'!$G$6:$G$13997,"Свега за пројекат 0901-П11:",'ПО КОРИСНИЦИМА'!$I$6:$I$13997)</f>
        <v>0</v>
      </c>
      <c r="G359" s="742">
        <f t="shared" si="22"/>
        <v>0</v>
      </c>
      <c r="H359" s="728"/>
    </row>
    <row r="360" spans="1:8" hidden="1">
      <c r="A360" s="692"/>
      <c r="B360" s="699" t="s">
        <v>4789</v>
      </c>
      <c r="C360" s="610" t="str">
        <f>IFERROR(VLOOKUP(B360,'ПО КОРИСНИЦИМА'!$C$6:$J$13997,5,FALSE),"")</f>
        <v/>
      </c>
      <c r="D360" s="726">
        <f>SUMIF('ПО КОРИСНИЦИМА'!$G$6:$G$13997,"Свега за пројекат 0901-П12:",'ПО КОРИСНИЦИМА'!$H$6:$H$13997)</f>
        <v>0</v>
      </c>
      <c r="E360" s="723">
        <f t="shared" si="23"/>
        <v>0</v>
      </c>
      <c r="F360" s="727">
        <f>SUMIF('ПО КОРИСНИЦИМА'!$G$6:$G$13997,"Свега за пројекат 0901-П12:",'ПО КОРИСНИЦИМА'!$I$6:$I$13997)</f>
        <v>0</v>
      </c>
      <c r="G360" s="742">
        <f t="shared" si="22"/>
        <v>0</v>
      </c>
      <c r="H360" s="728"/>
    </row>
    <row r="361" spans="1:8" hidden="1">
      <c r="A361" s="692"/>
      <c r="B361" s="699" t="s">
        <v>4790</v>
      </c>
      <c r="C361" s="610" t="str">
        <f>IFERROR(VLOOKUP(B361,'ПО КОРИСНИЦИМА'!$C$6:$J$13997,5,FALSE),"")</f>
        <v/>
      </c>
      <c r="D361" s="726">
        <f>SUMIF('ПО КОРИСНИЦИМА'!$G$6:$G$13997,"Свега за пројекат 0901-П13:",'ПО КОРИСНИЦИМА'!$H$6:$H$13997)</f>
        <v>0</v>
      </c>
      <c r="E361" s="723">
        <f t="shared" si="23"/>
        <v>0</v>
      </c>
      <c r="F361" s="727">
        <f>SUMIF('ПО КОРИСНИЦИМА'!$G$6:$G$13997,"Свега за пројекат 0901-П13:",'ПО КОРИСНИЦИМА'!$I$6:$I$13997)</f>
        <v>0</v>
      </c>
      <c r="G361" s="742">
        <f t="shared" si="22"/>
        <v>0</v>
      </c>
      <c r="H361" s="728"/>
    </row>
    <row r="362" spans="1:8" hidden="1">
      <c r="A362" s="692"/>
      <c r="B362" s="699" t="s">
        <v>4791</v>
      </c>
      <c r="C362" s="610" t="str">
        <f>IFERROR(VLOOKUP(B362,'ПО КОРИСНИЦИМА'!$C$6:$J$13997,5,FALSE),"")</f>
        <v/>
      </c>
      <c r="D362" s="726">
        <f>SUMIF('ПО КОРИСНИЦИМА'!$G$6:$G$13997,"Свега за пројекат 0901-П14:",'ПО КОРИСНИЦИМА'!$H$6:$H$13997)</f>
        <v>0</v>
      </c>
      <c r="E362" s="723">
        <f t="shared" si="23"/>
        <v>0</v>
      </c>
      <c r="F362" s="727">
        <f>SUMIF('ПО КОРИСНИЦИМА'!$G$6:$G$13997,"Свега за пројекат 0901-П14:",'ПО КОРИСНИЦИМА'!$I$6:$I$13997)</f>
        <v>0</v>
      </c>
      <c r="G362" s="742">
        <f t="shared" si="22"/>
        <v>0</v>
      </c>
      <c r="H362" s="728"/>
    </row>
    <row r="363" spans="1:8" hidden="1">
      <c r="A363" s="692"/>
      <c r="B363" s="699" t="s">
        <v>4792</v>
      </c>
      <c r="C363" s="610" t="str">
        <f>IFERROR(VLOOKUP(B363,'ПО КОРИСНИЦИМА'!$C$6:$J$13997,5,FALSE),"")</f>
        <v/>
      </c>
      <c r="D363" s="726">
        <f>SUMIF('ПО КОРИСНИЦИМА'!$G$6:$G$13997,"Свега за пројекат 0901-П15:",'ПО КОРИСНИЦИМА'!$H$6:$H$13997)</f>
        <v>0</v>
      </c>
      <c r="E363" s="723">
        <f t="shared" si="23"/>
        <v>0</v>
      </c>
      <c r="F363" s="727">
        <f>SUMIF('ПО КОРИСНИЦИМА'!$G$6:$G$13997,"Свега за пројекат 0901-П15:",'ПО КОРИСНИЦИМА'!$I$6:$I$13997)</f>
        <v>0</v>
      </c>
      <c r="G363" s="742">
        <f t="shared" si="22"/>
        <v>0</v>
      </c>
      <c r="H363" s="728"/>
    </row>
    <row r="364" spans="1:8" hidden="1">
      <c r="A364" s="692"/>
      <c r="B364" s="699" t="s">
        <v>4793</v>
      </c>
      <c r="C364" s="610" t="str">
        <f>IFERROR(VLOOKUP(B364,'ПО КОРИСНИЦИМА'!$C$6:$J$13997,5,FALSE),"")</f>
        <v/>
      </c>
      <c r="D364" s="726">
        <f>SUMIF('ПО КОРИСНИЦИМА'!$G$6:$G$13997,"Свега за пројекат 0901-П16:",'ПО КОРИСНИЦИМА'!$H$6:$H$13997)</f>
        <v>0</v>
      </c>
      <c r="E364" s="723">
        <f t="shared" si="23"/>
        <v>0</v>
      </c>
      <c r="F364" s="727">
        <f>SUMIF('ПО КОРИСНИЦИМА'!$G$6:$G$13997,"Свега за пројекат 0901-П16:",'ПО КОРИСНИЦИМА'!$I$6:$I$13997)</f>
        <v>0</v>
      </c>
      <c r="G364" s="742">
        <f t="shared" si="22"/>
        <v>0</v>
      </c>
      <c r="H364" s="728"/>
    </row>
    <row r="365" spans="1:8" hidden="1">
      <c r="A365" s="692"/>
      <c r="B365" s="699" t="s">
        <v>4794</v>
      </c>
      <c r="C365" s="610" t="str">
        <f>IFERROR(VLOOKUP(B365,'ПО КОРИСНИЦИМА'!$C$6:$J$13997,5,FALSE),"")</f>
        <v/>
      </c>
      <c r="D365" s="726">
        <f>SUMIF('ПО КОРИСНИЦИМА'!$G$6:$G$13997,"Свега за пројекат 0901-П17:",'ПО КОРИСНИЦИМА'!$H$6:$H$13997)</f>
        <v>0</v>
      </c>
      <c r="E365" s="723">
        <f t="shared" si="23"/>
        <v>0</v>
      </c>
      <c r="F365" s="727">
        <f>SUMIF('ПО КОРИСНИЦИМА'!$G$6:$G$13997,"Свега за пројекат 0901-П17:",'ПО КОРИСНИЦИМА'!$I$6:$I$13997)</f>
        <v>0</v>
      </c>
      <c r="G365" s="742">
        <f t="shared" si="22"/>
        <v>0</v>
      </c>
      <c r="H365" s="728"/>
    </row>
    <row r="366" spans="1:8" hidden="1">
      <c r="A366" s="692"/>
      <c r="B366" s="699" t="s">
        <v>4795</v>
      </c>
      <c r="C366" s="610" t="str">
        <f>IFERROR(VLOOKUP(B366,'ПО КОРИСНИЦИМА'!$C$6:$J$13997,5,FALSE),"")</f>
        <v/>
      </c>
      <c r="D366" s="726">
        <f>SUMIF('ПО КОРИСНИЦИМА'!$G$6:$G$13997,"Свега за пројекат 0901-П18:",'ПО КОРИСНИЦИМА'!$H$6:$H$13997)</f>
        <v>0</v>
      </c>
      <c r="E366" s="723">
        <f t="shared" si="23"/>
        <v>0</v>
      </c>
      <c r="F366" s="727">
        <f>SUMIF('ПО КОРИСНИЦИМА'!$G$6:$G$13997,"Свега за пројекат 0901-П18:",'ПО КОРИСНИЦИМА'!$I$6:$I$13997)</f>
        <v>0</v>
      </c>
      <c r="G366" s="742">
        <f t="shared" si="22"/>
        <v>0</v>
      </c>
      <c r="H366" s="728"/>
    </row>
    <row r="367" spans="1:8" hidden="1">
      <c r="A367" s="692"/>
      <c r="B367" s="699" t="s">
        <v>4796</v>
      </c>
      <c r="C367" s="610" t="str">
        <f>IFERROR(VLOOKUP(B367,'ПО КОРИСНИЦИМА'!$C$6:$J$13997,5,FALSE),"")</f>
        <v/>
      </c>
      <c r="D367" s="726">
        <f>SUMIF('ПО КОРИСНИЦИМА'!$G$6:$G$13997,"Свега за пројекат 0901-П19:",'ПО КОРИСНИЦИМА'!$H$6:$H$13997)</f>
        <v>0</v>
      </c>
      <c r="E367" s="723">
        <f t="shared" si="23"/>
        <v>0</v>
      </c>
      <c r="F367" s="727">
        <f>SUMIF('ПО КОРИСНИЦИМА'!$G$6:$G$13997,"Свега за пројекат 0901-П19:",'ПО КОРИСНИЦИМА'!$I$6:$I$13997)</f>
        <v>0</v>
      </c>
      <c r="G367" s="742">
        <f t="shared" si="22"/>
        <v>0</v>
      </c>
      <c r="H367" s="728"/>
    </row>
    <row r="368" spans="1:8" hidden="1">
      <c r="A368" s="692"/>
      <c r="B368" s="699" t="s">
        <v>4797</v>
      </c>
      <c r="C368" s="610" t="str">
        <f>IFERROR(VLOOKUP(B368,'ПО КОРИСНИЦИМА'!$C$6:$J$13997,5,FALSE),"")</f>
        <v/>
      </c>
      <c r="D368" s="726">
        <f>SUMIF('ПО КОРИСНИЦИМА'!$G$6:$G$13997,"Свега за пројекат 0901-П20:",'ПО КОРИСНИЦИМА'!$H$6:$H$13997)</f>
        <v>0</v>
      </c>
      <c r="E368" s="723">
        <f t="shared" si="23"/>
        <v>0</v>
      </c>
      <c r="F368" s="727">
        <f>SUMIF('ПО КОРИСНИЦИМА'!$G$6:$G$13997,"Свега за пројекат 0901-П20:",'ПО КОРИСНИЦИМА'!$I$6:$I$13997)</f>
        <v>0</v>
      </c>
      <c r="G368" s="742">
        <f t="shared" si="22"/>
        <v>0</v>
      </c>
      <c r="H368" s="728"/>
    </row>
    <row r="369" spans="1:8" hidden="1">
      <c r="A369" s="692"/>
      <c r="B369" s="699" t="s">
        <v>4798</v>
      </c>
      <c r="C369" s="610" t="str">
        <f>IFERROR(VLOOKUP(B369,'ПО КОРИСНИЦИМА'!$C$6:$J$13997,5,FALSE),"")</f>
        <v/>
      </c>
      <c r="D369" s="726">
        <f>SUMIF('ПО КОРИСНИЦИМА'!$G$6:$G$13997,"Свега за пројекат 0901-П21:",'ПО КОРИСНИЦИМА'!$H$6:$H$13997)</f>
        <v>0</v>
      </c>
      <c r="E369" s="723">
        <f t="shared" si="23"/>
        <v>0</v>
      </c>
      <c r="F369" s="727">
        <f>SUMIF('ПО КОРИСНИЦИМА'!$G$6:$G$13997,"Свега за пројекат 0901-П21:",'ПО КОРИСНИЦИМА'!$I$6:$I$13997)</f>
        <v>0</v>
      </c>
      <c r="G369" s="742">
        <f t="shared" si="22"/>
        <v>0</v>
      </c>
      <c r="H369" s="728"/>
    </row>
    <row r="370" spans="1:8" hidden="1">
      <c r="A370" s="692"/>
      <c r="B370" s="699" t="s">
        <v>4799</v>
      </c>
      <c r="C370" s="610" t="str">
        <f>IFERROR(VLOOKUP(B370,'ПО КОРИСНИЦИМА'!$C$6:$J$13997,5,FALSE),"")</f>
        <v/>
      </c>
      <c r="D370" s="726">
        <f>SUMIF('ПО КОРИСНИЦИМА'!$G$6:$G$13997,"Свега за пројекат 0901-П22:",'ПО КОРИСНИЦИМА'!$H$6:$H$13997)</f>
        <v>0</v>
      </c>
      <c r="E370" s="723">
        <f t="shared" si="23"/>
        <v>0</v>
      </c>
      <c r="F370" s="727">
        <f>SUMIF('ПО КОРИСНИЦИМА'!$G$6:$G$13997,"Свега за пројекат 0901-П22:",'ПО КОРИСНИЦИМА'!$I$6:$I$13997)</f>
        <v>0</v>
      </c>
      <c r="G370" s="742">
        <f t="shared" si="22"/>
        <v>0</v>
      </c>
      <c r="H370" s="728"/>
    </row>
    <row r="371" spans="1:8" hidden="1">
      <c r="A371" s="692"/>
      <c r="B371" s="699" t="s">
        <v>4800</v>
      </c>
      <c r="C371" s="610" t="str">
        <f>IFERROR(VLOOKUP(B371,'ПО КОРИСНИЦИМА'!$C$6:$J$13997,5,FALSE),"")</f>
        <v/>
      </c>
      <c r="D371" s="726">
        <f>SUMIF('ПО КОРИСНИЦИМА'!$G$6:$G$13997,"Свега за пројекат 0901-П23:",'ПО КОРИСНИЦИМА'!$H$6:$H$13997)</f>
        <v>0</v>
      </c>
      <c r="E371" s="723">
        <f t="shared" si="23"/>
        <v>0</v>
      </c>
      <c r="F371" s="727">
        <f>SUMIF('ПО КОРИСНИЦИМА'!$G$6:$G$13997,"Свега за пројекат 0901-П23:",'ПО КОРИСНИЦИМА'!$I$6:$I$13997)</f>
        <v>0</v>
      </c>
      <c r="G371" s="742">
        <f t="shared" si="22"/>
        <v>0</v>
      </c>
      <c r="H371" s="728"/>
    </row>
    <row r="372" spans="1:8" hidden="1">
      <c r="A372" s="692"/>
      <c r="B372" s="699" t="s">
        <v>4801</v>
      </c>
      <c r="C372" s="610" t="str">
        <f>IFERROR(VLOOKUP(B372,'ПО КОРИСНИЦИМА'!$C$6:$J$13997,5,FALSE),"")</f>
        <v/>
      </c>
      <c r="D372" s="726">
        <f>SUMIF('ПО КОРИСНИЦИМА'!$G$6:$G$13997,"Свега за пројекат 0901-П24:",'ПО КОРИСНИЦИМА'!$H$6:$H$13997)</f>
        <v>0</v>
      </c>
      <c r="E372" s="723">
        <f t="shared" si="23"/>
        <v>0</v>
      </c>
      <c r="F372" s="727">
        <f>SUMIF('ПО КОРИСНИЦИМА'!$G$6:$G$13997,"Свега за пројекат 0901-П24:",'ПО КОРИСНИЦИМА'!$I$6:$I$13997)</f>
        <v>0</v>
      </c>
      <c r="G372" s="742">
        <f t="shared" si="22"/>
        <v>0</v>
      </c>
      <c r="H372" s="728"/>
    </row>
    <row r="373" spans="1:8" hidden="1">
      <c r="A373" s="692"/>
      <c r="B373" s="699" t="s">
        <v>4802</v>
      </c>
      <c r="C373" s="610" t="str">
        <f>IFERROR(VLOOKUP(B373,'ПО КОРИСНИЦИМА'!$C$6:$J$13997,5,FALSE),"")</f>
        <v/>
      </c>
      <c r="D373" s="726">
        <f>SUMIF('ПО КОРИСНИЦИМА'!$G$6:$G$13997,"Свега за пројекат 0901-П25:",'ПО КОРИСНИЦИМА'!$H$6:$H$13997)</f>
        <v>0</v>
      </c>
      <c r="E373" s="723">
        <f t="shared" si="23"/>
        <v>0</v>
      </c>
      <c r="F373" s="727">
        <f>SUMIF('ПО КОРИСНИЦИМА'!$G$6:$G$13997,"Свега за пројекат 0901-П25:",'ПО КОРИСНИЦИМА'!$I$6:$I$13997)</f>
        <v>0</v>
      </c>
      <c r="G373" s="742">
        <f t="shared" si="22"/>
        <v>0</v>
      </c>
      <c r="H373" s="728"/>
    </row>
    <row r="374" spans="1:8" hidden="1">
      <c r="A374" s="692"/>
      <c r="B374" s="699" t="s">
        <v>4803</v>
      </c>
      <c r="C374" s="610" t="str">
        <f>IFERROR(VLOOKUP(B374,'ПО КОРИСНИЦИМА'!$C$6:$J$13997,5,FALSE),"")</f>
        <v/>
      </c>
      <c r="D374" s="726">
        <f>SUMIF('ПО КОРИСНИЦИМА'!$G$6:$G$13997,"Свега за пројекат 0901-П26:",'ПО КОРИСНИЦИМА'!$H$6:$H$13997)</f>
        <v>0</v>
      </c>
      <c r="E374" s="723">
        <f t="shared" si="23"/>
        <v>0</v>
      </c>
      <c r="F374" s="727">
        <f>SUMIF('ПО КОРИСНИЦИМА'!$G$6:$G$13997,"Свега за пројекат 0901-П26:",'ПО КОРИСНИЦИМА'!$I$6:$I$13997)</f>
        <v>0</v>
      </c>
      <c r="G374" s="742">
        <f t="shared" si="22"/>
        <v>0</v>
      </c>
      <c r="H374" s="728"/>
    </row>
    <row r="375" spans="1:8" hidden="1">
      <c r="A375" s="692"/>
      <c r="B375" s="699" t="s">
        <v>4804</v>
      </c>
      <c r="C375" s="610" t="str">
        <f>IFERROR(VLOOKUP(B375,'ПО КОРИСНИЦИМА'!$C$6:$J$13997,5,FALSE),"")</f>
        <v/>
      </c>
      <c r="D375" s="726">
        <f>SUMIF('ПО КОРИСНИЦИМА'!$G$6:$G$13997,"Свега за пројекат 0901-П27:",'ПО КОРИСНИЦИМА'!$H$6:$H$13997)</f>
        <v>0</v>
      </c>
      <c r="E375" s="723">
        <f t="shared" si="23"/>
        <v>0</v>
      </c>
      <c r="F375" s="727">
        <f>SUMIF('ПО КОРИСНИЦИМА'!$G$6:$G$13997,"Свега за пројекат 0901-П27:",'ПО КОРИСНИЦИМА'!$I$6:$I$13997)</f>
        <v>0</v>
      </c>
      <c r="G375" s="742">
        <f t="shared" si="22"/>
        <v>0</v>
      </c>
      <c r="H375" s="728"/>
    </row>
    <row r="376" spans="1:8" hidden="1">
      <c r="A376" s="692"/>
      <c r="B376" s="699" t="s">
        <v>4805</v>
      </c>
      <c r="C376" s="610" t="str">
        <f>IFERROR(VLOOKUP(B376,'ПО КОРИСНИЦИМА'!$C$6:$J$13997,5,FALSE),"")</f>
        <v/>
      </c>
      <c r="D376" s="726">
        <f>SUMIF('ПО КОРИСНИЦИМА'!$G$6:$G$13997,"Свега за пројекат 0901-П28:",'ПО КОРИСНИЦИМА'!$H$6:$H$13997)</f>
        <v>0</v>
      </c>
      <c r="E376" s="723">
        <f t="shared" si="23"/>
        <v>0</v>
      </c>
      <c r="F376" s="727">
        <f>SUMIF('ПО КОРИСНИЦИМА'!$G$6:$G$13997,"Свега за пројекат 0901-П28:",'ПО КОРИСНИЦИМА'!$I$6:$I$13997)</f>
        <v>0</v>
      </c>
      <c r="G376" s="742">
        <f t="shared" si="22"/>
        <v>0</v>
      </c>
      <c r="H376" s="728"/>
    </row>
    <row r="377" spans="1:8" hidden="1">
      <c r="A377" s="692"/>
      <c r="B377" s="699" t="s">
        <v>4806</v>
      </c>
      <c r="C377" s="610" t="str">
        <f>IFERROR(VLOOKUP(B377,'ПО КОРИСНИЦИМА'!$C$6:$J$13997,5,FALSE),"")</f>
        <v/>
      </c>
      <c r="D377" s="726">
        <f>SUMIF('ПО КОРИСНИЦИМА'!$G$6:$G$13997,"Свега за пројекат 0901-П29:",'ПО КОРИСНИЦИМА'!$H$6:$H$13997)</f>
        <v>0</v>
      </c>
      <c r="E377" s="723">
        <f t="shared" si="23"/>
        <v>0</v>
      </c>
      <c r="F377" s="727">
        <f>SUMIF('ПО КОРИСНИЦИМА'!$G$6:$G$13997,"Свега за пројекат 0901-П29:",'ПО КОРИСНИЦИМА'!$I$6:$I$13997)</f>
        <v>0</v>
      </c>
      <c r="G377" s="742">
        <f t="shared" si="22"/>
        <v>0</v>
      </c>
      <c r="H377" s="728"/>
    </row>
    <row r="378" spans="1:8" hidden="1">
      <c r="A378" s="692"/>
      <c r="B378" s="699" t="s">
        <v>4807</v>
      </c>
      <c r="C378" s="610" t="str">
        <f>IFERROR(VLOOKUP(B378,'ПО КОРИСНИЦИМА'!$C$6:$J$13997,5,FALSE),"")</f>
        <v/>
      </c>
      <c r="D378" s="726">
        <f>SUMIF('ПО КОРИСНИЦИМА'!$G$6:$G$13997,"Свега за пројекат 0901-П30:",'ПО КОРИСНИЦИМА'!$H$6:$H$13997)</f>
        <v>0</v>
      </c>
      <c r="E378" s="723">
        <f t="shared" si="23"/>
        <v>0</v>
      </c>
      <c r="F378" s="727">
        <f>SUMIF('ПО КОРИСНИЦИМА'!$G$6:$G$13997,"Свега за пројекат 0901-П30:",'ПО КОРИСНИЦИМА'!$I$6:$I$13997)</f>
        <v>0</v>
      </c>
      <c r="G378" s="742">
        <f t="shared" si="22"/>
        <v>0</v>
      </c>
      <c r="H378" s="728"/>
    </row>
    <row r="379" spans="1:8" s="694" customFormat="1">
      <c r="A379" s="687" t="s">
        <v>3591</v>
      </c>
      <c r="B379" s="688"/>
      <c r="C379" s="608" t="s">
        <v>3676</v>
      </c>
      <c r="D379" s="714">
        <f>SUM(D380:D410)</f>
        <v>4500000</v>
      </c>
      <c r="E379" s="715">
        <f>IFERROR(D379/$D$599,"-")</f>
        <v>9.485988036271889E-3</v>
      </c>
      <c r="F379" s="716">
        <f>SUM(F380:F410)</f>
        <v>0</v>
      </c>
      <c r="G379" s="714">
        <f t="shared" si="13"/>
        <v>4500000</v>
      </c>
      <c r="H379" s="735"/>
    </row>
    <row r="380" spans="1:8">
      <c r="A380" s="690"/>
      <c r="B380" s="695" t="s">
        <v>4131</v>
      </c>
      <c r="C380" s="614" t="s">
        <v>4126</v>
      </c>
      <c r="D380" s="718">
        <f>SUMIF('ПО КОРИСНИЦИМА'!$G$6:$G$13997,"Свега за програмску активност 1801-0001:",'ПО КОРИСНИЦИМА'!$H$6:$H$13997)</f>
        <v>4500000</v>
      </c>
      <c r="E380" s="719">
        <f>IFERROR(D380/$D$599,"-")</f>
        <v>9.485988036271889E-3</v>
      </c>
      <c r="F380" s="720">
        <f>SUMIF('ПО КОРИСНИЦИМА'!$G$6:$G$13997,"Свега за програмску активност 1801-0001:",'ПО КОРИСНИЦИМА'!$I$6:$I$13997)</f>
        <v>0</v>
      </c>
      <c r="G380" s="718">
        <f t="shared" si="13"/>
        <v>4500000</v>
      </c>
      <c r="H380" s="721"/>
    </row>
    <row r="381" spans="1:8" hidden="1">
      <c r="A381" s="696"/>
      <c r="B381" s="696" t="s">
        <v>4808</v>
      </c>
      <c r="C381" s="610" t="str">
        <f>IFERROR(VLOOKUP(B381,'ПО КОРИСНИЦИМА'!$C$6:$J$13997,5,FALSE),"")</f>
        <v>Суфинансирање вештачке оплодње</v>
      </c>
      <c r="D381" s="726">
        <f>SUMIF('ПО КОРИСНИЦИМА'!$G$6:$G$13997,"Свега за пројекат 1801-П1:",'ПО КОРИСНИЦИМА'!$H$6:$H$13997)</f>
        <v>0</v>
      </c>
      <c r="E381" s="723">
        <f>IFERROR(D381/$D$599,"-")</f>
        <v>0</v>
      </c>
      <c r="F381" s="727">
        <f>SUMIF('ПО КОРИСНИЦИМА'!$G$6:$G$13997,"Свега за пројекат 1801-П1:",'ПО КОРИСНИЦИМА'!$I$6:$I$13997)</f>
        <v>0</v>
      </c>
      <c r="G381" s="722">
        <f t="shared" si="13"/>
        <v>0</v>
      </c>
      <c r="H381" s="725"/>
    </row>
    <row r="382" spans="1:8" hidden="1">
      <c r="A382" s="696"/>
      <c r="B382" s="696" t="s">
        <v>4809</v>
      </c>
      <c r="C382" s="610" t="str">
        <f>IFERROR(VLOOKUP(B382,'ПО КОРИСНИЦИМА'!$C$6:$J$13997,5,FALSE),"")</f>
        <v/>
      </c>
      <c r="D382" s="726">
        <f>SUMIF('ПО КОРИСНИЦИМА'!$G$6:$G$13997,"Свега за пројекат 1801-П2:",'ПО КОРИСНИЦИМА'!$H$6:$H$13997)</f>
        <v>0</v>
      </c>
      <c r="E382" s="723">
        <f t="shared" ref="E382:E410" si="24">IFERROR(D382/$D$599,"-")</f>
        <v>0</v>
      </c>
      <c r="F382" s="727">
        <f>SUMIF('ПО КОРИСНИЦИМА'!$G$6:$G$13997,"Свега за пројекат 1801-П2:",'ПО КОРИСНИЦИМА'!$I$6:$I$13997)</f>
        <v>0</v>
      </c>
      <c r="G382" s="722">
        <f t="shared" si="13"/>
        <v>0</v>
      </c>
      <c r="H382" s="728"/>
    </row>
    <row r="383" spans="1:8" hidden="1">
      <c r="A383" s="696"/>
      <c r="B383" s="696" t="s">
        <v>4810</v>
      </c>
      <c r="C383" s="610" t="str">
        <f>IFERROR(VLOOKUP(B383,'ПО КОРИСНИЦИМА'!$C$6:$J$13997,5,FALSE),"")</f>
        <v/>
      </c>
      <c r="D383" s="726">
        <f>SUMIF('ПО КОРИСНИЦИМА'!$G$6:$G$13997,"Свега за пројекат 1801-П3:",'ПО КОРИСНИЦИМА'!$H$6:$H$13997)</f>
        <v>0</v>
      </c>
      <c r="E383" s="723">
        <f t="shared" si="24"/>
        <v>0</v>
      </c>
      <c r="F383" s="727">
        <f>SUMIF('ПО КОРИСНИЦИМА'!$G$6:$G$13997,"Свега за пројекат 1801-П3:",'ПО КОРИСНИЦИМА'!$I$6:$I$13997)</f>
        <v>0</v>
      </c>
      <c r="G383" s="722">
        <f t="shared" si="13"/>
        <v>0</v>
      </c>
      <c r="H383" s="728"/>
    </row>
    <row r="384" spans="1:8" hidden="1">
      <c r="A384" s="696"/>
      <c r="B384" s="696" t="s">
        <v>4811</v>
      </c>
      <c r="C384" s="610" t="str">
        <f>IFERROR(VLOOKUP(B384,'ПО КОРИСНИЦИМА'!$C$6:$J$13997,5,FALSE),"")</f>
        <v/>
      </c>
      <c r="D384" s="726">
        <f>SUMIF('ПО КОРИСНИЦИМА'!$G$6:$G$13997,"Свега за пројекат 1801-П4:",'ПО КОРИСНИЦИМА'!$H$6:$H$13997)</f>
        <v>0</v>
      </c>
      <c r="E384" s="723">
        <f t="shared" si="24"/>
        <v>0</v>
      </c>
      <c r="F384" s="727">
        <f>SUMIF('ПО КОРИСНИЦИМА'!$G$6:$G$13997,"Свега за пројекат 1801-П4:",'ПО КОРИСНИЦИМА'!$I$6:$I$13997)</f>
        <v>0</v>
      </c>
      <c r="G384" s="722">
        <f t="shared" si="13"/>
        <v>0</v>
      </c>
      <c r="H384" s="728"/>
    </row>
    <row r="385" spans="1:8" hidden="1">
      <c r="A385" s="696"/>
      <c r="B385" s="696" t="s">
        <v>4812</v>
      </c>
      <c r="C385" s="610" t="str">
        <f>IFERROR(VLOOKUP(B385,'ПО КОРИСНИЦИМА'!$C$6:$J$13997,5,FALSE),"")</f>
        <v/>
      </c>
      <c r="D385" s="726">
        <f>SUMIF('ПО КОРИСНИЦИМА'!$G$6:$G$13997,"Свега за пројекат 1801-П5:",'ПО КОРИСНИЦИМА'!$H$6:$H$13997)</f>
        <v>0</v>
      </c>
      <c r="E385" s="723">
        <f t="shared" si="24"/>
        <v>0</v>
      </c>
      <c r="F385" s="727">
        <f>SUMIF('ПО КОРИСНИЦИМА'!$G$6:$G$13997,"Свега за пројекат 1801-П5:",'ПО КОРИСНИЦИМА'!$I$6:$I$13997)</f>
        <v>0</v>
      </c>
      <c r="G385" s="722">
        <f t="shared" si="13"/>
        <v>0</v>
      </c>
      <c r="H385" s="728"/>
    </row>
    <row r="386" spans="1:8" hidden="1">
      <c r="A386" s="696"/>
      <c r="B386" s="696" t="s">
        <v>4813</v>
      </c>
      <c r="C386" s="610" t="str">
        <f>IFERROR(VLOOKUP(B386,'ПО КОРИСНИЦИМА'!$C$6:$J$13997,5,FALSE),"")</f>
        <v/>
      </c>
      <c r="D386" s="726">
        <f>SUMIF('ПО КОРИСНИЦИМА'!$G$6:$G$13997,"Свега за пројекат 1801-П6:",'ПО КОРИСНИЦИМА'!$H$6:$H$13997)</f>
        <v>0</v>
      </c>
      <c r="E386" s="723">
        <f t="shared" si="24"/>
        <v>0</v>
      </c>
      <c r="F386" s="727">
        <f>SUMIF('ПО КОРИСНИЦИМА'!$G$6:$G$13997,"Свега за пројекат 1801-П6:",'ПО КОРИСНИЦИМА'!$I$6:$I$13997)</f>
        <v>0</v>
      </c>
      <c r="G386" s="722">
        <f t="shared" si="13"/>
        <v>0</v>
      </c>
      <c r="H386" s="728"/>
    </row>
    <row r="387" spans="1:8" hidden="1">
      <c r="A387" s="696"/>
      <c r="B387" s="696" t="s">
        <v>4814</v>
      </c>
      <c r="C387" s="610" t="str">
        <f>IFERROR(VLOOKUP(B387,'ПО КОРИСНИЦИМА'!$C$6:$J$13997,5,FALSE),"")</f>
        <v/>
      </c>
      <c r="D387" s="726">
        <f>SUMIF('ПО КОРИСНИЦИМА'!$G$6:$G$13997,"Свега за пројекат 1801-П7:",'ПО КОРИСНИЦИМА'!$H$6:$H$13997)</f>
        <v>0</v>
      </c>
      <c r="E387" s="723">
        <f t="shared" si="24"/>
        <v>0</v>
      </c>
      <c r="F387" s="727">
        <f>SUMIF('ПО КОРИСНИЦИМА'!$G$6:$G$13997,"Свега за пројекат 1801-П7:",'ПО КОРИСНИЦИМА'!$I$6:$I$13997)</f>
        <v>0</v>
      </c>
      <c r="G387" s="722">
        <f t="shared" si="13"/>
        <v>0</v>
      </c>
      <c r="H387" s="728"/>
    </row>
    <row r="388" spans="1:8" hidden="1">
      <c r="A388" s="696"/>
      <c r="B388" s="696" t="s">
        <v>4815</v>
      </c>
      <c r="C388" s="610" t="str">
        <f>IFERROR(VLOOKUP(B388,'ПО КОРИСНИЦИМА'!$C$6:$J$13997,5,FALSE),"")</f>
        <v/>
      </c>
      <c r="D388" s="726">
        <f>SUMIF('ПО КОРИСНИЦИМА'!$G$6:$G$13997,"Свега за пројекат 1801-П8:",'ПО КОРИСНИЦИМА'!$H$6:$H$13997)</f>
        <v>0</v>
      </c>
      <c r="E388" s="723">
        <f t="shared" si="24"/>
        <v>0</v>
      </c>
      <c r="F388" s="727">
        <f>SUMIF('ПО КОРИСНИЦИМА'!$G$6:$G$13997,"Свега за пројекат 1801-П8:",'ПО КОРИСНИЦИМА'!$I$6:$I$13997)</f>
        <v>0</v>
      </c>
      <c r="G388" s="722">
        <f t="shared" si="13"/>
        <v>0</v>
      </c>
      <c r="H388" s="728"/>
    </row>
    <row r="389" spans="1:8" hidden="1">
      <c r="A389" s="696"/>
      <c r="B389" s="696" t="s">
        <v>4816</v>
      </c>
      <c r="C389" s="610" t="str">
        <f>IFERROR(VLOOKUP(B389,'ПО КОРИСНИЦИМА'!$C$6:$J$13997,5,FALSE),"")</f>
        <v/>
      </c>
      <c r="D389" s="726">
        <f>SUMIF('ПО КОРИСНИЦИМА'!$G$6:$G$13997,"Свега за пројекат 1801-П9:",'ПО КОРИСНИЦИМА'!$H$6:$H$13997)</f>
        <v>0</v>
      </c>
      <c r="E389" s="723">
        <f t="shared" si="24"/>
        <v>0</v>
      </c>
      <c r="F389" s="727">
        <f>SUMIF('ПО КОРИСНИЦИМА'!$G$6:$G$13997,"Свега за пројекат 1801-П9:",'ПО КОРИСНИЦИМА'!$I$6:$I$13997)</f>
        <v>0</v>
      </c>
      <c r="G389" s="722">
        <f t="shared" si="13"/>
        <v>0</v>
      </c>
      <c r="H389" s="728"/>
    </row>
    <row r="390" spans="1:8" hidden="1">
      <c r="A390" s="696"/>
      <c r="B390" s="696" t="s">
        <v>4817</v>
      </c>
      <c r="C390" s="610" t="str">
        <f>IFERROR(VLOOKUP(B390,'ПО КОРИСНИЦИМА'!$C$6:$J$13997,5,FALSE),"")</f>
        <v/>
      </c>
      <c r="D390" s="726">
        <f>SUMIF('ПО КОРИСНИЦИМА'!$G$6:$G$13997,"Свега за пројекат 1801-П10:",'ПО КОРИСНИЦИМА'!$H$6:$H$13997)</f>
        <v>0</v>
      </c>
      <c r="E390" s="723">
        <f t="shared" si="24"/>
        <v>0</v>
      </c>
      <c r="F390" s="727">
        <f>SUMIF('ПО КОРИСНИЦИМА'!$G$6:$G$13997,"Свега за пројекат 1801-П10:",'ПО КОРИСНИЦИМА'!$I$6:$I$13997)</f>
        <v>0</v>
      </c>
      <c r="G390" s="722">
        <f t="shared" si="13"/>
        <v>0</v>
      </c>
      <c r="H390" s="728"/>
    </row>
    <row r="391" spans="1:8" hidden="1">
      <c r="A391" s="696"/>
      <c r="B391" s="696" t="s">
        <v>4818</v>
      </c>
      <c r="C391" s="610" t="str">
        <f>IFERROR(VLOOKUP(B391,'ПО КОРИСНИЦИМА'!$C$6:$J$13997,5,FALSE),"")</f>
        <v/>
      </c>
      <c r="D391" s="726">
        <f>SUMIF('ПО КОРИСНИЦИМА'!$G$6:$G$13997,"Свега за пројекат 1801-П11:",'ПО КОРИСНИЦИМА'!$H$6:$H$13997)</f>
        <v>0</v>
      </c>
      <c r="E391" s="723">
        <f t="shared" si="24"/>
        <v>0</v>
      </c>
      <c r="F391" s="727">
        <f>SUMIF('ПО КОРИСНИЦИМА'!$G$6:$G$13997,"Свега за пројекат 1801-П11:",'ПО КОРИСНИЦИМА'!$I$6:$I$13997)</f>
        <v>0</v>
      </c>
      <c r="G391" s="722">
        <f t="shared" si="13"/>
        <v>0</v>
      </c>
      <c r="H391" s="728"/>
    </row>
    <row r="392" spans="1:8" hidden="1">
      <c r="A392" s="696"/>
      <c r="B392" s="696" t="s">
        <v>4819</v>
      </c>
      <c r="C392" s="610" t="str">
        <f>IFERROR(VLOOKUP(B392,'ПО КОРИСНИЦИМА'!$C$6:$J$13997,5,FALSE),"")</f>
        <v/>
      </c>
      <c r="D392" s="726">
        <f>SUMIF('ПО КОРИСНИЦИМА'!$G$6:$G$13997,"Свега за пројекат 1801-П12:",'ПО КОРИСНИЦИМА'!$H$6:$H$13997)</f>
        <v>0</v>
      </c>
      <c r="E392" s="723">
        <f t="shared" si="24"/>
        <v>0</v>
      </c>
      <c r="F392" s="727">
        <f>SUMIF('ПО КОРИСНИЦИМА'!$G$6:$G$13997,"Свега за пројекат 1801-П12:",'ПО КОРИСНИЦИМА'!$I$6:$I$13997)</f>
        <v>0</v>
      </c>
      <c r="G392" s="722">
        <f t="shared" si="13"/>
        <v>0</v>
      </c>
      <c r="H392" s="728"/>
    </row>
    <row r="393" spans="1:8" hidden="1">
      <c r="A393" s="696"/>
      <c r="B393" s="696" t="s">
        <v>4820</v>
      </c>
      <c r="C393" s="610" t="str">
        <f>IFERROR(VLOOKUP(B393,'ПО КОРИСНИЦИМА'!$C$6:$J$13997,5,FALSE),"")</f>
        <v/>
      </c>
      <c r="D393" s="726">
        <f>SUMIF('ПО КОРИСНИЦИМА'!$G$6:$G$13997,"Свега за пројекат 1801-П13:",'ПО КОРИСНИЦИМА'!$H$6:$H$13997)</f>
        <v>0</v>
      </c>
      <c r="E393" s="723">
        <f t="shared" si="24"/>
        <v>0</v>
      </c>
      <c r="F393" s="727">
        <f>SUMIF('ПО КОРИСНИЦИМА'!$G$6:$G$13997,"Свега за пројекат 1801-П13:",'ПО КОРИСНИЦИМА'!$I$6:$I$13997)</f>
        <v>0</v>
      </c>
      <c r="G393" s="722">
        <f t="shared" si="13"/>
        <v>0</v>
      </c>
      <c r="H393" s="728"/>
    </row>
    <row r="394" spans="1:8" hidden="1">
      <c r="A394" s="696"/>
      <c r="B394" s="696" t="s">
        <v>4821</v>
      </c>
      <c r="C394" s="610" t="str">
        <f>IFERROR(VLOOKUP(B394,'ПО КОРИСНИЦИМА'!$C$6:$J$13997,5,FALSE),"")</f>
        <v/>
      </c>
      <c r="D394" s="726">
        <f>SUMIF('ПО КОРИСНИЦИМА'!$G$6:$G$13997,"Свега за пројекат 1801-П14:",'ПО КОРИСНИЦИМА'!$H$6:$H$13997)</f>
        <v>0</v>
      </c>
      <c r="E394" s="723">
        <f t="shared" si="24"/>
        <v>0</v>
      </c>
      <c r="F394" s="727">
        <f>SUMIF('ПО КОРИСНИЦИМА'!$G$6:$G$13997,"Свега за пројекат 1801-П14:",'ПО КОРИСНИЦИМА'!$I$6:$I$13997)</f>
        <v>0</v>
      </c>
      <c r="G394" s="722">
        <f t="shared" si="13"/>
        <v>0</v>
      </c>
      <c r="H394" s="728"/>
    </row>
    <row r="395" spans="1:8" hidden="1">
      <c r="A395" s="696"/>
      <c r="B395" s="696" t="s">
        <v>4822</v>
      </c>
      <c r="C395" s="610" t="str">
        <f>IFERROR(VLOOKUP(B395,'ПО КОРИСНИЦИМА'!$C$6:$J$13997,5,FALSE),"")</f>
        <v/>
      </c>
      <c r="D395" s="726">
        <f>SUMIF('ПО КОРИСНИЦИМА'!$G$6:$G$13997,"Свега за пројекат 1801-П15:",'ПО КОРИСНИЦИМА'!$H$6:$H$13997)</f>
        <v>0</v>
      </c>
      <c r="E395" s="723">
        <f t="shared" si="24"/>
        <v>0</v>
      </c>
      <c r="F395" s="727">
        <f>SUMIF('ПО КОРИСНИЦИМА'!$G$6:$G$13997,"Свега за пројекат 1801-П15:",'ПО КОРИСНИЦИМА'!$I$6:$I$13997)</f>
        <v>0</v>
      </c>
      <c r="G395" s="722">
        <f t="shared" si="13"/>
        <v>0</v>
      </c>
      <c r="H395" s="728"/>
    </row>
    <row r="396" spans="1:8" hidden="1">
      <c r="A396" s="696"/>
      <c r="B396" s="696" t="s">
        <v>4823</v>
      </c>
      <c r="C396" s="610" t="str">
        <f>IFERROR(VLOOKUP(B396,'ПО КОРИСНИЦИМА'!$C$6:$J$13997,5,FALSE),"")</f>
        <v/>
      </c>
      <c r="D396" s="726">
        <f>SUMIF('ПО КОРИСНИЦИМА'!$G$6:$G$13997,"Свега за пројекат 1801-П16:",'ПО КОРИСНИЦИМА'!$H$6:$H$13997)</f>
        <v>0</v>
      </c>
      <c r="E396" s="723">
        <f t="shared" si="24"/>
        <v>0</v>
      </c>
      <c r="F396" s="727">
        <f>SUMIF('ПО КОРИСНИЦИМА'!$G$6:$G$13997,"Свега за пројекат 1801-П16:",'ПО КОРИСНИЦИМА'!$I$6:$I$13997)</f>
        <v>0</v>
      </c>
      <c r="G396" s="722">
        <f t="shared" si="13"/>
        <v>0</v>
      </c>
      <c r="H396" s="728"/>
    </row>
    <row r="397" spans="1:8" hidden="1">
      <c r="A397" s="696"/>
      <c r="B397" s="696" t="s">
        <v>4824</v>
      </c>
      <c r="C397" s="610" t="str">
        <f>IFERROR(VLOOKUP(B397,'ПО КОРИСНИЦИМА'!$C$6:$J$13997,5,FALSE),"")</f>
        <v/>
      </c>
      <c r="D397" s="726">
        <f>SUMIF('ПО КОРИСНИЦИМА'!$G$6:$G$13997,"Свега за пројекат 1801-П17:",'ПО КОРИСНИЦИМА'!$H$6:$H$13997)</f>
        <v>0</v>
      </c>
      <c r="E397" s="723">
        <f t="shared" si="24"/>
        <v>0</v>
      </c>
      <c r="F397" s="727">
        <f>SUMIF('ПО КОРИСНИЦИМА'!$G$6:$G$13997,"Свега за пројекат 1801-П17:",'ПО КОРИСНИЦИМА'!$I$6:$I$13997)</f>
        <v>0</v>
      </c>
      <c r="G397" s="722">
        <f t="shared" si="13"/>
        <v>0</v>
      </c>
      <c r="H397" s="728"/>
    </row>
    <row r="398" spans="1:8" hidden="1">
      <c r="A398" s="696"/>
      <c r="B398" s="696" t="s">
        <v>4825</v>
      </c>
      <c r="C398" s="610" t="str">
        <f>IFERROR(VLOOKUP(B398,'ПО КОРИСНИЦИМА'!$C$6:$J$13997,5,FALSE),"")</f>
        <v/>
      </c>
      <c r="D398" s="726">
        <f>SUMIF('ПО КОРИСНИЦИМА'!$G$6:$G$13997,"Свега за пројекат 1801-П18:",'ПО КОРИСНИЦИМА'!$H$6:$H$13997)</f>
        <v>0</v>
      </c>
      <c r="E398" s="723">
        <f t="shared" si="24"/>
        <v>0</v>
      </c>
      <c r="F398" s="727">
        <f>SUMIF('ПО КОРИСНИЦИМА'!$G$6:$G$13997,"Свега за пројекат 1801-П18:",'ПО КОРИСНИЦИМА'!$I$6:$I$13997)</f>
        <v>0</v>
      </c>
      <c r="G398" s="722">
        <f t="shared" si="13"/>
        <v>0</v>
      </c>
      <c r="H398" s="728"/>
    </row>
    <row r="399" spans="1:8" hidden="1">
      <c r="A399" s="696"/>
      <c r="B399" s="696" t="s">
        <v>4826</v>
      </c>
      <c r="C399" s="610" t="str">
        <f>IFERROR(VLOOKUP(B399,'ПО КОРИСНИЦИМА'!$C$6:$J$13997,5,FALSE),"")</f>
        <v/>
      </c>
      <c r="D399" s="726">
        <f>SUMIF('ПО КОРИСНИЦИМА'!$G$6:$G$13997,"Свега за пројекат 1801-П19:",'ПО КОРИСНИЦИМА'!$H$6:$H$13997)</f>
        <v>0</v>
      </c>
      <c r="E399" s="723">
        <f t="shared" si="24"/>
        <v>0</v>
      </c>
      <c r="F399" s="727">
        <f>SUMIF('ПО КОРИСНИЦИМА'!$G$6:$G$13997,"Свега за пројекат 1801-П19:",'ПО КОРИСНИЦИМА'!$I$6:$I$13997)</f>
        <v>0</v>
      </c>
      <c r="G399" s="722">
        <f t="shared" si="13"/>
        <v>0</v>
      </c>
      <c r="H399" s="728"/>
    </row>
    <row r="400" spans="1:8" hidden="1">
      <c r="A400" s="696"/>
      <c r="B400" s="696" t="s">
        <v>4827</v>
      </c>
      <c r="C400" s="610" t="str">
        <f>IFERROR(VLOOKUP(B400,'ПО КОРИСНИЦИМА'!$C$6:$J$13997,5,FALSE),"")</f>
        <v/>
      </c>
      <c r="D400" s="726">
        <f>SUMIF('ПО КОРИСНИЦИМА'!$G$6:$G$13997,"Свега за пројекат 1801-П20:",'ПО КОРИСНИЦИМА'!$H$6:$H$13997)</f>
        <v>0</v>
      </c>
      <c r="E400" s="723">
        <f t="shared" si="24"/>
        <v>0</v>
      </c>
      <c r="F400" s="727">
        <f>SUMIF('ПО КОРИСНИЦИМА'!$G$6:$G$13997,"Свега за пројекат 1801-П20:",'ПО КОРИСНИЦИМА'!$I$6:$I$13997)</f>
        <v>0</v>
      </c>
      <c r="G400" s="722">
        <f t="shared" si="13"/>
        <v>0</v>
      </c>
      <c r="H400" s="728"/>
    </row>
    <row r="401" spans="1:8" hidden="1">
      <c r="A401" s="696"/>
      <c r="B401" s="696" t="s">
        <v>4828</v>
      </c>
      <c r="C401" s="610" t="str">
        <f>IFERROR(VLOOKUP(B401,'ПО КОРИСНИЦИМА'!$C$6:$J$13997,5,FALSE),"")</f>
        <v/>
      </c>
      <c r="D401" s="726">
        <f>SUMIF('ПО КОРИСНИЦИМА'!$G$6:$G$13997,"Свега за пројекат 1801-П21:",'ПО КОРИСНИЦИМА'!$H$6:$H$13997)</f>
        <v>0</v>
      </c>
      <c r="E401" s="723">
        <f t="shared" si="24"/>
        <v>0</v>
      </c>
      <c r="F401" s="727">
        <f>SUMIF('ПО КОРИСНИЦИМА'!$G$6:$G$13997,"Свега за пројекат 1801-П21:",'ПО КОРИСНИЦИМА'!$I$6:$I$13997)</f>
        <v>0</v>
      </c>
      <c r="G401" s="722">
        <f t="shared" si="13"/>
        <v>0</v>
      </c>
      <c r="H401" s="728"/>
    </row>
    <row r="402" spans="1:8" hidden="1">
      <c r="A402" s="696"/>
      <c r="B402" s="696" t="s">
        <v>4829</v>
      </c>
      <c r="C402" s="610" t="str">
        <f>IFERROR(VLOOKUP(B402,'ПО КОРИСНИЦИМА'!$C$6:$J$13997,5,FALSE),"")</f>
        <v/>
      </c>
      <c r="D402" s="726">
        <f>SUMIF('ПО КОРИСНИЦИМА'!$G$6:$G$13997,"Свега за пројекат 1801-П22:",'ПО КОРИСНИЦИМА'!$H$6:$H$13997)</f>
        <v>0</v>
      </c>
      <c r="E402" s="723">
        <f t="shared" si="24"/>
        <v>0</v>
      </c>
      <c r="F402" s="727">
        <f>SUMIF('ПО КОРИСНИЦИМА'!$G$6:$G$13997,"Свега за пројекат 1801-П22:",'ПО КОРИСНИЦИМА'!$I$6:$I$13997)</f>
        <v>0</v>
      </c>
      <c r="G402" s="722">
        <f t="shared" si="13"/>
        <v>0</v>
      </c>
      <c r="H402" s="728"/>
    </row>
    <row r="403" spans="1:8" hidden="1">
      <c r="A403" s="696"/>
      <c r="B403" s="696" t="s">
        <v>4830</v>
      </c>
      <c r="C403" s="610" t="str">
        <f>IFERROR(VLOOKUP(B403,'ПО КОРИСНИЦИМА'!$C$6:$J$13997,5,FALSE),"")</f>
        <v/>
      </c>
      <c r="D403" s="726">
        <f>SUMIF('ПО КОРИСНИЦИМА'!$G$6:$G$13997,"Свега за пројекат 1801-П23:",'ПО КОРИСНИЦИМА'!$H$6:$H$13997)</f>
        <v>0</v>
      </c>
      <c r="E403" s="723">
        <f t="shared" si="24"/>
        <v>0</v>
      </c>
      <c r="F403" s="727">
        <f>SUMIF('ПО КОРИСНИЦИМА'!$G$6:$G$13997,"Свега за пројекат 1801-П23:",'ПО КОРИСНИЦИМА'!$I$6:$I$13997)</f>
        <v>0</v>
      </c>
      <c r="G403" s="722">
        <f t="shared" si="13"/>
        <v>0</v>
      </c>
      <c r="H403" s="728"/>
    </row>
    <row r="404" spans="1:8" hidden="1">
      <c r="A404" s="696"/>
      <c r="B404" s="696" t="s">
        <v>4831</v>
      </c>
      <c r="C404" s="610" t="str">
        <f>IFERROR(VLOOKUP(B404,'ПО КОРИСНИЦИМА'!$C$6:$J$13997,5,FALSE),"")</f>
        <v/>
      </c>
      <c r="D404" s="726">
        <f>SUMIF('ПО КОРИСНИЦИМА'!$G$6:$G$13997,"Свега за пројекат 1801-П24:",'ПО КОРИСНИЦИМА'!$H$6:$H$13997)</f>
        <v>0</v>
      </c>
      <c r="E404" s="723">
        <f t="shared" si="24"/>
        <v>0</v>
      </c>
      <c r="F404" s="727">
        <f>SUMIF('ПО КОРИСНИЦИМА'!$G$6:$G$13997,"Свега за пројекат 1801-П24:",'ПО КОРИСНИЦИМА'!$I$6:$I$13997)</f>
        <v>0</v>
      </c>
      <c r="G404" s="722">
        <f t="shared" si="13"/>
        <v>0</v>
      </c>
      <c r="H404" s="728"/>
    </row>
    <row r="405" spans="1:8" hidden="1">
      <c r="A405" s="696"/>
      <c r="B405" s="696" t="s">
        <v>4832</v>
      </c>
      <c r="C405" s="610" t="str">
        <f>IFERROR(VLOOKUP(B405,'ПО КОРИСНИЦИМА'!$C$6:$J$13997,5,FALSE),"")</f>
        <v/>
      </c>
      <c r="D405" s="726">
        <f>SUMIF('ПО КОРИСНИЦИМА'!$G$6:$G$13997,"Свега за пројекат 1801-П25:",'ПО КОРИСНИЦИМА'!$H$6:$H$13997)</f>
        <v>0</v>
      </c>
      <c r="E405" s="723">
        <f t="shared" si="24"/>
        <v>0</v>
      </c>
      <c r="F405" s="727">
        <f>SUMIF('ПО КОРИСНИЦИМА'!$G$6:$G$13997,"Свега за пројекат 1801-П25:",'ПО КОРИСНИЦИМА'!$I$6:$I$13997)</f>
        <v>0</v>
      </c>
      <c r="G405" s="722">
        <f t="shared" si="13"/>
        <v>0</v>
      </c>
      <c r="H405" s="728"/>
    </row>
    <row r="406" spans="1:8" hidden="1">
      <c r="A406" s="696"/>
      <c r="B406" s="696" t="s">
        <v>4833</v>
      </c>
      <c r="C406" s="610" t="str">
        <f>IFERROR(VLOOKUP(B406,'ПО КОРИСНИЦИМА'!$C$6:$J$13997,5,FALSE),"")</f>
        <v/>
      </c>
      <c r="D406" s="726">
        <f>SUMIF('ПО КОРИСНИЦИМА'!$G$6:$G$13997,"Свега за пројекат 1801-П26:",'ПО КОРИСНИЦИМА'!$H$6:$H$13997)</f>
        <v>0</v>
      </c>
      <c r="E406" s="723">
        <f t="shared" si="24"/>
        <v>0</v>
      </c>
      <c r="F406" s="727">
        <f>SUMIF('ПО КОРИСНИЦИМА'!$G$6:$G$13997,"Свега за пројекат 1801-П26:",'ПО КОРИСНИЦИМА'!$I$6:$I$13997)</f>
        <v>0</v>
      </c>
      <c r="G406" s="722">
        <f t="shared" si="13"/>
        <v>0</v>
      </c>
      <c r="H406" s="728"/>
    </row>
    <row r="407" spans="1:8" hidden="1">
      <c r="A407" s="696"/>
      <c r="B407" s="696" t="s">
        <v>4834</v>
      </c>
      <c r="C407" s="610" t="str">
        <f>IFERROR(VLOOKUP(B407,'ПО КОРИСНИЦИМА'!$C$6:$J$13997,5,FALSE),"")</f>
        <v/>
      </c>
      <c r="D407" s="726">
        <f>SUMIF('ПО КОРИСНИЦИМА'!$G$6:$G$13997,"Свега за пројекат 1801-П27:",'ПО КОРИСНИЦИМА'!$H$6:$H$13997)</f>
        <v>0</v>
      </c>
      <c r="E407" s="723">
        <f t="shared" si="24"/>
        <v>0</v>
      </c>
      <c r="F407" s="727">
        <f>SUMIF('ПО КОРИСНИЦИМА'!$G$6:$G$13997,"Свега за пројекат 1801-П27:",'ПО КОРИСНИЦИМА'!$I$6:$I$13997)</f>
        <v>0</v>
      </c>
      <c r="G407" s="722">
        <f t="shared" si="13"/>
        <v>0</v>
      </c>
      <c r="H407" s="725"/>
    </row>
    <row r="408" spans="1:8" hidden="1">
      <c r="A408" s="696"/>
      <c r="B408" s="696" t="s">
        <v>4835</v>
      </c>
      <c r="C408" s="610" t="str">
        <f>IFERROR(VLOOKUP(B408,'ПО КОРИСНИЦИМА'!$C$6:$J$13997,5,FALSE),"")</f>
        <v/>
      </c>
      <c r="D408" s="726">
        <f>SUMIF('ПО КОРИСНИЦИМА'!$G$6:$G$13997,"Свега за пројекат 1801-П28:",'ПО КОРИСНИЦИМА'!$H$6:$H$13997)</f>
        <v>0</v>
      </c>
      <c r="E408" s="723">
        <f t="shared" si="24"/>
        <v>0</v>
      </c>
      <c r="F408" s="727">
        <f>SUMIF('ПО КОРИСНИЦИМА'!$G$6:$G$13997,"Свега за пројекат 1801-П28:",'ПО КОРИСНИЦИМА'!$I$6:$I$13997)</f>
        <v>0</v>
      </c>
      <c r="G408" s="722">
        <f t="shared" si="13"/>
        <v>0</v>
      </c>
      <c r="H408" s="725"/>
    </row>
    <row r="409" spans="1:8" hidden="1">
      <c r="A409" s="696"/>
      <c r="B409" s="696" t="s">
        <v>4836</v>
      </c>
      <c r="C409" s="610" t="str">
        <f>IFERROR(VLOOKUP(B409,'ПО КОРИСНИЦИМА'!$C$6:$J$13997,5,FALSE),"")</f>
        <v/>
      </c>
      <c r="D409" s="726">
        <f>SUMIF('ПО КОРИСНИЦИМА'!$G$6:$G$13997,"Свега за пројекат 1801-П29:",'ПО КОРИСНИЦИМА'!$H$6:$H$13997)</f>
        <v>0</v>
      </c>
      <c r="E409" s="723">
        <f t="shared" si="24"/>
        <v>0</v>
      </c>
      <c r="F409" s="727">
        <f>SUMIF('ПО КОРИСНИЦИМА'!$G$6:$G$13997,"Свега за пројекат 1801-П29:",'ПО КОРИСНИЦИМА'!$I$6:$I$13997)</f>
        <v>0</v>
      </c>
      <c r="G409" s="722">
        <f t="shared" si="13"/>
        <v>0</v>
      </c>
      <c r="H409" s="725"/>
    </row>
    <row r="410" spans="1:8" hidden="1">
      <c r="A410" s="697"/>
      <c r="B410" s="696" t="s">
        <v>4837</v>
      </c>
      <c r="C410" s="610" t="str">
        <f>IFERROR(VLOOKUP(B410,'ПО КОРИСНИЦИМА'!$C$6:$J$13997,5,FALSE),"")</f>
        <v/>
      </c>
      <c r="D410" s="726">
        <f>SUMIF('ПО КОРИСНИЦИМА'!$G$6:$G$13997,"Свега за пројекат 1801-П30:",'ПО КОРИСНИЦИМА'!$H$6:$H$13997)</f>
        <v>0</v>
      </c>
      <c r="E410" s="723">
        <f t="shared" si="24"/>
        <v>0</v>
      </c>
      <c r="F410" s="727">
        <f>SUMIF('ПО КОРИСНИЦИМА'!$G$6:$G$13997,"Свега за пројекат 1801-П30:",'ПО КОРИСНИЦИМА'!$I$6:$I$13997)</f>
        <v>0</v>
      </c>
      <c r="G410" s="722">
        <f t="shared" si="13"/>
        <v>0</v>
      </c>
      <c r="H410" s="734"/>
    </row>
    <row r="411" spans="1:8" s="694" customFormat="1">
      <c r="A411" s="687" t="s">
        <v>3594</v>
      </c>
      <c r="B411" s="688"/>
      <c r="C411" s="608" t="s">
        <v>3677</v>
      </c>
      <c r="D411" s="714">
        <f>SUM(D412:D463)</f>
        <v>14189900</v>
      </c>
      <c r="E411" s="715">
        <f>IFERROR(D411/$D$599,"-")</f>
        <v>2.9912271474643218E-2</v>
      </c>
      <c r="F411" s="716">
        <f>SUM(F412:F463)</f>
        <v>719760</v>
      </c>
      <c r="G411" s="714">
        <f t="shared" si="13"/>
        <v>14909660</v>
      </c>
      <c r="H411" s="735"/>
    </row>
    <row r="412" spans="1:8">
      <c r="A412" s="690"/>
      <c r="B412" s="583" t="s">
        <v>4129</v>
      </c>
      <c r="C412" s="611" t="s">
        <v>4127</v>
      </c>
      <c r="D412" s="718">
        <f>SUMIF('ПО КОРИСНИЦИМА'!$G$6:$G$13997,"Свега за програмску активност 1201-0001:",'ПО КОРИСНИЦИМА'!$H$6:$H$13997)</f>
        <v>14189900</v>
      </c>
      <c r="E412" s="719">
        <f>IFERROR(D412/$D$599,"-")</f>
        <v>2.9912271474643218E-2</v>
      </c>
      <c r="F412" s="720">
        <f>SUMIF('ПО КОРИСНИЦИМА'!$G$6:$G$13997,"Свега за програмску активност 1201-0001:",'ПО КОРИСНИЦИМА'!$I$6:$I$13997)</f>
        <v>719760</v>
      </c>
      <c r="G412" s="718">
        <f t="shared" si="13"/>
        <v>14909660</v>
      </c>
      <c r="H412" s="721"/>
    </row>
    <row r="413" spans="1:8" hidden="1">
      <c r="A413" s="692"/>
      <c r="B413" s="89" t="s">
        <v>4130</v>
      </c>
      <c r="C413" s="617" t="s">
        <v>4128</v>
      </c>
      <c r="D413" s="722">
        <f>SUMIF('ПО КОРИСНИЦИМА'!$G$6:$G$13997,"Свега за програмску активност 1201-0002:",'ПО КОРИСНИЦИМА'!$H$6:$H$13997)</f>
        <v>0</v>
      </c>
      <c r="E413" s="719">
        <f t="shared" ref="E413:E463" si="25">IFERROR(D413/$D$599,"-")</f>
        <v>0</v>
      </c>
      <c r="F413" s="724">
        <f>SUMIF('ПО КОРИСНИЦИМА'!$G$6:$G$13997,"Свега за програмску активност 1201-0002:",'ПО КОРИСНИЦИМА'!$I$6:$I$13997)</f>
        <v>0</v>
      </c>
      <c r="G413" s="722">
        <f t="shared" si="13"/>
        <v>0</v>
      </c>
      <c r="H413" s="725"/>
    </row>
    <row r="414" spans="1:8" hidden="1">
      <c r="A414" s="696"/>
      <c r="B414" s="696" t="s">
        <v>4838</v>
      </c>
      <c r="C414" s="610" t="str">
        <f>IFERROR(VLOOKUP(B414,'ПО КОРИСНИЦИМА'!$C$6:$J$13997,5,FALSE),"")</f>
        <v>Публикација књиге ....</v>
      </c>
      <c r="D414" s="726">
        <f>SUMIF('ПО КОРИСНИЦИМА'!$G$6:$G$13997,"Свега за пројекат 1201-П1:",'ПО КОРИСНИЦИМА'!$H$6:$H$13997)</f>
        <v>0</v>
      </c>
      <c r="E414" s="723">
        <f>IFERROR(D414/$D$599,"-")</f>
        <v>0</v>
      </c>
      <c r="F414" s="727">
        <f>SUMIF('ПО КОРИСНИЦИМА'!$G$6:$G$13997,"Свега за пројекат 1201-П1:",'ПО КОРИСНИЦИМА'!$I$6:$I$13997)</f>
        <v>0</v>
      </c>
      <c r="G414" s="722">
        <f t="shared" si="13"/>
        <v>0</v>
      </c>
      <c r="H414" s="725"/>
    </row>
    <row r="415" spans="1:8" hidden="1">
      <c r="A415" s="696"/>
      <c r="B415" s="696" t="s">
        <v>4839</v>
      </c>
      <c r="C415" s="610" t="str">
        <f>IFERROR(VLOOKUP(B415,'ПО КОРИСНИЦИМА'!$C$6:$J$13997,5,FALSE),"")</f>
        <v>Изградња и опремање зграде Позоришта</v>
      </c>
      <c r="D415" s="726">
        <f>SUMIF('ПО КОРИСНИЦИМА'!$G$6:$G$13997,"Свега за пројекат 1201-П2:",'ПО КОРИСНИЦИМА'!$H$6:$H$13997)</f>
        <v>0</v>
      </c>
      <c r="E415" s="719">
        <f t="shared" si="25"/>
        <v>0</v>
      </c>
      <c r="F415" s="727">
        <f>SUMIF('ПО КОРИСНИЦИМА'!$G$6:$G$13997,"Свега за пројекат 1201-П2:",'ПО КОРИСНИЦИМА'!$I$6:$I$13997)</f>
        <v>0</v>
      </c>
      <c r="G415" s="722">
        <f t="shared" si="13"/>
        <v>0</v>
      </c>
      <c r="H415" s="728"/>
    </row>
    <row r="416" spans="1:8" hidden="1">
      <c r="A416" s="696"/>
      <c r="B416" s="696" t="s">
        <v>4840</v>
      </c>
      <c r="C416" s="610" t="str">
        <f>IFERROR(VLOOKUP(B416,'ПО КОРИСНИЦИМА'!$C$6:$J$13997,5,FALSE),"")</f>
        <v xml:space="preserve">Пројекат: </v>
      </c>
      <c r="D416" s="726">
        <f>SUMIF('ПО КОРИСНИЦИМА'!$G$6:$G$13997,"Свега за пројекат 1201-П3:",'ПО КОРИСНИЦИМА'!$H$6:$H$13997)</f>
        <v>0</v>
      </c>
      <c r="E416" s="719">
        <f t="shared" si="25"/>
        <v>0</v>
      </c>
      <c r="F416" s="727">
        <f>SUMIF('ПО КОРИСНИЦИМА'!$G$6:$G$13997,"Свега за пројекат 1201-П3:",'ПО КОРИСНИЦИМА'!$I$6:$I$13997)</f>
        <v>0</v>
      </c>
      <c r="G416" s="722">
        <f t="shared" si="13"/>
        <v>0</v>
      </c>
      <c r="H416" s="728"/>
    </row>
    <row r="417" spans="1:8" hidden="1">
      <c r="A417" s="696"/>
      <c r="B417" s="696" t="s">
        <v>4841</v>
      </c>
      <c r="C417" s="610" t="str">
        <f>IFERROR(VLOOKUP(B417,'ПО КОРИСНИЦИМА'!$C$6:$J$13997,5,FALSE),"")</f>
        <v xml:space="preserve">Пројекат: </v>
      </c>
      <c r="D417" s="726">
        <f>SUMIF('ПО КОРИСНИЦИМА'!$G$6:$G$13997,"Свега за пројекат 1201-П4:",'ПО КОРИСНИЦИМА'!$H$6:$H$13997)</f>
        <v>0</v>
      </c>
      <c r="E417" s="719">
        <f t="shared" si="25"/>
        <v>0</v>
      </c>
      <c r="F417" s="727">
        <f>SUMIF('ПО КОРИСНИЦИМА'!$G$6:$G$13997,"Свега за пројекат 1201-П4:",'ПО КОРИСНИЦИМА'!$I$6:$I$13997)</f>
        <v>0</v>
      </c>
      <c r="G417" s="722">
        <f t="shared" si="13"/>
        <v>0</v>
      </c>
      <c r="H417" s="728"/>
    </row>
    <row r="418" spans="1:8" hidden="1">
      <c r="A418" s="696"/>
      <c r="B418" s="696" t="s">
        <v>4842</v>
      </c>
      <c r="C418" s="610" t="str">
        <f>IFERROR(VLOOKUP(B418,'ПО КОРИСНИЦИМА'!$C$6:$J$13997,5,FALSE),"")</f>
        <v xml:space="preserve">Пројекат: </v>
      </c>
      <c r="D418" s="726">
        <f>SUMIF('ПО КОРИСНИЦИМА'!$G$6:$G$13997,"Свега за пројекат 1201-П5:",'ПО КОРИСНИЦИМА'!$H$6:$H$13997)</f>
        <v>0</v>
      </c>
      <c r="E418" s="719">
        <f t="shared" si="25"/>
        <v>0</v>
      </c>
      <c r="F418" s="727">
        <f>SUMIF('ПО КОРИСНИЦИМА'!$G$6:$G$13997,"Свега за пројекат 1201-П5:",'ПО КОРИСНИЦИМА'!$I$6:$I$13997)</f>
        <v>0</v>
      </c>
      <c r="G418" s="722">
        <f t="shared" si="13"/>
        <v>0</v>
      </c>
      <c r="H418" s="728"/>
    </row>
    <row r="419" spans="1:8" hidden="1">
      <c r="A419" s="696"/>
      <c r="B419" s="696" t="s">
        <v>4843</v>
      </c>
      <c r="C419" s="610" t="str">
        <f>IFERROR(VLOOKUP(B419,'ПО КОРИСНИЦИМА'!$C$6:$J$13997,5,FALSE),"")</f>
        <v xml:space="preserve">Пројекат: </v>
      </c>
      <c r="D419" s="726">
        <f>SUMIF('ПО КОРИСНИЦИМА'!$G$6:$G$13997,"Свега за пројекат 1201-П6:",'ПО КОРИСНИЦИМА'!$H$6:$H$13997)</f>
        <v>0</v>
      </c>
      <c r="E419" s="719">
        <f t="shared" si="25"/>
        <v>0</v>
      </c>
      <c r="F419" s="727">
        <f>SUMIF('ПО КОРИСНИЦИМА'!$G$6:$G$13997,"Свега за пројекат 1201-П6:",'ПО КОРИСНИЦИМА'!$I$6:$I$13997)</f>
        <v>0</v>
      </c>
      <c r="G419" s="722">
        <f t="shared" si="13"/>
        <v>0</v>
      </c>
      <c r="H419" s="728"/>
    </row>
    <row r="420" spans="1:8" hidden="1">
      <c r="A420" s="696"/>
      <c r="B420" s="696" t="s">
        <v>4844</v>
      </c>
      <c r="C420" s="610" t="str">
        <f>IFERROR(VLOOKUP(B420,'ПО КОРИСНИЦИМА'!$C$6:$J$13997,5,FALSE),"")</f>
        <v xml:space="preserve">Пројекат: </v>
      </c>
      <c r="D420" s="726">
        <f>SUMIF('ПО КОРИСНИЦИМА'!$G$6:$G$13997,"Свега за пројекат 1201-П7:",'ПО КОРИСНИЦИМА'!$H$6:$H$13997)</f>
        <v>0</v>
      </c>
      <c r="E420" s="719">
        <f t="shared" si="25"/>
        <v>0</v>
      </c>
      <c r="F420" s="727">
        <f>SUMIF('ПО КОРИСНИЦИМА'!$G$6:$G$13997,"Свега за пројекат 1201-П7:",'ПО КОРИСНИЦИМА'!$I$6:$I$13997)</f>
        <v>0</v>
      </c>
      <c r="G420" s="722">
        <f t="shared" si="13"/>
        <v>0</v>
      </c>
      <c r="H420" s="728"/>
    </row>
    <row r="421" spans="1:8" hidden="1">
      <c r="A421" s="696"/>
      <c r="B421" s="696" t="s">
        <v>4845</v>
      </c>
      <c r="C421" s="610" t="str">
        <f>IFERROR(VLOOKUP(B421,'ПО КОРИСНИЦИМА'!$C$6:$J$13997,5,FALSE),"")</f>
        <v xml:space="preserve">Пројекат: </v>
      </c>
      <c r="D421" s="726">
        <f>SUMIF('ПО КОРИСНИЦИМА'!$G$6:$G$13997,"Свега за пројекат 1201-П8:",'ПО КОРИСНИЦИМА'!$H$6:$H$13997)</f>
        <v>0</v>
      </c>
      <c r="E421" s="719">
        <f t="shared" si="25"/>
        <v>0</v>
      </c>
      <c r="F421" s="727">
        <f>SUMIF('ПО КОРИСНИЦИМА'!$G$6:$G$13997,"Свега за пројекат 1201-П8:",'ПО КОРИСНИЦИМА'!$I$6:$I$13997)</f>
        <v>0</v>
      </c>
      <c r="G421" s="722">
        <f t="shared" si="13"/>
        <v>0</v>
      </c>
      <c r="H421" s="728"/>
    </row>
    <row r="422" spans="1:8" hidden="1">
      <c r="A422" s="696"/>
      <c r="B422" s="696" t="s">
        <v>4846</v>
      </c>
      <c r="C422" s="610" t="str">
        <f>IFERROR(VLOOKUP(B422,'ПО КОРИСНИЦИМА'!$C$6:$J$13997,5,FALSE),"")</f>
        <v xml:space="preserve">Пројекат: </v>
      </c>
      <c r="D422" s="726">
        <f>SUMIF('ПО КОРИСНИЦИМА'!$G$6:$G$13997,"Свега за пројекат 1201-П9:",'ПО КОРИСНИЦИМА'!$H$6:$H$13997)</f>
        <v>0</v>
      </c>
      <c r="E422" s="719">
        <f t="shared" si="25"/>
        <v>0</v>
      </c>
      <c r="F422" s="727">
        <f>SUMIF('ПО КОРИСНИЦИМА'!$G$6:$G$13997,"Свега за пројекат 1201-П9:",'ПО КОРИСНИЦИМА'!$I$6:$I$13997)</f>
        <v>0</v>
      </c>
      <c r="G422" s="722">
        <f t="shared" si="13"/>
        <v>0</v>
      </c>
      <c r="H422" s="728"/>
    </row>
    <row r="423" spans="1:8" hidden="1">
      <c r="A423" s="696"/>
      <c r="B423" s="696" t="s">
        <v>4847</v>
      </c>
      <c r="C423" s="610" t="str">
        <f>IFERROR(VLOOKUP(B423,'ПО КОРИСНИЦИМА'!$C$6:$J$13997,5,FALSE),"")</f>
        <v xml:space="preserve">Пројекат: </v>
      </c>
      <c r="D423" s="726">
        <f>SUMIF('ПО КОРИСНИЦИМА'!$G$6:$G$13997,"Свега за пројекат 1201-П10:",'ПО КОРИСНИЦИМА'!$H$6:$H$13997)</f>
        <v>0</v>
      </c>
      <c r="E423" s="719">
        <f t="shared" si="25"/>
        <v>0</v>
      </c>
      <c r="F423" s="727">
        <f>SUMIF('ПО КОРИСНИЦИМА'!$G$6:$G$13997,"Свега за пројекат 1201-П10:",'ПО КОРИСНИЦИМА'!$I$6:$I$13997)</f>
        <v>0</v>
      </c>
      <c r="G423" s="722">
        <f t="shared" si="13"/>
        <v>0</v>
      </c>
      <c r="H423" s="728"/>
    </row>
    <row r="424" spans="1:8" hidden="1">
      <c r="A424" s="696"/>
      <c r="B424" s="696" t="s">
        <v>4848</v>
      </c>
      <c r="C424" s="610" t="str">
        <f>IFERROR(VLOOKUP(B424,'ПО КОРИСНИЦИМА'!$C$6:$J$13997,5,FALSE),"")</f>
        <v xml:space="preserve">Пројекат: </v>
      </c>
      <c r="D424" s="726">
        <f>SUMIF('ПО КОРИСНИЦИМА'!$G$6:$G$13997,"Свега за пројекат 1201-П11:",'ПО КОРИСНИЦИМА'!$H$6:$H$13997)</f>
        <v>0</v>
      </c>
      <c r="E424" s="719">
        <f t="shared" si="25"/>
        <v>0</v>
      </c>
      <c r="F424" s="727">
        <f>SUMIF('ПО КОРИСНИЦИМА'!$G$6:$G$13997,"Свега за пројекат 1201-П11:",'ПО КОРИСНИЦИМА'!$I$6:$I$13997)</f>
        <v>0</v>
      </c>
      <c r="G424" s="722">
        <f t="shared" si="13"/>
        <v>0</v>
      </c>
      <c r="H424" s="728"/>
    </row>
    <row r="425" spans="1:8" hidden="1">
      <c r="A425" s="696"/>
      <c r="B425" s="696" t="s">
        <v>4849</v>
      </c>
      <c r="C425" s="610" t="str">
        <f>IFERROR(VLOOKUP(B425,'ПО КОРИСНИЦИМА'!$C$6:$J$13997,5,FALSE),"")</f>
        <v xml:space="preserve">Пројекат: </v>
      </c>
      <c r="D425" s="726">
        <f>SUMIF('ПО КОРИСНИЦИМА'!$G$6:$G$13997,"Свега за пројекат 1201-П12:",'ПО КОРИСНИЦИМА'!$H$6:$H$13997)</f>
        <v>0</v>
      </c>
      <c r="E425" s="719">
        <f t="shared" si="25"/>
        <v>0</v>
      </c>
      <c r="F425" s="727">
        <f>SUMIF('ПО КОРИСНИЦИМА'!$G$6:$G$13997,"Свега за пројекат 1201-П12:",'ПО КОРИСНИЦИМА'!$I$6:$I$13997)</f>
        <v>0</v>
      </c>
      <c r="G425" s="722">
        <f t="shared" si="13"/>
        <v>0</v>
      </c>
      <c r="H425" s="728"/>
    </row>
    <row r="426" spans="1:8" hidden="1">
      <c r="A426" s="696"/>
      <c r="B426" s="696" t="s">
        <v>4850</v>
      </c>
      <c r="C426" s="610" t="str">
        <f>IFERROR(VLOOKUP(B426,'ПО КОРИСНИЦИМА'!$C$6:$J$13997,5,FALSE),"")</f>
        <v/>
      </c>
      <c r="D426" s="726">
        <f>SUMIF('ПО КОРИСНИЦИМА'!$G$6:$G$13997,"Свега за пројекат 1201-П13:",'ПО КОРИСНИЦИМА'!$H$6:$H$13997)</f>
        <v>0</v>
      </c>
      <c r="E426" s="719">
        <f t="shared" si="25"/>
        <v>0</v>
      </c>
      <c r="F426" s="727">
        <f>SUMIF('ПО КОРИСНИЦИМА'!$G$6:$G$13997,"Свега за пројекат 1201-П13:",'ПО КОРИСНИЦИМА'!$I$6:$I$13997)</f>
        <v>0</v>
      </c>
      <c r="G426" s="722">
        <f t="shared" si="13"/>
        <v>0</v>
      </c>
      <c r="H426" s="728"/>
    </row>
    <row r="427" spans="1:8" hidden="1">
      <c r="A427" s="696"/>
      <c r="B427" s="696" t="s">
        <v>4851</v>
      </c>
      <c r="C427" s="610" t="str">
        <f>IFERROR(VLOOKUP(B427,'ПО КОРИСНИЦИМА'!$C$6:$J$13997,5,FALSE),"")</f>
        <v/>
      </c>
      <c r="D427" s="726">
        <f>SUMIF('ПО КОРИСНИЦИМА'!$G$6:$G$13997,"Свега за пројекат 1201-П14:",'ПО КОРИСНИЦИМА'!$H$6:$H$13997)</f>
        <v>0</v>
      </c>
      <c r="E427" s="719">
        <f t="shared" si="25"/>
        <v>0</v>
      </c>
      <c r="F427" s="727">
        <f>SUMIF('ПО КОРИСНИЦИМА'!$G$6:$G$13997,"Свега за пројекат 1201-П14:",'ПО КОРИСНИЦИМА'!$I$6:$I$13997)</f>
        <v>0</v>
      </c>
      <c r="G427" s="722">
        <f t="shared" si="13"/>
        <v>0</v>
      </c>
      <c r="H427" s="728"/>
    </row>
    <row r="428" spans="1:8" hidden="1">
      <c r="A428" s="696"/>
      <c r="B428" s="696" t="s">
        <v>4852</v>
      </c>
      <c r="C428" s="610" t="str">
        <f>IFERROR(VLOOKUP(B428,'ПО КОРИСНИЦИМА'!$C$6:$J$13997,5,FALSE),"")</f>
        <v/>
      </c>
      <c r="D428" s="726">
        <f>SUMIF('ПО КОРИСНИЦИМА'!$G$6:$G$13997,"Свега за пројекат 1201-П15:",'ПО КОРИСНИЦИМА'!$H$6:$H$13997)</f>
        <v>0</v>
      </c>
      <c r="E428" s="719">
        <f t="shared" si="25"/>
        <v>0</v>
      </c>
      <c r="F428" s="727">
        <f>SUMIF('ПО КОРИСНИЦИМА'!$G$6:$G$13997,"Свега за пројекат 1201-П15:",'ПО КОРИСНИЦИМА'!$I$6:$I$13997)</f>
        <v>0</v>
      </c>
      <c r="G428" s="722">
        <f t="shared" si="13"/>
        <v>0</v>
      </c>
      <c r="H428" s="728"/>
    </row>
    <row r="429" spans="1:8" hidden="1">
      <c r="A429" s="696"/>
      <c r="B429" s="696" t="s">
        <v>4853</v>
      </c>
      <c r="C429" s="610" t="str">
        <f>IFERROR(VLOOKUP(B429,'ПО КОРИСНИЦИМА'!$C$6:$J$13997,5,FALSE),"")</f>
        <v/>
      </c>
      <c r="D429" s="726">
        <f>SUMIF('ПО КОРИСНИЦИМА'!$G$6:$G$13997,"Свега за пројекат 1201-П16:",'ПО КОРИСНИЦИМА'!$H$6:$H$13997)</f>
        <v>0</v>
      </c>
      <c r="E429" s="719">
        <f t="shared" si="25"/>
        <v>0</v>
      </c>
      <c r="F429" s="727">
        <f>SUMIF('ПО КОРИСНИЦИМА'!$G$6:$G$13997,"Свега за пројекат 1201-П16:",'ПО КОРИСНИЦИМА'!$I$6:$I$13997)</f>
        <v>0</v>
      </c>
      <c r="G429" s="722">
        <f t="shared" si="13"/>
        <v>0</v>
      </c>
      <c r="H429" s="728"/>
    </row>
    <row r="430" spans="1:8" hidden="1">
      <c r="A430" s="696"/>
      <c r="B430" s="696" t="s">
        <v>4854</v>
      </c>
      <c r="C430" s="610" t="str">
        <f>IFERROR(VLOOKUP(B430,'ПО КОРИСНИЦИМА'!$C$6:$J$13997,5,FALSE),"")</f>
        <v/>
      </c>
      <c r="D430" s="726">
        <f>SUMIF('ПО КОРИСНИЦИМА'!$G$6:$G$13997,"Свега за пројекат 1201-П17:",'ПО КОРИСНИЦИМА'!$H$6:$H$13997)</f>
        <v>0</v>
      </c>
      <c r="E430" s="719">
        <f t="shared" si="25"/>
        <v>0</v>
      </c>
      <c r="F430" s="727">
        <f>SUMIF('ПО КОРИСНИЦИМА'!$G$6:$G$13997,"Свега за пројекат 1201-П17:",'ПО КОРИСНИЦИМА'!$I$6:$I$13997)</f>
        <v>0</v>
      </c>
      <c r="G430" s="722">
        <f t="shared" si="13"/>
        <v>0</v>
      </c>
      <c r="H430" s="728"/>
    </row>
    <row r="431" spans="1:8" hidden="1">
      <c r="A431" s="696"/>
      <c r="B431" s="696" t="s">
        <v>4855</v>
      </c>
      <c r="C431" s="610" t="str">
        <f>IFERROR(VLOOKUP(B431,'ПО КОРИСНИЦИМА'!$C$6:$J$13997,5,FALSE),"")</f>
        <v/>
      </c>
      <c r="D431" s="726">
        <f>SUMIF('ПО КОРИСНИЦИМА'!$G$6:$G$13997,"Свега за пројекат 1201-П18:",'ПО КОРИСНИЦИМА'!$H$6:$H$13997)</f>
        <v>0</v>
      </c>
      <c r="E431" s="719">
        <f t="shared" si="25"/>
        <v>0</v>
      </c>
      <c r="F431" s="727">
        <f>SUMIF('ПО КОРИСНИЦИМА'!$G$6:$G$13997,"Свега за пројекат 1201-П18:",'ПО КОРИСНИЦИМА'!$I$6:$I$13997)</f>
        <v>0</v>
      </c>
      <c r="G431" s="722">
        <f t="shared" si="13"/>
        <v>0</v>
      </c>
      <c r="H431" s="728"/>
    </row>
    <row r="432" spans="1:8" hidden="1">
      <c r="A432" s="696"/>
      <c r="B432" s="696" t="s">
        <v>4856</v>
      </c>
      <c r="C432" s="610" t="str">
        <f>IFERROR(VLOOKUP(B432,'ПО КОРИСНИЦИМА'!$C$6:$J$13997,5,FALSE),"")</f>
        <v/>
      </c>
      <c r="D432" s="726">
        <f>SUMIF('ПО КОРИСНИЦИМА'!$G$6:$G$13997,"Свега за пројекат 1201-П19:",'ПО КОРИСНИЦИМА'!$H$6:$H$13997)</f>
        <v>0</v>
      </c>
      <c r="E432" s="719">
        <f t="shared" si="25"/>
        <v>0</v>
      </c>
      <c r="F432" s="727">
        <f>SUMIF('ПО КОРИСНИЦИМА'!$G$6:$G$13997,"Свега за пројекат 1201-П19:",'ПО КОРИСНИЦИМА'!$I$6:$I$13997)</f>
        <v>0</v>
      </c>
      <c r="G432" s="722">
        <f t="shared" si="13"/>
        <v>0</v>
      </c>
      <c r="H432" s="728"/>
    </row>
    <row r="433" spans="1:8" hidden="1">
      <c r="A433" s="696"/>
      <c r="B433" s="696" t="s">
        <v>4857</v>
      </c>
      <c r="C433" s="610" t="str">
        <f>IFERROR(VLOOKUP(B433,'ПО КОРИСНИЦИМА'!$C$6:$J$13997,5,FALSE),"")</f>
        <v/>
      </c>
      <c r="D433" s="726">
        <f>SUMIF('ПО КОРИСНИЦИМА'!$G$6:$G$13997,"Свега за пројекат 1201-П20:",'ПО КОРИСНИЦИМА'!$H$6:$H$13997)</f>
        <v>0</v>
      </c>
      <c r="E433" s="719">
        <f t="shared" si="25"/>
        <v>0</v>
      </c>
      <c r="F433" s="727">
        <f>SUMIF('ПО КОРИСНИЦИМА'!$G$6:$G$13997,"Свега за пројекат 1201-П20:",'ПО КОРИСНИЦИМА'!$I$6:$I$13997)</f>
        <v>0</v>
      </c>
      <c r="G433" s="722">
        <f t="shared" si="13"/>
        <v>0</v>
      </c>
      <c r="H433" s="728"/>
    </row>
    <row r="434" spans="1:8" hidden="1">
      <c r="A434" s="696"/>
      <c r="B434" s="696" t="s">
        <v>4858</v>
      </c>
      <c r="C434" s="610" t="str">
        <f>IFERROR(VLOOKUP(B434,'ПО КОРИСНИЦИМА'!$C$6:$J$13997,5,FALSE),"")</f>
        <v/>
      </c>
      <c r="D434" s="726">
        <f>SUMIF('ПО КОРИСНИЦИМА'!$G$6:$G$13997,"Свега за пројекат 1201-П21:",'ПО КОРИСНИЦИМА'!$H$6:$H$13997)</f>
        <v>0</v>
      </c>
      <c r="E434" s="719">
        <f t="shared" si="25"/>
        <v>0</v>
      </c>
      <c r="F434" s="727">
        <f>SUMIF('ПО КОРИСНИЦИМА'!$G$6:$G$13997,"Свега за пројекат 1201-П21:",'ПО КОРИСНИЦИМА'!$I$6:$I$13997)</f>
        <v>0</v>
      </c>
      <c r="G434" s="722">
        <f t="shared" si="13"/>
        <v>0</v>
      </c>
      <c r="H434" s="728"/>
    </row>
    <row r="435" spans="1:8" hidden="1">
      <c r="A435" s="696"/>
      <c r="B435" s="696" t="s">
        <v>4859</v>
      </c>
      <c r="C435" s="610" t="str">
        <f>IFERROR(VLOOKUP(B435,'ПО КОРИСНИЦИМА'!$C$6:$J$13997,5,FALSE),"")</f>
        <v/>
      </c>
      <c r="D435" s="726">
        <f>SUMIF('ПО КОРИСНИЦИМА'!$G$6:$G$13997,"Свега за пројекат 1201-П22:",'ПО КОРИСНИЦИМА'!$H$6:$H$13997)</f>
        <v>0</v>
      </c>
      <c r="E435" s="719">
        <f t="shared" si="25"/>
        <v>0</v>
      </c>
      <c r="F435" s="727">
        <f>SUMIF('ПО КОРИСНИЦИМА'!$G$6:$G$13997,"Свега за пројекат 1201-П22:",'ПО КОРИСНИЦИМА'!$I$6:$I$13997)</f>
        <v>0</v>
      </c>
      <c r="G435" s="722">
        <f t="shared" si="13"/>
        <v>0</v>
      </c>
      <c r="H435" s="728"/>
    </row>
    <row r="436" spans="1:8" hidden="1">
      <c r="A436" s="696"/>
      <c r="B436" s="696" t="s">
        <v>4860</v>
      </c>
      <c r="C436" s="610" t="str">
        <f>IFERROR(VLOOKUP(B436,'ПО КОРИСНИЦИМА'!$C$6:$J$13997,5,FALSE),"")</f>
        <v/>
      </c>
      <c r="D436" s="726">
        <f>SUMIF('ПО КОРИСНИЦИМА'!$G$6:$G$13997,"Свега за пројекат 1201-П23:",'ПО КОРИСНИЦИМА'!$H$6:$H$13997)</f>
        <v>0</v>
      </c>
      <c r="E436" s="719">
        <f t="shared" si="25"/>
        <v>0</v>
      </c>
      <c r="F436" s="727">
        <f>SUMIF('ПО КОРИСНИЦИМА'!$G$6:$G$13997,"Свега за пројекат 1201-П23:",'ПО КОРИСНИЦИМА'!$I$6:$I$13997)</f>
        <v>0</v>
      </c>
      <c r="G436" s="722">
        <f t="shared" si="13"/>
        <v>0</v>
      </c>
      <c r="H436" s="728"/>
    </row>
    <row r="437" spans="1:8" hidden="1">
      <c r="A437" s="696"/>
      <c r="B437" s="696" t="s">
        <v>4861</v>
      </c>
      <c r="C437" s="610" t="str">
        <f>IFERROR(VLOOKUP(B437,'ПО КОРИСНИЦИМА'!$C$6:$J$13997,5,FALSE),"")</f>
        <v/>
      </c>
      <c r="D437" s="726">
        <f>SUMIF('ПО КОРИСНИЦИМА'!$G$6:$G$13997,"Свега за пројекат 1201-П24:",'ПО КОРИСНИЦИМА'!$H$6:$H$13997)</f>
        <v>0</v>
      </c>
      <c r="E437" s="719">
        <f t="shared" si="25"/>
        <v>0</v>
      </c>
      <c r="F437" s="727">
        <f>SUMIF('ПО КОРИСНИЦИМА'!$G$6:$G$13997,"Свега за пројекат 1201-П24:",'ПО КОРИСНИЦИМА'!$I$6:$I$13997)</f>
        <v>0</v>
      </c>
      <c r="G437" s="722">
        <f t="shared" si="13"/>
        <v>0</v>
      </c>
      <c r="H437" s="728"/>
    </row>
    <row r="438" spans="1:8" hidden="1">
      <c r="A438" s="696"/>
      <c r="B438" s="696" t="s">
        <v>4862</v>
      </c>
      <c r="C438" s="610" t="str">
        <f>IFERROR(VLOOKUP(B438,'ПО КОРИСНИЦИМА'!$C$6:$J$13997,5,FALSE),"")</f>
        <v/>
      </c>
      <c r="D438" s="726">
        <f>SUMIF('ПО КОРИСНИЦИМА'!$G$6:$G$13997,"Свега за пројекат 1201-П25:",'ПО КОРИСНИЦИМА'!$H$6:$H$13997)</f>
        <v>0</v>
      </c>
      <c r="E438" s="719">
        <f t="shared" si="25"/>
        <v>0</v>
      </c>
      <c r="F438" s="727">
        <f>SUMIF('ПО КОРИСНИЦИМА'!$G$6:$G$13997,"Свега за пројекат 1201-П25:",'ПО КОРИСНИЦИМА'!$I$6:$I$13997)</f>
        <v>0</v>
      </c>
      <c r="G438" s="722">
        <f t="shared" si="13"/>
        <v>0</v>
      </c>
      <c r="H438" s="728"/>
    </row>
    <row r="439" spans="1:8" hidden="1">
      <c r="A439" s="696"/>
      <c r="B439" s="696" t="s">
        <v>4863</v>
      </c>
      <c r="C439" s="610" t="str">
        <f>IFERROR(VLOOKUP(B439,'ПО КОРИСНИЦИМА'!$C$6:$J$13997,5,FALSE),"")</f>
        <v/>
      </c>
      <c r="D439" s="726">
        <f>SUMIF('ПО КОРИСНИЦИМА'!$G$6:$G$13997,"Свега за пројекат 1201-П26:",'ПО КОРИСНИЦИМА'!$H$6:$H$13997)</f>
        <v>0</v>
      </c>
      <c r="E439" s="719">
        <f t="shared" si="25"/>
        <v>0</v>
      </c>
      <c r="F439" s="727">
        <f>SUMIF('ПО КОРИСНИЦИМА'!$G$6:$G$13997,"Свега за пројекат 1201-П26:",'ПО КОРИСНИЦИМА'!$I$6:$I$13997)</f>
        <v>0</v>
      </c>
      <c r="G439" s="722">
        <f t="shared" si="13"/>
        <v>0</v>
      </c>
      <c r="H439" s="728"/>
    </row>
    <row r="440" spans="1:8" hidden="1">
      <c r="A440" s="696"/>
      <c r="B440" s="696" t="s">
        <v>4864</v>
      </c>
      <c r="C440" s="610" t="str">
        <f>IFERROR(VLOOKUP(B440,'ПО КОРИСНИЦИМА'!$C$6:$J$13997,5,FALSE),"")</f>
        <v/>
      </c>
      <c r="D440" s="726">
        <f>SUMIF('ПО КОРИСНИЦИМА'!$G$6:$G$13997,"Свега за пројекат 1201-П27:",'ПО КОРИСНИЦИМА'!$H$6:$H$13997)</f>
        <v>0</v>
      </c>
      <c r="E440" s="719">
        <f t="shared" si="25"/>
        <v>0</v>
      </c>
      <c r="F440" s="727">
        <f>SUMIF('ПО КОРИСНИЦИМА'!$G$6:$G$13997,"Свега за пројекат 1201-П27:",'ПО КОРИСНИЦИМА'!$I$6:$I$13997)</f>
        <v>0</v>
      </c>
      <c r="G440" s="722">
        <f t="shared" si="13"/>
        <v>0</v>
      </c>
      <c r="H440" s="728"/>
    </row>
    <row r="441" spans="1:8" hidden="1">
      <c r="A441" s="696"/>
      <c r="B441" s="696" t="s">
        <v>4865</v>
      </c>
      <c r="C441" s="610" t="str">
        <f>IFERROR(VLOOKUP(B441,'ПО КОРИСНИЦИМА'!$C$6:$J$13997,5,FALSE),"")</f>
        <v/>
      </c>
      <c r="D441" s="726">
        <f>SUMIF('ПО КОРИСНИЦИМА'!$G$6:$G$13997,"Свега за пројекат 1201-П28:",'ПО КОРИСНИЦИМА'!$H$6:$H$13997)</f>
        <v>0</v>
      </c>
      <c r="E441" s="719">
        <f t="shared" si="25"/>
        <v>0</v>
      </c>
      <c r="F441" s="727">
        <f>SUMIF('ПО КОРИСНИЦИМА'!$G$6:$G$13997,"Свега за пројекат 1201-П28:",'ПО КОРИСНИЦИМА'!$I$6:$I$13997)</f>
        <v>0</v>
      </c>
      <c r="G441" s="722">
        <f t="shared" si="13"/>
        <v>0</v>
      </c>
      <c r="H441" s="728"/>
    </row>
    <row r="442" spans="1:8" hidden="1">
      <c r="A442" s="696"/>
      <c r="B442" s="696" t="s">
        <v>4866</v>
      </c>
      <c r="C442" s="610" t="str">
        <f>IFERROR(VLOOKUP(B442,'ПО КОРИСНИЦИМА'!$C$6:$J$13997,5,FALSE),"")</f>
        <v/>
      </c>
      <c r="D442" s="726">
        <f>SUMIF('ПО КОРИСНИЦИМА'!$G$6:$G$13997,"Свега за пројекат 1201-П29:",'ПО КОРИСНИЦИМА'!$H$6:$H$13997)</f>
        <v>0</v>
      </c>
      <c r="E442" s="719">
        <f t="shared" si="25"/>
        <v>0</v>
      </c>
      <c r="F442" s="727">
        <f>SUMIF('ПО КОРИСНИЦИМА'!$G$6:$G$13997,"Свега за пројекат 1201-П29:",'ПО КОРИСНИЦИМА'!$I$6:$I$13997)</f>
        <v>0</v>
      </c>
      <c r="G442" s="722">
        <f t="shared" si="13"/>
        <v>0</v>
      </c>
      <c r="H442" s="728"/>
    </row>
    <row r="443" spans="1:8" hidden="1">
      <c r="A443" s="696"/>
      <c r="B443" s="696" t="s">
        <v>4867</v>
      </c>
      <c r="C443" s="610" t="str">
        <f>IFERROR(VLOOKUP(B443,'ПО КОРИСНИЦИМА'!$C$6:$J$13997,5,FALSE),"")</f>
        <v/>
      </c>
      <c r="D443" s="726">
        <f>SUMIF('ПО КОРИСНИЦИМА'!$G$6:$G$13997,"Свега за пројекат 1201-П30:",'ПО КОРИСНИЦИМА'!$H$6:$H$13997)</f>
        <v>0</v>
      </c>
      <c r="E443" s="719">
        <f t="shared" si="25"/>
        <v>0</v>
      </c>
      <c r="F443" s="727">
        <f>SUMIF('ПО КОРИСНИЦИМА'!$G$6:$G$13997,"Свега за пројекат 1201-П30:",'ПО КОРИСНИЦИМА'!$I$6:$I$13997)</f>
        <v>0</v>
      </c>
      <c r="G443" s="722">
        <f t="shared" si="13"/>
        <v>0</v>
      </c>
      <c r="H443" s="728"/>
    </row>
    <row r="444" spans="1:8" hidden="1">
      <c r="A444" s="696"/>
      <c r="B444" s="696" t="s">
        <v>4868</v>
      </c>
      <c r="C444" s="610" t="str">
        <f>IFERROR(VLOOKUP(B444,'ПО КОРИСНИЦИМА'!$C$6:$J$13997,5,FALSE),"")</f>
        <v/>
      </c>
      <c r="D444" s="726">
        <f>SUMIF('ПО КОРИСНИЦИМА'!$G$6:$G$13997,"Свега за пројекат 1201-П31:",'ПО КОРИСНИЦИМА'!$H$6:$H$13997)</f>
        <v>0</v>
      </c>
      <c r="E444" s="719">
        <f t="shared" si="25"/>
        <v>0</v>
      </c>
      <c r="F444" s="727">
        <f>SUMIF('ПО КОРИСНИЦИМА'!$G$6:$G$13997,"Свега за пројекат 1201-П31:",'ПО КОРИСНИЦИМА'!$I$6:$I$13997)</f>
        <v>0</v>
      </c>
      <c r="G444" s="722">
        <f t="shared" si="13"/>
        <v>0</v>
      </c>
      <c r="H444" s="728"/>
    </row>
    <row r="445" spans="1:8" hidden="1">
      <c r="A445" s="696"/>
      <c r="B445" s="696" t="s">
        <v>4869</v>
      </c>
      <c r="C445" s="610" t="str">
        <f>IFERROR(VLOOKUP(B445,'ПО КОРИСНИЦИМА'!$C$6:$J$13997,5,FALSE),"")</f>
        <v/>
      </c>
      <c r="D445" s="726">
        <f>SUMIF('ПО КОРИСНИЦИМА'!$G$6:$G$13997,"Свега за пројекат 1201-П32:",'ПО КОРИСНИЦИМА'!$H$6:$H$13997)</f>
        <v>0</v>
      </c>
      <c r="E445" s="719">
        <f t="shared" si="25"/>
        <v>0</v>
      </c>
      <c r="F445" s="727">
        <f>SUMIF('ПО КОРИСНИЦИМА'!$G$6:$G$13997,"Свега за пројекат 1201-П32:",'ПО КОРИСНИЦИМА'!$I$6:$I$13997)</f>
        <v>0</v>
      </c>
      <c r="G445" s="722">
        <f t="shared" si="13"/>
        <v>0</v>
      </c>
      <c r="H445" s="728"/>
    </row>
    <row r="446" spans="1:8" hidden="1">
      <c r="A446" s="696"/>
      <c r="B446" s="696" t="s">
        <v>4870</v>
      </c>
      <c r="C446" s="610" t="str">
        <f>IFERROR(VLOOKUP(B446,'ПО КОРИСНИЦИМА'!$C$6:$J$13997,5,FALSE),"")</f>
        <v/>
      </c>
      <c r="D446" s="726">
        <f>SUMIF('ПО КОРИСНИЦИМА'!$G$6:$G$13997,"Свега за пројекат 1201-П33:",'ПО КОРИСНИЦИМА'!$H$6:$H$13997)</f>
        <v>0</v>
      </c>
      <c r="E446" s="719">
        <f t="shared" si="25"/>
        <v>0</v>
      </c>
      <c r="F446" s="727">
        <f>SUMIF('ПО КОРИСНИЦИМА'!$G$6:$G$13997,"Свега за пројекат 1201-П33:",'ПО КОРИСНИЦИМА'!$I$6:$I$13997)</f>
        <v>0</v>
      </c>
      <c r="G446" s="722">
        <f t="shared" si="13"/>
        <v>0</v>
      </c>
      <c r="H446" s="728"/>
    </row>
    <row r="447" spans="1:8" hidden="1">
      <c r="A447" s="696"/>
      <c r="B447" s="696" t="s">
        <v>4871</v>
      </c>
      <c r="C447" s="610" t="str">
        <f>IFERROR(VLOOKUP(B447,'ПО КОРИСНИЦИМА'!$C$6:$J$13997,5,FALSE),"")</f>
        <v/>
      </c>
      <c r="D447" s="726">
        <f>SUMIF('ПО КОРИСНИЦИМА'!$G$6:$G$13997,"Свега за пројекат 1201-П34:",'ПО КОРИСНИЦИМА'!$H$6:$H$13997)</f>
        <v>0</v>
      </c>
      <c r="E447" s="719">
        <f t="shared" si="25"/>
        <v>0</v>
      </c>
      <c r="F447" s="727">
        <f>SUMIF('ПО КОРИСНИЦИМА'!$G$6:$G$13997,"Свега за пројекат 1201-П34:",'ПО КОРИСНИЦИМА'!$I$6:$I$13997)</f>
        <v>0</v>
      </c>
      <c r="G447" s="722">
        <f t="shared" si="13"/>
        <v>0</v>
      </c>
      <c r="H447" s="728"/>
    </row>
    <row r="448" spans="1:8" hidden="1">
      <c r="A448" s="696"/>
      <c r="B448" s="696" t="s">
        <v>4872</v>
      </c>
      <c r="C448" s="610" t="str">
        <f>IFERROR(VLOOKUP(B448,'ПО КОРИСНИЦИМА'!$C$6:$J$13997,5,FALSE),"")</f>
        <v/>
      </c>
      <c r="D448" s="726">
        <f>SUMIF('ПО КОРИСНИЦИМА'!$G$6:$G$13997,"Свега за пројекат 1201-П35:",'ПО КОРИСНИЦИМА'!$H$6:$H$13997)</f>
        <v>0</v>
      </c>
      <c r="E448" s="719">
        <f t="shared" si="25"/>
        <v>0</v>
      </c>
      <c r="F448" s="727">
        <f>SUMIF('ПО КОРИСНИЦИМА'!$G$6:$G$13997,"Свега за пројекат 1201-П35:",'ПО КОРИСНИЦИМА'!$I$6:$I$13997)</f>
        <v>0</v>
      </c>
      <c r="G448" s="722">
        <f t="shared" si="13"/>
        <v>0</v>
      </c>
      <c r="H448" s="728"/>
    </row>
    <row r="449" spans="1:8" hidden="1">
      <c r="A449" s="696"/>
      <c r="B449" s="696" t="s">
        <v>4873</v>
      </c>
      <c r="C449" s="610" t="str">
        <f>IFERROR(VLOOKUP(B449,'ПО КОРИСНИЦИМА'!$C$6:$J$13997,5,FALSE),"")</f>
        <v/>
      </c>
      <c r="D449" s="726">
        <f>SUMIF('ПО КОРИСНИЦИМА'!$G$6:$G$13997,"Свега за пројекат 1201-П36:",'ПО КОРИСНИЦИМА'!$H$6:$H$13997)</f>
        <v>0</v>
      </c>
      <c r="E449" s="719">
        <f t="shared" si="25"/>
        <v>0</v>
      </c>
      <c r="F449" s="727">
        <f>SUMIF('ПО КОРИСНИЦИМА'!$G$6:$G$13997,"Свега за пројекат 1201-П36:",'ПО КОРИСНИЦИМА'!$I$6:$I$13997)</f>
        <v>0</v>
      </c>
      <c r="G449" s="722">
        <f t="shared" si="13"/>
        <v>0</v>
      </c>
      <c r="H449" s="728"/>
    </row>
    <row r="450" spans="1:8" hidden="1">
      <c r="A450" s="696"/>
      <c r="B450" s="696" t="s">
        <v>4874</v>
      </c>
      <c r="C450" s="610" t="str">
        <f>IFERROR(VLOOKUP(B450,'ПО КОРИСНИЦИМА'!$C$6:$J$13997,5,FALSE),"")</f>
        <v/>
      </c>
      <c r="D450" s="726">
        <f>SUMIF('ПО КОРИСНИЦИМА'!$G$6:$G$13997,"Свега за пројекат 1201-П37:",'ПО КОРИСНИЦИМА'!$H$6:$H$13997)</f>
        <v>0</v>
      </c>
      <c r="E450" s="719">
        <f t="shared" si="25"/>
        <v>0</v>
      </c>
      <c r="F450" s="727">
        <f>SUMIF('ПО КОРИСНИЦИМА'!$G$6:$G$13997,"Свега за пројекат 1201-П37:",'ПО КОРИСНИЦИМА'!$I$6:$I$13997)</f>
        <v>0</v>
      </c>
      <c r="G450" s="722">
        <f t="shared" si="13"/>
        <v>0</v>
      </c>
      <c r="H450" s="728"/>
    </row>
    <row r="451" spans="1:8" hidden="1">
      <c r="A451" s="696"/>
      <c r="B451" s="696" t="s">
        <v>4875</v>
      </c>
      <c r="C451" s="610" t="str">
        <f>IFERROR(VLOOKUP(B451,'ПО КОРИСНИЦИМА'!$C$6:$J$13997,5,FALSE),"")</f>
        <v/>
      </c>
      <c r="D451" s="726">
        <f>SUMIF('ПО КОРИСНИЦИМА'!$G$6:$G$13997,"Свега за пројекат 1201-П38:",'ПО КОРИСНИЦИМА'!$H$6:$H$13997)</f>
        <v>0</v>
      </c>
      <c r="E451" s="719">
        <f t="shared" si="25"/>
        <v>0</v>
      </c>
      <c r="F451" s="727">
        <f>SUMIF('ПО КОРИСНИЦИМА'!$G$6:$G$13997,"Свега за пројекат 1201-П38:",'ПО КОРИСНИЦИМА'!$I$6:$I$13997)</f>
        <v>0</v>
      </c>
      <c r="G451" s="722">
        <f t="shared" si="13"/>
        <v>0</v>
      </c>
      <c r="H451" s="728"/>
    </row>
    <row r="452" spans="1:8" hidden="1">
      <c r="A452" s="696"/>
      <c r="B452" s="696" t="s">
        <v>4876</v>
      </c>
      <c r="C452" s="610" t="str">
        <f>IFERROR(VLOOKUP(B452,'ПО КОРИСНИЦИМА'!$C$6:$J$13997,5,FALSE),"")</f>
        <v/>
      </c>
      <c r="D452" s="726">
        <f>SUMIF('ПО КОРИСНИЦИМА'!$G$6:$G$13997,"Свега за пројекат 1201-П39:",'ПО КОРИСНИЦИМА'!$H$6:$H$13997)</f>
        <v>0</v>
      </c>
      <c r="E452" s="719">
        <f t="shared" si="25"/>
        <v>0</v>
      </c>
      <c r="F452" s="727">
        <f>SUMIF('ПО КОРИСНИЦИМА'!$G$6:$G$13997,"Свега за пројекат 1201-П39:",'ПО КОРИСНИЦИМА'!$I$6:$I$13997)</f>
        <v>0</v>
      </c>
      <c r="G452" s="722">
        <f t="shared" si="13"/>
        <v>0</v>
      </c>
      <c r="H452" s="728"/>
    </row>
    <row r="453" spans="1:8" hidden="1">
      <c r="A453" s="696"/>
      <c r="B453" s="696" t="s">
        <v>4877</v>
      </c>
      <c r="C453" s="610" t="str">
        <f>IFERROR(VLOOKUP(B453,'ПО КОРИСНИЦИМА'!$C$6:$J$13997,5,FALSE),"")</f>
        <v/>
      </c>
      <c r="D453" s="726">
        <f>SUMIF('ПО КОРИСНИЦИМА'!$G$6:$G$13997,"Свега за пројекат 1201-П40:",'ПО КОРИСНИЦИМА'!$H$6:$H$13997)</f>
        <v>0</v>
      </c>
      <c r="E453" s="719">
        <f t="shared" si="25"/>
        <v>0</v>
      </c>
      <c r="F453" s="727">
        <f>SUMIF('ПО КОРИСНИЦИМА'!$G$6:$G$13997,"Свега за пројекат 1201-П40:",'ПО КОРИСНИЦИМА'!$I$6:$I$13997)</f>
        <v>0</v>
      </c>
      <c r="G453" s="722">
        <f t="shared" si="13"/>
        <v>0</v>
      </c>
      <c r="H453" s="728"/>
    </row>
    <row r="454" spans="1:8" hidden="1">
      <c r="A454" s="696"/>
      <c r="B454" s="696" t="s">
        <v>4878</v>
      </c>
      <c r="C454" s="610" t="str">
        <f>IFERROR(VLOOKUP(B454,'ПО КОРИСНИЦИМА'!$C$6:$J$13997,5,FALSE),"")</f>
        <v/>
      </c>
      <c r="D454" s="726">
        <f>SUMIF('ПО КОРИСНИЦИМА'!$G$6:$G$13997,"Свега за пројекат 1201-П41:",'ПО КОРИСНИЦИМА'!$H$6:$H$13997)</f>
        <v>0</v>
      </c>
      <c r="E454" s="719">
        <f t="shared" si="25"/>
        <v>0</v>
      </c>
      <c r="F454" s="727">
        <f>SUMIF('ПО КОРИСНИЦИМА'!$G$6:$G$13997,"Свега за пројекат 1201-П41:",'ПО КОРИСНИЦИМА'!$I$6:$I$13997)</f>
        <v>0</v>
      </c>
      <c r="G454" s="722">
        <f t="shared" si="13"/>
        <v>0</v>
      </c>
      <c r="H454" s="728"/>
    </row>
    <row r="455" spans="1:8" hidden="1">
      <c r="A455" s="696"/>
      <c r="B455" s="696" t="s">
        <v>4879</v>
      </c>
      <c r="C455" s="610" t="str">
        <f>IFERROR(VLOOKUP(B455,'ПО КОРИСНИЦИМА'!$C$6:$J$13997,5,FALSE),"")</f>
        <v/>
      </c>
      <c r="D455" s="726">
        <f>SUMIF('ПО КОРИСНИЦИМА'!$G$6:$G$13997,"Свега за пројекат 1201-П42:",'ПО КОРИСНИЦИМА'!$H$6:$H$13997)</f>
        <v>0</v>
      </c>
      <c r="E455" s="719">
        <f t="shared" si="25"/>
        <v>0</v>
      </c>
      <c r="F455" s="727">
        <f>SUMIF('ПО КОРИСНИЦИМА'!$G$6:$G$13997,"Свега за пројекат 1201-П42:",'ПО КОРИСНИЦИМА'!$I$6:$I$13997)</f>
        <v>0</v>
      </c>
      <c r="G455" s="722">
        <f t="shared" si="13"/>
        <v>0</v>
      </c>
      <c r="H455" s="728"/>
    </row>
    <row r="456" spans="1:8" hidden="1">
      <c r="A456" s="696"/>
      <c r="B456" s="696" t="s">
        <v>4880</v>
      </c>
      <c r="C456" s="610" t="str">
        <f>IFERROR(VLOOKUP(B456,'ПО КОРИСНИЦИМА'!$C$6:$J$13997,5,FALSE),"")</f>
        <v/>
      </c>
      <c r="D456" s="726">
        <f>SUMIF('ПО КОРИСНИЦИМА'!$G$6:$G$13997,"Свега за пројекат 1201-П43:",'ПО КОРИСНИЦИМА'!$H$6:$H$13997)</f>
        <v>0</v>
      </c>
      <c r="E456" s="719">
        <f t="shared" si="25"/>
        <v>0</v>
      </c>
      <c r="F456" s="727">
        <f>SUMIF('ПО КОРИСНИЦИМА'!$G$6:$G$13997,"Свега за пројекат 1201-П43:",'ПО КОРИСНИЦИМА'!$I$6:$I$13997)</f>
        <v>0</v>
      </c>
      <c r="G456" s="722">
        <f t="shared" si="13"/>
        <v>0</v>
      </c>
      <c r="H456" s="728"/>
    </row>
    <row r="457" spans="1:8" hidden="1">
      <c r="A457" s="696"/>
      <c r="B457" s="696" t="s">
        <v>4881</v>
      </c>
      <c r="C457" s="610" t="str">
        <f>IFERROR(VLOOKUP(B457,'ПО КОРИСНИЦИМА'!$C$6:$J$13997,5,FALSE),"")</f>
        <v/>
      </c>
      <c r="D457" s="726">
        <f>SUMIF('ПО КОРИСНИЦИМА'!$G$6:$G$13997,"Свега за пројекат 1201-П44:",'ПО КОРИСНИЦИМА'!$H$6:$H$13997)</f>
        <v>0</v>
      </c>
      <c r="E457" s="719">
        <f t="shared" si="25"/>
        <v>0</v>
      </c>
      <c r="F457" s="727">
        <f>SUMIF('ПО КОРИСНИЦИМА'!$G$6:$G$13997,"Свега за пројекат 1201-П44:",'ПО КОРИСНИЦИМА'!$I$6:$I$13997)</f>
        <v>0</v>
      </c>
      <c r="G457" s="722">
        <f t="shared" si="13"/>
        <v>0</v>
      </c>
      <c r="H457" s="728"/>
    </row>
    <row r="458" spans="1:8" hidden="1">
      <c r="A458" s="696"/>
      <c r="B458" s="696" t="s">
        <v>4882</v>
      </c>
      <c r="C458" s="610" t="str">
        <f>IFERROR(VLOOKUP(B458,'ПО КОРИСНИЦИМА'!$C$6:$J$13997,5,FALSE),"")</f>
        <v/>
      </c>
      <c r="D458" s="726">
        <f>SUMIF('ПО КОРИСНИЦИМА'!$G$6:$G$13997,"Свега за пројекат 1201-П45:",'ПО КОРИСНИЦИМА'!$H$6:$H$13997)</f>
        <v>0</v>
      </c>
      <c r="E458" s="719">
        <f t="shared" si="25"/>
        <v>0</v>
      </c>
      <c r="F458" s="727">
        <f>SUMIF('ПО КОРИСНИЦИМА'!$G$6:$G$13997,"Свега за пројекат 1201-П45:",'ПО КОРИСНИЦИМА'!$I$6:$I$13997)</f>
        <v>0</v>
      </c>
      <c r="G458" s="722">
        <f t="shared" si="13"/>
        <v>0</v>
      </c>
      <c r="H458" s="728"/>
    </row>
    <row r="459" spans="1:8" hidden="1">
      <c r="A459" s="696"/>
      <c r="B459" s="696" t="s">
        <v>4883</v>
      </c>
      <c r="C459" s="610" t="str">
        <f>IFERROR(VLOOKUP(B459,'ПО КОРИСНИЦИМА'!$C$6:$J$13997,5,FALSE),"")</f>
        <v/>
      </c>
      <c r="D459" s="726">
        <f>SUMIF('ПО КОРИСНИЦИМА'!$G$6:$G$13997,"Свега за пројекат 1201-П46:",'ПО КОРИСНИЦИМА'!$H$6:$H$13997)</f>
        <v>0</v>
      </c>
      <c r="E459" s="719">
        <f t="shared" si="25"/>
        <v>0</v>
      </c>
      <c r="F459" s="727">
        <f>SUMIF('ПО КОРИСНИЦИМА'!$G$6:$G$13997,"Свега за пројекат 1201-П46:",'ПО КОРИСНИЦИМА'!$I$6:$I$13997)</f>
        <v>0</v>
      </c>
      <c r="G459" s="722">
        <f t="shared" si="13"/>
        <v>0</v>
      </c>
      <c r="H459" s="728"/>
    </row>
    <row r="460" spans="1:8" hidden="1">
      <c r="A460" s="696"/>
      <c r="B460" s="696" t="s">
        <v>4884</v>
      </c>
      <c r="C460" s="610" t="str">
        <f>IFERROR(VLOOKUP(B460,'ПО КОРИСНИЦИМА'!$C$6:$J$13997,5,FALSE),"")</f>
        <v/>
      </c>
      <c r="D460" s="726">
        <f>SUMIF('ПО КОРИСНИЦИМА'!$G$6:$G$13997,"Свега за пројекат 1201-П47:",'ПО КОРИСНИЦИМА'!$H$6:$H$13997)</f>
        <v>0</v>
      </c>
      <c r="E460" s="719">
        <f t="shared" si="25"/>
        <v>0</v>
      </c>
      <c r="F460" s="727">
        <f>SUMIF('ПО КОРИСНИЦИМА'!$G$6:$G$13997,"Свега за пројекат 1201-П47:",'ПО КОРИСНИЦИМА'!$I$6:$I$13997)</f>
        <v>0</v>
      </c>
      <c r="G460" s="722">
        <f t="shared" si="13"/>
        <v>0</v>
      </c>
      <c r="H460" s="728"/>
    </row>
    <row r="461" spans="1:8" hidden="1">
      <c r="A461" s="696"/>
      <c r="B461" s="696" t="s">
        <v>4885</v>
      </c>
      <c r="C461" s="610" t="str">
        <f>IFERROR(VLOOKUP(B461,'ПО КОРИСНИЦИМА'!$C$6:$J$13997,5,FALSE),"")</f>
        <v/>
      </c>
      <c r="D461" s="726">
        <f>SUMIF('ПО КОРИСНИЦИМА'!$G$6:$G$13997,"Свега за пројекат 1201-П48:",'ПО КОРИСНИЦИМА'!$H$6:$H$13997)</f>
        <v>0</v>
      </c>
      <c r="E461" s="719">
        <f t="shared" si="25"/>
        <v>0</v>
      </c>
      <c r="F461" s="727">
        <f>SUMIF('ПО КОРИСНИЦИМА'!$G$6:$G$13997,"Свега за пројекат 1201-П48:",'ПО КОРИСНИЦИМА'!$I$6:$I$13997)</f>
        <v>0</v>
      </c>
      <c r="G461" s="722">
        <f t="shared" si="13"/>
        <v>0</v>
      </c>
      <c r="H461" s="725"/>
    </row>
    <row r="462" spans="1:8" hidden="1">
      <c r="A462" s="696"/>
      <c r="B462" s="696" t="s">
        <v>4886</v>
      </c>
      <c r="C462" s="610" t="str">
        <f>IFERROR(VLOOKUP(B462,'ПО КОРИСНИЦИМА'!$C$6:$J$13997,5,FALSE),"")</f>
        <v/>
      </c>
      <c r="D462" s="726">
        <f>SUMIF('ПО КОРИСНИЦИМА'!$G$6:$G$13997,"Свега за пројекат 1201-П49:",'ПО КОРИСНИЦИМА'!$H$6:$H$13997)</f>
        <v>0</v>
      </c>
      <c r="E462" s="719">
        <f t="shared" si="25"/>
        <v>0</v>
      </c>
      <c r="F462" s="727">
        <f>SUMIF('ПО КОРИСНИЦИМА'!$G$6:$G$13997,"Свега за пројекат 1201-П49:",'ПО КОРИСНИЦИМА'!$I$6:$I$13997)</f>
        <v>0</v>
      </c>
      <c r="G462" s="722">
        <f t="shared" si="13"/>
        <v>0</v>
      </c>
      <c r="H462" s="725"/>
    </row>
    <row r="463" spans="1:8" hidden="1">
      <c r="A463" s="697"/>
      <c r="B463" s="696" t="s">
        <v>4887</v>
      </c>
      <c r="C463" s="610" t="str">
        <f>IFERROR(VLOOKUP(B463,'ПО КОРИСНИЦИМА'!$C$6:$J$13997,5,FALSE),"")</f>
        <v/>
      </c>
      <c r="D463" s="726">
        <f>SUMIF('ПО КОРИСНИЦИМА'!$G$6:$G$13997,"Свега за пројекат 1201-П50:",'ПО КОРИСНИЦИМА'!$H$6:$H$13997)</f>
        <v>0</v>
      </c>
      <c r="E463" s="719">
        <f t="shared" si="25"/>
        <v>0</v>
      </c>
      <c r="F463" s="727">
        <f>SUMIF('ПО КОРИСНИЦИМА'!$G$6:$G$13997,"Свега за пројекат 1201-П50:",'ПО КОРИСНИЦИМА'!$I$6:$I$13997)</f>
        <v>0</v>
      </c>
      <c r="G463" s="722">
        <f t="shared" si="13"/>
        <v>0</v>
      </c>
      <c r="H463" s="734"/>
    </row>
    <row r="464" spans="1:8" s="694" customFormat="1">
      <c r="A464" s="687" t="s">
        <v>3597</v>
      </c>
      <c r="B464" s="688"/>
      <c r="C464" s="608" t="s">
        <v>3678</v>
      </c>
      <c r="D464" s="714">
        <f>SUM(D465:D517)</f>
        <v>9000000</v>
      </c>
      <c r="E464" s="715">
        <f>IFERROR(D464/$D$599,"-")</f>
        <v>1.8971976072543778E-2</v>
      </c>
      <c r="F464" s="716">
        <f>SUM(F465:F517)</f>
        <v>0</v>
      </c>
      <c r="G464" s="714">
        <f t="shared" si="13"/>
        <v>9000000</v>
      </c>
      <c r="H464" s="735"/>
    </row>
    <row r="465" spans="1:8">
      <c r="A465" s="690"/>
      <c r="B465" s="698" t="s">
        <v>4132</v>
      </c>
      <c r="C465" s="616" t="s">
        <v>4133</v>
      </c>
      <c r="D465" s="718">
        <f>SUMIF('ПО КОРИСНИЦИМА'!$G$6:$G$13997,"Свега за програмску активност 1301-0001:",'ПО КОРИСНИЦИМА'!$H$6:$H$13997)</f>
        <v>9000000</v>
      </c>
      <c r="E465" s="719">
        <f>IFERROR(D465/$D$599,"-")</f>
        <v>1.8971976072543778E-2</v>
      </c>
      <c r="F465" s="720">
        <f>SUMIF('ПО КОРИСНИЦИМА'!$G$6:$G$13997,"Свега за програмску активност 1301-0001:",'ПО КОРИСНИЦИМА'!$I$6:$I$13997)</f>
        <v>0</v>
      </c>
      <c r="G465" s="742">
        <f t="shared" si="13"/>
        <v>9000000</v>
      </c>
      <c r="H465" s="721"/>
    </row>
    <row r="466" spans="1:8" hidden="1">
      <c r="A466" s="692"/>
      <c r="B466" s="696" t="s">
        <v>4134</v>
      </c>
      <c r="C466" s="617" t="s">
        <v>4135</v>
      </c>
      <c r="D466" s="722">
        <f>SUMIF('ПО КОРИСНИЦИМА'!$G$6:$G$13997,"Свега за програмску активност 1301-0002:",'ПО КОРИСНИЦИМА'!$H$6:$H$13997)</f>
        <v>0</v>
      </c>
      <c r="E466" s="719">
        <f t="shared" ref="E466:E517" si="26">IFERROR(D466/$D$599,"-")</f>
        <v>0</v>
      </c>
      <c r="F466" s="724">
        <f>SUMIF('ПО КОРИСНИЦИМА'!$G$6:$G$13997,"Свега за програмску активност 1301-0002:",'ПО КОРИСНИЦИМА'!$I$6:$I$13997)</f>
        <v>0</v>
      </c>
      <c r="G466" s="743">
        <f t="shared" si="13"/>
        <v>0</v>
      </c>
      <c r="H466" s="725"/>
    </row>
    <row r="467" spans="1:8" hidden="1">
      <c r="A467" s="692"/>
      <c r="B467" s="696" t="s">
        <v>4136</v>
      </c>
      <c r="C467" s="617" t="s">
        <v>4137</v>
      </c>
      <c r="D467" s="722">
        <f>SUMIF('ПО КОРИСНИЦИМА'!$G$6:$G$13997,"Свега за програмску активност 1301-0003:",'ПО КОРИСНИЦИМА'!$H$6:$H$13997)</f>
        <v>0</v>
      </c>
      <c r="E467" s="719">
        <f t="shared" si="26"/>
        <v>0</v>
      </c>
      <c r="F467" s="724">
        <f>SUMIF('ПО КОРИСНИЦИМА'!$G$6:$G$13997,"Свега за програмску активност 1301-0003:",'ПО КОРИСНИЦИМА'!$I$6:$I$13997)</f>
        <v>0</v>
      </c>
      <c r="G467" s="743">
        <f t="shared" si="13"/>
        <v>0</v>
      </c>
      <c r="H467" s="725"/>
    </row>
    <row r="468" spans="1:8" hidden="1">
      <c r="A468" s="696"/>
      <c r="B468" s="696" t="s">
        <v>4888</v>
      </c>
      <c r="C468" s="610" t="str">
        <f>IFERROR(VLOOKUP(B468,'ПО КОРИСНИЦИМА'!$C$6:$J$13997,5,FALSE),"")</f>
        <v/>
      </c>
      <c r="D468" s="726">
        <f>SUMIF('ПО КОРИСНИЦИМА'!$G$6:$G$13997,"Свега за пројекат 1301-П1:",'ПО КОРИСНИЦИМА'!$H$6:$H$13997)</f>
        <v>0</v>
      </c>
      <c r="E468" s="723">
        <f>IFERROR(D468/$D$599,"-")</f>
        <v>0</v>
      </c>
      <c r="F468" s="727">
        <f>SUMIF('ПО КОРИСНИЦИМА'!$G$6:$G$13997,"Свега за пројекат 1301-П1:",'ПО КОРИСНИЦИМА'!$I$6:$I$13997)</f>
        <v>0</v>
      </c>
      <c r="G468" s="743">
        <f t="shared" si="13"/>
        <v>0</v>
      </c>
      <c r="H468" s="725"/>
    </row>
    <row r="469" spans="1:8" hidden="1">
      <c r="A469" s="696"/>
      <c r="B469" s="696" t="s">
        <v>4889</v>
      </c>
      <c r="C469" s="610" t="str">
        <f>IFERROR(VLOOKUP(B469,'ПО КОРИСНИЦИМА'!$C$6:$J$13997,5,FALSE),"")</f>
        <v/>
      </c>
      <c r="D469" s="726">
        <f>SUMIF('ПО КОРИСНИЦИМА'!$G$6:$G$13997,"Свега за пројекат 1301-П2:",'ПО КОРИСНИЦИМА'!$H$6:$H$13997)</f>
        <v>0</v>
      </c>
      <c r="E469" s="719">
        <f t="shared" si="26"/>
        <v>0</v>
      </c>
      <c r="F469" s="727">
        <f>SUMIF('ПО КОРИСНИЦИМА'!$G$6:$G$13997,"Свега за пројекат 1301-П2:",'ПО КОРИСНИЦИМА'!$I$6:$I$13997)</f>
        <v>0</v>
      </c>
      <c r="G469" s="722">
        <f t="shared" si="13"/>
        <v>0</v>
      </c>
      <c r="H469" s="725"/>
    </row>
    <row r="470" spans="1:8" hidden="1">
      <c r="A470" s="696"/>
      <c r="B470" s="696" t="s">
        <v>4890</v>
      </c>
      <c r="C470" s="610" t="str">
        <f>IFERROR(VLOOKUP(B470,'ПО КОРИСНИЦИМА'!$C$6:$J$13997,5,FALSE),"")</f>
        <v/>
      </c>
      <c r="D470" s="726">
        <f>SUMIF('ПО КОРИСНИЦИМА'!$G$6:$G$13997,"Свега за пројекат 1301-П3:",'ПО КОРИСНИЦИМА'!$H$6:$H$13997)</f>
        <v>0</v>
      </c>
      <c r="E470" s="719">
        <f t="shared" si="26"/>
        <v>0</v>
      </c>
      <c r="F470" s="727">
        <f>SUMIF('ПО КОРИСНИЦИМА'!$G$6:$G$13997,"Свега за пројекат 1301-П3:",'ПО КОРИСНИЦИМА'!$I$6:$I$13997)</f>
        <v>0</v>
      </c>
      <c r="G470" s="722">
        <f t="shared" si="13"/>
        <v>0</v>
      </c>
      <c r="H470" s="728"/>
    </row>
    <row r="471" spans="1:8" hidden="1">
      <c r="A471" s="696"/>
      <c r="B471" s="696" t="s">
        <v>4891</v>
      </c>
      <c r="C471" s="610" t="str">
        <f>IFERROR(VLOOKUP(B471,'ПО КОРИСНИЦИМА'!$C$6:$J$13997,5,FALSE),"")</f>
        <v/>
      </c>
      <c r="D471" s="726">
        <f>SUMIF('ПО КОРИСНИЦИМА'!$G$6:$G$13997,"Свега за пројекат 1301-П4:",'ПО КОРИСНИЦИМА'!$H$6:$H$13997)</f>
        <v>0</v>
      </c>
      <c r="E471" s="719">
        <f t="shared" si="26"/>
        <v>0</v>
      </c>
      <c r="F471" s="727">
        <f>SUMIF('ПО КОРИСНИЦИМА'!$G$6:$G$13997,"Свега за пројекат 1301-П4:",'ПО КОРИСНИЦИМА'!$I$6:$I$13997)</f>
        <v>0</v>
      </c>
      <c r="G471" s="722">
        <f t="shared" si="13"/>
        <v>0</v>
      </c>
      <c r="H471" s="728"/>
    </row>
    <row r="472" spans="1:8" hidden="1">
      <c r="A472" s="696"/>
      <c r="B472" s="696" t="s">
        <v>4892</v>
      </c>
      <c r="C472" s="610" t="str">
        <f>IFERROR(VLOOKUP(B472,'ПО КОРИСНИЦИМА'!$C$6:$J$13997,5,FALSE),"")</f>
        <v/>
      </c>
      <c r="D472" s="726">
        <f>SUMIF('ПО КОРИСНИЦИМА'!$G$6:$G$13997,"Свега за пројекат 1301-П5:",'ПО КОРИСНИЦИМА'!$H$6:$H$13997)</f>
        <v>0</v>
      </c>
      <c r="E472" s="719">
        <f t="shared" si="26"/>
        <v>0</v>
      </c>
      <c r="F472" s="727">
        <f>SUMIF('ПО КОРИСНИЦИМА'!$G$6:$G$13997,"Свега за пројекат 1301-П5:",'ПО КОРИСНИЦИМА'!$I$6:$I$13997)</f>
        <v>0</v>
      </c>
      <c r="G472" s="722">
        <f t="shared" si="13"/>
        <v>0</v>
      </c>
      <c r="H472" s="728"/>
    </row>
    <row r="473" spans="1:8" hidden="1">
      <c r="A473" s="696"/>
      <c r="B473" s="696" t="s">
        <v>4893</v>
      </c>
      <c r="C473" s="610" t="str">
        <f>IFERROR(VLOOKUP(B473,'ПО КОРИСНИЦИМА'!$C$6:$J$13997,5,FALSE),"")</f>
        <v/>
      </c>
      <c r="D473" s="726">
        <f>SUMIF('ПО КОРИСНИЦИМА'!$G$6:$G$13997,"Свега за пројекат 1301-П6:",'ПО КОРИСНИЦИМА'!$H$6:$H$13997)</f>
        <v>0</v>
      </c>
      <c r="E473" s="719">
        <f t="shared" si="26"/>
        <v>0</v>
      </c>
      <c r="F473" s="727">
        <f>SUMIF('ПО КОРИСНИЦИМА'!$G$6:$G$13997,"Свега за пројекат 1301-П6:",'ПО КОРИСНИЦИМА'!$I$6:$I$13997)</f>
        <v>0</v>
      </c>
      <c r="G473" s="722">
        <f t="shared" si="13"/>
        <v>0</v>
      </c>
      <c r="H473" s="728"/>
    </row>
    <row r="474" spans="1:8" hidden="1">
      <c r="A474" s="696"/>
      <c r="B474" s="696" t="s">
        <v>4894</v>
      </c>
      <c r="C474" s="610" t="str">
        <f>IFERROR(VLOOKUP(B474,'ПО КОРИСНИЦИМА'!$C$6:$J$13997,5,FALSE),"")</f>
        <v/>
      </c>
      <c r="D474" s="726">
        <f>SUMIF('ПО КОРИСНИЦИМА'!$G$6:$G$13997,"Свега за пројекат 1301-П7:",'ПО КОРИСНИЦИМА'!$H$6:$H$13997)</f>
        <v>0</v>
      </c>
      <c r="E474" s="719">
        <f t="shared" si="26"/>
        <v>0</v>
      </c>
      <c r="F474" s="727">
        <f>SUMIF('ПО КОРИСНИЦИМА'!$G$6:$G$13997,"Свега за пројекат 1301-П7:",'ПО КОРИСНИЦИМА'!$I$6:$I$13997)</f>
        <v>0</v>
      </c>
      <c r="G474" s="722">
        <f t="shared" si="13"/>
        <v>0</v>
      </c>
      <c r="H474" s="728"/>
    </row>
    <row r="475" spans="1:8" hidden="1">
      <c r="A475" s="696"/>
      <c r="B475" s="696" t="s">
        <v>4895</v>
      </c>
      <c r="C475" s="610" t="str">
        <f>IFERROR(VLOOKUP(B475,'ПО КОРИСНИЦИМА'!$C$6:$J$13997,5,FALSE),"")</f>
        <v/>
      </c>
      <c r="D475" s="726">
        <f>SUMIF('ПО КОРИСНИЦИМА'!$G$6:$G$13997,"Свега за пројекат 1301-П8:",'ПО КОРИСНИЦИМА'!$H$6:$H$13997)</f>
        <v>0</v>
      </c>
      <c r="E475" s="719">
        <f t="shared" si="26"/>
        <v>0</v>
      </c>
      <c r="F475" s="727">
        <f>SUMIF('ПО КОРИСНИЦИМА'!$G$6:$G$13997,"Свега за пројекат 1301-П8:",'ПО КОРИСНИЦИМА'!$I$6:$I$13997)</f>
        <v>0</v>
      </c>
      <c r="G475" s="722">
        <f t="shared" si="13"/>
        <v>0</v>
      </c>
      <c r="H475" s="728"/>
    </row>
    <row r="476" spans="1:8" hidden="1">
      <c r="A476" s="696"/>
      <c r="B476" s="696" t="s">
        <v>4896</v>
      </c>
      <c r="C476" s="610" t="str">
        <f>IFERROR(VLOOKUP(B476,'ПО КОРИСНИЦИМА'!$C$6:$J$13997,5,FALSE),"")</f>
        <v/>
      </c>
      <c r="D476" s="726">
        <f>SUMIF('ПО КОРИСНИЦИМА'!$G$6:$G$13997,"Свега за пројекат 1301-П9:",'ПО КОРИСНИЦИМА'!$H$6:$H$13997)</f>
        <v>0</v>
      </c>
      <c r="E476" s="719">
        <f t="shared" si="26"/>
        <v>0</v>
      </c>
      <c r="F476" s="727">
        <f>SUMIF('ПО КОРИСНИЦИМА'!$G$6:$G$13997,"Свега за пројекат 1301-П9:",'ПО КОРИСНИЦИМА'!$I$6:$I$13997)</f>
        <v>0</v>
      </c>
      <c r="G476" s="722">
        <f t="shared" si="13"/>
        <v>0</v>
      </c>
      <c r="H476" s="728"/>
    </row>
    <row r="477" spans="1:8" hidden="1">
      <c r="A477" s="696"/>
      <c r="B477" s="696" t="s">
        <v>4897</v>
      </c>
      <c r="C477" s="610" t="str">
        <f>IFERROR(VLOOKUP(B477,'ПО КОРИСНИЦИМА'!$C$6:$J$13997,5,FALSE),"")</f>
        <v/>
      </c>
      <c r="D477" s="726">
        <f>SUMIF('ПО КОРИСНИЦИМА'!$G$6:$G$13997,"Свега за пројекат 1301-П10:",'ПО КОРИСНИЦИМА'!$H$6:$H$13997)</f>
        <v>0</v>
      </c>
      <c r="E477" s="719">
        <f t="shared" si="26"/>
        <v>0</v>
      </c>
      <c r="F477" s="727">
        <f>SUMIF('ПО КОРИСНИЦИМА'!$G$6:$G$13997,"Свега за пројекат 1301-П10:",'ПО КОРИСНИЦИМА'!$I$6:$I$13997)</f>
        <v>0</v>
      </c>
      <c r="G477" s="722">
        <f t="shared" si="13"/>
        <v>0</v>
      </c>
      <c r="H477" s="728"/>
    </row>
    <row r="478" spans="1:8" hidden="1">
      <c r="A478" s="696"/>
      <c r="B478" s="696" t="s">
        <v>4898</v>
      </c>
      <c r="C478" s="610" t="str">
        <f>IFERROR(VLOOKUP(B478,'ПО КОРИСНИЦИМА'!$C$6:$J$13997,5,FALSE),"")</f>
        <v/>
      </c>
      <c r="D478" s="726">
        <f>SUMIF('ПО КОРИСНИЦИМА'!$G$6:$G$13997,"Свега за пројекат 1301-П11:",'ПО КОРИСНИЦИМА'!$H$6:$H$13997)</f>
        <v>0</v>
      </c>
      <c r="E478" s="719">
        <f t="shared" si="26"/>
        <v>0</v>
      </c>
      <c r="F478" s="727">
        <f>SUMIF('ПО КОРИСНИЦИМА'!$G$6:$G$13997,"Свега за пројекат 1301-П11:",'ПО КОРИСНИЦИМА'!$I$6:$I$13997)</f>
        <v>0</v>
      </c>
      <c r="G478" s="722">
        <f t="shared" si="13"/>
        <v>0</v>
      </c>
      <c r="H478" s="728"/>
    </row>
    <row r="479" spans="1:8" hidden="1">
      <c r="A479" s="696"/>
      <c r="B479" s="696" t="s">
        <v>4899</v>
      </c>
      <c r="C479" s="610" t="str">
        <f>IFERROR(VLOOKUP(B479,'ПО КОРИСНИЦИМА'!$C$6:$J$13997,5,FALSE),"")</f>
        <v/>
      </c>
      <c r="D479" s="726">
        <f>SUMIF('ПО КОРИСНИЦИМА'!$G$6:$G$13997,"Свега за пројекат 1301-П12:",'ПО КОРИСНИЦИМА'!$H$6:$H$13997)</f>
        <v>0</v>
      </c>
      <c r="E479" s="719">
        <f t="shared" si="26"/>
        <v>0</v>
      </c>
      <c r="F479" s="727">
        <f>SUMIF('ПО КОРИСНИЦИМА'!$G$6:$G$13997,"Свега за пројекат 1301-П12:",'ПО КОРИСНИЦИМА'!$I$6:$I$13997)</f>
        <v>0</v>
      </c>
      <c r="G479" s="722">
        <f t="shared" si="13"/>
        <v>0</v>
      </c>
      <c r="H479" s="728"/>
    </row>
    <row r="480" spans="1:8" hidden="1">
      <c r="A480" s="696"/>
      <c r="B480" s="696" t="s">
        <v>4900</v>
      </c>
      <c r="C480" s="610" t="str">
        <f>IFERROR(VLOOKUP(B480,'ПО КОРИСНИЦИМА'!$C$6:$J$13997,5,FALSE),"")</f>
        <v/>
      </c>
      <c r="D480" s="726">
        <f>SUMIF('ПО КОРИСНИЦИМА'!$G$6:$G$13997,"Свега за пројекат 1301-П13:",'ПО КОРИСНИЦИМА'!$H$6:$H$13997)</f>
        <v>0</v>
      </c>
      <c r="E480" s="719">
        <f t="shared" si="26"/>
        <v>0</v>
      </c>
      <c r="F480" s="727">
        <f>SUMIF('ПО КОРИСНИЦИМА'!$G$6:$G$13997,"Свега за пројекат 1301-П13:",'ПО КОРИСНИЦИМА'!$I$6:$I$13997)</f>
        <v>0</v>
      </c>
      <c r="G480" s="722">
        <f t="shared" si="13"/>
        <v>0</v>
      </c>
      <c r="H480" s="728"/>
    </row>
    <row r="481" spans="1:8" hidden="1">
      <c r="A481" s="696"/>
      <c r="B481" s="696" t="s">
        <v>4901</v>
      </c>
      <c r="C481" s="610" t="str">
        <f>IFERROR(VLOOKUP(B481,'ПО КОРИСНИЦИМА'!$C$6:$J$13997,5,FALSE),"")</f>
        <v/>
      </c>
      <c r="D481" s="726">
        <f>SUMIF('ПО КОРИСНИЦИМА'!$G$6:$G$13997,"Свега за пројекат 1301-П14:",'ПО КОРИСНИЦИМА'!$H$6:$H$13997)</f>
        <v>0</v>
      </c>
      <c r="E481" s="719">
        <f t="shared" si="26"/>
        <v>0</v>
      </c>
      <c r="F481" s="727">
        <f>SUMIF('ПО КОРИСНИЦИМА'!$G$6:$G$13997,"Свега за пројекат 1301-П14:",'ПО КОРИСНИЦИМА'!$I$6:$I$13997)</f>
        <v>0</v>
      </c>
      <c r="G481" s="722">
        <f t="shared" si="13"/>
        <v>0</v>
      </c>
      <c r="H481" s="728"/>
    </row>
    <row r="482" spans="1:8" hidden="1">
      <c r="A482" s="696"/>
      <c r="B482" s="696" t="s">
        <v>4902</v>
      </c>
      <c r="C482" s="610" t="str">
        <f>IFERROR(VLOOKUP(B482,'ПО КОРИСНИЦИМА'!$C$6:$J$13997,5,FALSE),"")</f>
        <v/>
      </c>
      <c r="D482" s="726">
        <f>SUMIF('ПО КОРИСНИЦИМА'!$G$6:$G$13997,"Свега за пројекат 1301-П15:",'ПО КОРИСНИЦИМА'!$H$6:$H$13997)</f>
        <v>0</v>
      </c>
      <c r="E482" s="719">
        <f t="shared" si="26"/>
        <v>0</v>
      </c>
      <c r="F482" s="727">
        <f>SUMIF('ПО КОРИСНИЦИМА'!$G$6:$G$13997,"Свега за пројекат 1301-П15:",'ПО КОРИСНИЦИМА'!$I$6:$I$13997)</f>
        <v>0</v>
      </c>
      <c r="G482" s="722">
        <f t="shared" si="13"/>
        <v>0</v>
      </c>
      <c r="H482" s="728"/>
    </row>
    <row r="483" spans="1:8" hidden="1">
      <c r="A483" s="696"/>
      <c r="B483" s="696" t="s">
        <v>4903</v>
      </c>
      <c r="C483" s="610" t="str">
        <f>IFERROR(VLOOKUP(B483,'ПО КОРИСНИЦИМА'!$C$6:$J$13997,5,FALSE),"")</f>
        <v/>
      </c>
      <c r="D483" s="726">
        <f>SUMIF('ПО КОРИСНИЦИМА'!$G$6:$G$13997,"Свега за пројекат 1301-П16:",'ПО КОРИСНИЦИМА'!$H$6:$H$13997)</f>
        <v>0</v>
      </c>
      <c r="E483" s="719">
        <f t="shared" si="26"/>
        <v>0</v>
      </c>
      <c r="F483" s="727">
        <f>SUMIF('ПО КОРИСНИЦИМА'!$G$6:$G$13997,"Свега за пројекат 1301-П16:",'ПО КОРИСНИЦИМА'!$I$6:$I$13997)</f>
        <v>0</v>
      </c>
      <c r="G483" s="722">
        <f t="shared" si="13"/>
        <v>0</v>
      </c>
      <c r="H483" s="728"/>
    </row>
    <row r="484" spans="1:8" hidden="1">
      <c r="A484" s="696"/>
      <c r="B484" s="696" t="s">
        <v>4904</v>
      </c>
      <c r="C484" s="610" t="str">
        <f>IFERROR(VLOOKUP(B484,'ПО КОРИСНИЦИМА'!$C$6:$J$13997,5,FALSE),"")</f>
        <v/>
      </c>
      <c r="D484" s="726">
        <f>SUMIF('ПО КОРИСНИЦИМА'!$G$6:$G$13997,"Свега за пројекат 1301-П17:",'ПО КОРИСНИЦИМА'!$H$6:$H$13997)</f>
        <v>0</v>
      </c>
      <c r="E484" s="719">
        <f t="shared" si="26"/>
        <v>0</v>
      </c>
      <c r="F484" s="727">
        <f>SUMIF('ПО КОРИСНИЦИМА'!$G$6:$G$13997,"Свега за пројекат 1301-П17:",'ПО КОРИСНИЦИМА'!$I$6:$I$13997)</f>
        <v>0</v>
      </c>
      <c r="G484" s="722">
        <f t="shared" si="13"/>
        <v>0</v>
      </c>
      <c r="H484" s="728"/>
    </row>
    <row r="485" spans="1:8" hidden="1">
      <c r="A485" s="696"/>
      <c r="B485" s="696" t="s">
        <v>4905</v>
      </c>
      <c r="C485" s="610" t="str">
        <f>IFERROR(VLOOKUP(B485,'ПО КОРИСНИЦИМА'!$C$6:$J$13997,5,FALSE),"")</f>
        <v/>
      </c>
      <c r="D485" s="726">
        <f>SUMIF('ПО КОРИСНИЦИМА'!$G$6:$G$13997,"Свега за пројекат 1301-П18:",'ПО КОРИСНИЦИМА'!$H$6:$H$13997)</f>
        <v>0</v>
      </c>
      <c r="E485" s="719">
        <f t="shared" si="26"/>
        <v>0</v>
      </c>
      <c r="F485" s="727">
        <f>SUMIF('ПО КОРИСНИЦИМА'!$G$6:$G$13997,"Свега за пројекат 1301-П18:",'ПО КОРИСНИЦИМА'!$I$6:$I$13997)</f>
        <v>0</v>
      </c>
      <c r="G485" s="722">
        <f t="shared" si="13"/>
        <v>0</v>
      </c>
      <c r="H485" s="728"/>
    </row>
    <row r="486" spans="1:8" hidden="1">
      <c r="A486" s="696"/>
      <c r="B486" s="696" t="s">
        <v>4906</v>
      </c>
      <c r="C486" s="610" t="str">
        <f>IFERROR(VLOOKUP(B486,'ПО КОРИСНИЦИМА'!$C$6:$J$13997,5,FALSE),"")</f>
        <v/>
      </c>
      <c r="D486" s="726">
        <f>SUMIF('ПО КОРИСНИЦИМА'!$G$6:$G$13997,"Свега за пројекат 1301-П19:",'ПО КОРИСНИЦИМА'!$H$6:$H$13997)</f>
        <v>0</v>
      </c>
      <c r="E486" s="719">
        <f t="shared" si="26"/>
        <v>0</v>
      </c>
      <c r="F486" s="727">
        <f>SUMIF('ПО КОРИСНИЦИМА'!$G$6:$G$13997,"Свега за пројекат 1301-П19:",'ПО КОРИСНИЦИМА'!$I$6:$I$13997)</f>
        <v>0</v>
      </c>
      <c r="G486" s="722">
        <f t="shared" si="13"/>
        <v>0</v>
      </c>
      <c r="H486" s="728"/>
    </row>
    <row r="487" spans="1:8" hidden="1">
      <c r="A487" s="696"/>
      <c r="B487" s="696" t="s">
        <v>4907</v>
      </c>
      <c r="C487" s="610" t="str">
        <f>IFERROR(VLOOKUP(B487,'ПО КОРИСНИЦИМА'!$C$6:$J$13997,5,FALSE),"")</f>
        <v/>
      </c>
      <c r="D487" s="726">
        <f>SUMIF('ПО КОРИСНИЦИМА'!$G$6:$G$13997,"Свега за пројекат 1301-П20:",'ПО КОРИСНИЦИМА'!$H$6:$H$13997)</f>
        <v>0</v>
      </c>
      <c r="E487" s="719">
        <f t="shared" si="26"/>
        <v>0</v>
      </c>
      <c r="F487" s="727">
        <f>SUMIF('ПО КОРИСНИЦИМА'!$G$6:$G$13997,"Свега за пројекат 1301-П20:",'ПО КОРИСНИЦИМА'!$I$6:$I$13997)</f>
        <v>0</v>
      </c>
      <c r="G487" s="722">
        <f t="shared" si="13"/>
        <v>0</v>
      </c>
      <c r="H487" s="728"/>
    </row>
    <row r="488" spans="1:8" hidden="1">
      <c r="A488" s="696"/>
      <c r="B488" s="696" t="s">
        <v>4908</v>
      </c>
      <c r="C488" s="610" t="str">
        <f>IFERROR(VLOOKUP(B488,'ПО КОРИСНИЦИМА'!$C$6:$J$13997,5,FALSE),"")</f>
        <v/>
      </c>
      <c r="D488" s="726">
        <f>SUMIF('ПО КОРИСНИЦИМА'!$G$6:$G$13997,"Свега за пројекат 1301-П21:",'ПО КОРИСНИЦИМА'!$H$6:$H$13997)</f>
        <v>0</v>
      </c>
      <c r="E488" s="719">
        <f t="shared" si="26"/>
        <v>0</v>
      </c>
      <c r="F488" s="727">
        <f>SUMIF('ПО КОРИСНИЦИМА'!$G$6:$G$13997,"Свега за пројекат 1301-П21:",'ПО КОРИСНИЦИМА'!$I$6:$I$13997)</f>
        <v>0</v>
      </c>
      <c r="G488" s="722">
        <f t="shared" si="13"/>
        <v>0</v>
      </c>
      <c r="H488" s="728"/>
    </row>
    <row r="489" spans="1:8" hidden="1">
      <c r="A489" s="696"/>
      <c r="B489" s="696" t="s">
        <v>4909</v>
      </c>
      <c r="C489" s="610" t="str">
        <f>IFERROR(VLOOKUP(B489,'ПО КОРИСНИЦИМА'!$C$6:$J$13997,5,FALSE),"")</f>
        <v/>
      </c>
      <c r="D489" s="726">
        <f>SUMIF('ПО КОРИСНИЦИМА'!$G$6:$G$13997,"Свега за пројекат 1301-П22:",'ПО КОРИСНИЦИМА'!$H$6:$H$13997)</f>
        <v>0</v>
      </c>
      <c r="E489" s="719">
        <f t="shared" si="26"/>
        <v>0</v>
      </c>
      <c r="F489" s="727">
        <f>SUMIF('ПО КОРИСНИЦИМА'!$G$6:$G$13997,"Свега за пројекат 1301-П22:",'ПО КОРИСНИЦИМА'!$I$6:$I$13997)</f>
        <v>0</v>
      </c>
      <c r="G489" s="722">
        <f t="shared" si="13"/>
        <v>0</v>
      </c>
      <c r="H489" s="728"/>
    </row>
    <row r="490" spans="1:8" hidden="1">
      <c r="A490" s="696"/>
      <c r="B490" s="696" t="s">
        <v>4910</v>
      </c>
      <c r="C490" s="610" t="str">
        <f>IFERROR(VLOOKUP(B490,'ПО КОРИСНИЦИМА'!$C$6:$J$13997,5,FALSE),"")</f>
        <v/>
      </c>
      <c r="D490" s="726">
        <f>SUMIF('ПО КОРИСНИЦИМА'!$G$6:$G$13997,"Свега за пројекат 1301-П23:",'ПО КОРИСНИЦИМА'!$H$6:$H$13997)</f>
        <v>0</v>
      </c>
      <c r="E490" s="719">
        <f t="shared" si="26"/>
        <v>0</v>
      </c>
      <c r="F490" s="727">
        <f>SUMIF('ПО КОРИСНИЦИМА'!$G$6:$G$13997,"Свега за пројекат 1301-П23:",'ПО КОРИСНИЦИМА'!$I$6:$I$13997)</f>
        <v>0</v>
      </c>
      <c r="G490" s="722">
        <f t="shared" si="13"/>
        <v>0</v>
      </c>
      <c r="H490" s="728"/>
    </row>
    <row r="491" spans="1:8" hidden="1">
      <c r="A491" s="696"/>
      <c r="B491" s="696" t="s">
        <v>4911</v>
      </c>
      <c r="C491" s="610" t="str">
        <f>IFERROR(VLOOKUP(B491,'ПО КОРИСНИЦИМА'!$C$6:$J$13997,5,FALSE),"")</f>
        <v/>
      </c>
      <c r="D491" s="726">
        <f>SUMIF('ПО КОРИСНИЦИМА'!$G$6:$G$13997,"Свега за пројекат 1301-П24:",'ПО КОРИСНИЦИМА'!$H$6:$H$13997)</f>
        <v>0</v>
      </c>
      <c r="E491" s="719">
        <f t="shared" si="26"/>
        <v>0</v>
      </c>
      <c r="F491" s="727">
        <f>SUMIF('ПО КОРИСНИЦИМА'!$G$6:$G$13997,"Свега за пројекат 1301-П24:",'ПО КОРИСНИЦИМА'!$I$6:$I$13997)</f>
        <v>0</v>
      </c>
      <c r="G491" s="722">
        <f t="shared" si="13"/>
        <v>0</v>
      </c>
      <c r="H491" s="728"/>
    </row>
    <row r="492" spans="1:8" hidden="1">
      <c r="A492" s="696"/>
      <c r="B492" s="696" t="s">
        <v>4912</v>
      </c>
      <c r="C492" s="610" t="str">
        <f>IFERROR(VLOOKUP(B492,'ПО КОРИСНИЦИМА'!$C$6:$J$13997,5,FALSE),"")</f>
        <v/>
      </c>
      <c r="D492" s="726">
        <f>SUMIF('ПО КОРИСНИЦИМА'!$G$6:$G$13997,"Свега за пројекат 1301-П25:",'ПО КОРИСНИЦИМА'!$H$6:$H$13997)</f>
        <v>0</v>
      </c>
      <c r="E492" s="719">
        <f t="shared" si="26"/>
        <v>0</v>
      </c>
      <c r="F492" s="727">
        <f>SUMIF('ПО КОРИСНИЦИМА'!$G$6:$G$13997,"Свега за пројекат 1301-П25:",'ПО КОРИСНИЦИМА'!$I$6:$I$13997)</f>
        <v>0</v>
      </c>
      <c r="G492" s="722">
        <f t="shared" si="13"/>
        <v>0</v>
      </c>
      <c r="H492" s="728"/>
    </row>
    <row r="493" spans="1:8" hidden="1">
      <c r="A493" s="696"/>
      <c r="B493" s="696" t="s">
        <v>4913</v>
      </c>
      <c r="C493" s="610" t="str">
        <f>IFERROR(VLOOKUP(B493,'ПО КОРИСНИЦИМА'!$C$6:$J$13997,5,FALSE),"")</f>
        <v/>
      </c>
      <c r="D493" s="726">
        <f>SUMIF('ПО КОРИСНИЦИМА'!$G$6:$G$13997,"Свега за пројекат 1301-П26:",'ПО КОРИСНИЦИМА'!$H$6:$H$13997)</f>
        <v>0</v>
      </c>
      <c r="E493" s="719">
        <f t="shared" si="26"/>
        <v>0</v>
      </c>
      <c r="F493" s="727">
        <f>SUMIF('ПО КОРИСНИЦИМА'!$G$6:$G$13997,"Свега за пројекат 1301-П26:",'ПО КОРИСНИЦИМА'!$I$6:$I$13997)</f>
        <v>0</v>
      </c>
      <c r="G493" s="722">
        <f t="shared" si="13"/>
        <v>0</v>
      </c>
      <c r="H493" s="728"/>
    </row>
    <row r="494" spans="1:8" hidden="1">
      <c r="A494" s="696"/>
      <c r="B494" s="696" t="s">
        <v>4914</v>
      </c>
      <c r="C494" s="610" t="str">
        <f>IFERROR(VLOOKUP(B494,'ПО КОРИСНИЦИМА'!$C$6:$J$13997,5,FALSE),"")</f>
        <v/>
      </c>
      <c r="D494" s="726">
        <f>SUMIF('ПО КОРИСНИЦИМА'!$G$6:$G$13997,"Свега за пројекат 1301-П27:",'ПО КОРИСНИЦИМА'!$H$6:$H$13997)</f>
        <v>0</v>
      </c>
      <c r="E494" s="719">
        <f t="shared" si="26"/>
        <v>0</v>
      </c>
      <c r="F494" s="727">
        <f>SUMIF('ПО КОРИСНИЦИМА'!$G$6:$G$13997,"Свега за пројекат 1301-П27:",'ПО КОРИСНИЦИМА'!$I$6:$I$13997)</f>
        <v>0</v>
      </c>
      <c r="G494" s="722">
        <f t="shared" si="13"/>
        <v>0</v>
      </c>
      <c r="H494" s="728"/>
    </row>
    <row r="495" spans="1:8" hidden="1">
      <c r="A495" s="696"/>
      <c r="B495" s="696" t="s">
        <v>4915</v>
      </c>
      <c r="C495" s="610" t="str">
        <f>IFERROR(VLOOKUP(B495,'ПО КОРИСНИЦИМА'!$C$6:$J$13997,5,FALSE),"")</f>
        <v/>
      </c>
      <c r="D495" s="726">
        <f>SUMIF('ПО КОРИСНИЦИМА'!$G$6:$G$13997,"Свега за пројекат 1301-П28:",'ПО КОРИСНИЦИМА'!$H$6:$H$13997)</f>
        <v>0</v>
      </c>
      <c r="E495" s="719">
        <f t="shared" si="26"/>
        <v>0</v>
      </c>
      <c r="F495" s="727">
        <f>SUMIF('ПО КОРИСНИЦИМА'!$G$6:$G$13997,"Свега за пројекат 1301-П28:",'ПО КОРИСНИЦИМА'!$I$6:$I$13997)</f>
        <v>0</v>
      </c>
      <c r="G495" s="722">
        <f t="shared" si="13"/>
        <v>0</v>
      </c>
      <c r="H495" s="728"/>
    </row>
    <row r="496" spans="1:8" hidden="1">
      <c r="A496" s="696"/>
      <c r="B496" s="696" t="s">
        <v>4916</v>
      </c>
      <c r="C496" s="610" t="str">
        <f>IFERROR(VLOOKUP(B496,'ПО КОРИСНИЦИМА'!$C$6:$J$13997,5,FALSE),"")</f>
        <v/>
      </c>
      <c r="D496" s="726">
        <f>SUMIF('ПО КОРИСНИЦИМА'!$G$6:$G$13997,"Свега за пројекат 1301-П29:",'ПО КОРИСНИЦИМА'!$H$6:$H$13997)</f>
        <v>0</v>
      </c>
      <c r="E496" s="719">
        <f t="shared" si="26"/>
        <v>0</v>
      </c>
      <c r="F496" s="727">
        <f>SUMIF('ПО КОРИСНИЦИМА'!$G$6:$G$13997,"Свега за пројекат 1301-П29:",'ПО КОРИСНИЦИМА'!$I$6:$I$13997)</f>
        <v>0</v>
      </c>
      <c r="G496" s="722">
        <f t="shared" si="13"/>
        <v>0</v>
      </c>
      <c r="H496" s="728"/>
    </row>
    <row r="497" spans="1:8" hidden="1">
      <c r="A497" s="696"/>
      <c r="B497" s="696" t="s">
        <v>4917</v>
      </c>
      <c r="C497" s="610" t="str">
        <f>IFERROR(VLOOKUP(B497,'ПО КОРИСНИЦИМА'!$C$6:$J$13997,5,FALSE),"")</f>
        <v/>
      </c>
      <c r="D497" s="726">
        <f>SUMIF('ПО КОРИСНИЦИМА'!$G$6:$G$13997,"Свега за пројекат 1301-П30:",'ПО КОРИСНИЦИМА'!$H$6:$H$13997)</f>
        <v>0</v>
      </c>
      <c r="E497" s="719">
        <f t="shared" si="26"/>
        <v>0</v>
      </c>
      <c r="F497" s="727">
        <f>SUMIF('ПО КОРИСНИЦИМА'!$G$6:$G$13997,"Свега за пројекат 1301-П30:",'ПО КОРИСНИЦИМА'!$I$6:$I$13997)</f>
        <v>0</v>
      </c>
      <c r="G497" s="722">
        <f t="shared" si="13"/>
        <v>0</v>
      </c>
      <c r="H497" s="728"/>
    </row>
    <row r="498" spans="1:8" hidden="1">
      <c r="A498" s="696"/>
      <c r="B498" s="696" t="s">
        <v>4918</v>
      </c>
      <c r="C498" s="610" t="str">
        <f>IFERROR(VLOOKUP(B498,'ПО КОРИСНИЦИМА'!$C$6:$J$13997,5,FALSE),"")</f>
        <v/>
      </c>
      <c r="D498" s="726">
        <f>SUMIF('ПО КОРИСНИЦИМА'!$G$6:$G$13997,"Свега за пројекат 1301-П31:",'ПО КОРИСНИЦИМА'!$H$6:$H$13997)</f>
        <v>0</v>
      </c>
      <c r="E498" s="719">
        <f t="shared" si="26"/>
        <v>0</v>
      </c>
      <c r="F498" s="727">
        <f>SUMIF('ПО КОРИСНИЦИМА'!$G$6:$G$13997,"Свега за пројекат 1301-П31:",'ПО КОРИСНИЦИМА'!$I$6:$I$13997)</f>
        <v>0</v>
      </c>
      <c r="G498" s="722">
        <f t="shared" si="13"/>
        <v>0</v>
      </c>
      <c r="H498" s="728"/>
    </row>
    <row r="499" spans="1:8" hidden="1">
      <c r="A499" s="696"/>
      <c r="B499" s="696" t="s">
        <v>4919</v>
      </c>
      <c r="C499" s="610" t="str">
        <f>IFERROR(VLOOKUP(B499,'ПО КОРИСНИЦИМА'!$C$6:$J$13997,5,FALSE),"")</f>
        <v/>
      </c>
      <c r="D499" s="726">
        <f>SUMIF('ПО КОРИСНИЦИМА'!$G$6:$G$13997,"Свега за пројекат 1301-П32:",'ПО КОРИСНИЦИМА'!$H$6:$H$13997)</f>
        <v>0</v>
      </c>
      <c r="E499" s="719">
        <f t="shared" si="26"/>
        <v>0</v>
      </c>
      <c r="F499" s="727">
        <f>SUMIF('ПО КОРИСНИЦИМА'!$G$6:$G$13997,"Свега за пројекат 1301-П32:",'ПО КОРИСНИЦИМА'!$I$6:$I$13997)</f>
        <v>0</v>
      </c>
      <c r="G499" s="722">
        <f t="shared" si="13"/>
        <v>0</v>
      </c>
      <c r="H499" s="728"/>
    </row>
    <row r="500" spans="1:8" hidden="1">
      <c r="A500" s="696"/>
      <c r="B500" s="696" t="s">
        <v>4920</v>
      </c>
      <c r="C500" s="610" t="str">
        <f>IFERROR(VLOOKUP(B500,'ПО КОРИСНИЦИМА'!$C$6:$J$13997,5,FALSE),"")</f>
        <v/>
      </c>
      <c r="D500" s="726">
        <f>SUMIF('ПО КОРИСНИЦИМА'!$G$6:$G$13997,"Свега за пројекат 1301-П33:",'ПО КОРИСНИЦИМА'!$H$6:$H$13997)</f>
        <v>0</v>
      </c>
      <c r="E500" s="719">
        <f t="shared" si="26"/>
        <v>0</v>
      </c>
      <c r="F500" s="727">
        <f>SUMIF('ПО КОРИСНИЦИМА'!$G$6:$G$13997,"Свега за пројекат 1301-П33:",'ПО КОРИСНИЦИМА'!$I$6:$I$13997)</f>
        <v>0</v>
      </c>
      <c r="G500" s="722">
        <f t="shared" si="13"/>
        <v>0</v>
      </c>
      <c r="H500" s="728"/>
    </row>
    <row r="501" spans="1:8" hidden="1">
      <c r="A501" s="696"/>
      <c r="B501" s="696" t="s">
        <v>4921</v>
      </c>
      <c r="C501" s="610" t="str">
        <f>IFERROR(VLOOKUP(B501,'ПО КОРИСНИЦИМА'!$C$6:$J$13997,5,FALSE),"")</f>
        <v/>
      </c>
      <c r="D501" s="726">
        <f>SUMIF('ПО КОРИСНИЦИМА'!$G$6:$G$13997,"Свега за пројекат 1301-П34:",'ПО КОРИСНИЦИМА'!$H$6:$H$13997)</f>
        <v>0</v>
      </c>
      <c r="E501" s="719">
        <f t="shared" si="26"/>
        <v>0</v>
      </c>
      <c r="F501" s="727">
        <f>SUMIF('ПО КОРИСНИЦИМА'!$G$6:$G$13997,"Свега за пројекат 1301-П34:",'ПО КОРИСНИЦИМА'!$I$6:$I$13997)</f>
        <v>0</v>
      </c>
      <c r="G501" s="722">
        <f t="shared" si="13"/>
        <v>0</v>
      </c>
      <c r="H501" s="728"/>
    </row>
    <row r="502" spans="1:8" hidden="1">
      <c r="A502" s="696"/>
      <c r="B502" s="696" t="s">
        <v>4922</v>
      </c>
      <c r="C502" s="610" t="str">
        <f>IFERROR(VLOOKUP(B502,'ПО КОРИСНИЦИМА'!$C$6:$J$13997,5,FALSE),"")</f>
        <v/>
      </c>
      <c r="D502" s="726">
        <f>SUMIF('ПО КОРИСНИЦИМА'!$G$6:$G$13997,"Свега за пројекат 1301-П35:",'ПО КОРИСНИЦИМА'!$H$6:$H$13997)</f>
        <v>0</v>
      </c>
      <c r="E502" s="719">
        <f t="shared" si="26"/>
        <v>0</v>
      </c>
      <c r="F502" s="727">
        <f>SUMIF('ПО КОРИСНИЦИМА'!$G$6:$G$13997,"Свега за пројекат 1301-П35:",'ПО КОРИСНИЦИМА'!$I$6:$I$13997)</f>
        <v>0</v>
      </c>
      <c r="G502" s="722">
        <f t="shared" si="13"/>
        <v>0</v>
      </c>
      <c r="H502" s="728"/>
    </row>
    <row r="503" spans="1:8" hidden="1">
      <c r="A503" s="696"/>
      <c r="B503" s="696" t="s">
        <v>4923</v>
      </c>
      <c r="C503" s="610" t="str">
        <f>IFERROR(VLOOKUP(B503,'ПО КОРИСНИЦИМА'!$C$6:$J$13997,5,FALSE),"")</f>
        <v/>
      </c>
      <c r="D503" s="726">
        <f>SUMIF('ПО КОРИСНИЦИМА'!$G$6:$G$13997,"Свега за пројекат 1301-П36:",'ПО КОРИСНИЦИМА'!$H$6:$H$13997)</f>
        <v>0</v>
      </c>
      <c r="E503" s="719">
        <f t="shared" si="26"/>
        <v>0</v>
      </c>
      <c r="F503" s="727">
        <f>SUMIF('ПО КОРИСНИЦИМА'!$G$6:$G$13997,"Свега за пројекат 1301-П36:",'ПО КОРИСНИЦИМА'!$I$6:$I$13997)</f>
        <v>0</v>
      </c>
      <c r="G503" s="722">
        <f t="shared" si="13"/>
        <v>0</v>
      </c>
      <c r="H503" s="728"/>
    </row>
    <row r="504" spans="1:8" hidden="1">
      <c r="A504" s="696"/>
      <c r="B504" s="696" t="s">
        <v>4924</v>
      </c>
      <c r="C504" s="610" t="str">
        <f>IFERROR(VLOOKUP(B504,'ПО КОРИСНИЦИМА'!$C$6:$J$13997,5,FALSE),"")</f>
        <v/>
      </c>
      <c r="D504" s="726">
        <f>SUMIF('ПО КОРИСНИЦИМА'!$G$6:$G$13997,"Свега за пројекат 1301-П37:",'ПО КОРИСНИЦИМА'!$H$6:$H$13997)</f>
        <v>0</v>
      </c>
      <c r="E504" s="719">
        <f t="shared" si="26"/>
        <v>0</v>
      </c>
      <c r="F504" s="727">
        <f>SUMIF('ПО КОРИСНИЦИМА'!$G$6:$G$13997,"Свега за пројекат 1301-П37:",'ПО КОРИСНИЦИМА'!$I$6:$I$13997)</f>
        <v>0</v>
      </c>
      <c r="G504" s="722">
        <f t="shared" si="13"/>
        <v>0</v>
      </c>
      <c r="H504" s="728"/>
    </row>
    <row r="505" spans="1:8" hidden="1">
      <c r="A505" s="696"/>
      <c r="B505" s="696" t="s">
        <v>4925</v>
      </c>
      <c r="C505" s="610" t="str">
        <f>IFERROR(VLOOKUP(B505,'ПО КОРИСНИЦИМА'!$C$6:$J$13997,5,FALSE),"")</f>
        <v/>
      </c>
      <c r="D505" s="726">
        <f>SUMIF('ПО КОРИСНИЦИМА'!$G$6:$G$13997,"Свега за пројекат 1301-П38:",'ПО КОРИСНИЦИМА'!$H$6:$H$13997)</f>
        <v>0</v>
      </c>
      <c r="E505" s="719">
        <f t="shared" si="26"/>
        <v>0</v>
      </c>
      <c r="F505" s="727">
        <f>SUMIF('ПО КОРИСНИЦИМА'!$G$6:$G$13997,"Свега за пројекат 1301-П38:",'ПО КОРИСНИЦИМА'!$I$6:$I$13997)</f>
        <v>0</v>
      </c>
      <c r="G505" s="722">
        <f t="shared" si="13"/>
        <v>0</v>
      </c>
      <c r="H505" s="728"/>
    </row>
    <row r="506" spans="1:8" hidden="1">
      <c r="A506" s="696"/>
      <c r="B506" s="696" t="s">
        <v>4926</v>
      </c>
      <c r="C506" s="610" t="str">
        <f>IFERROR(VLOOKUP(B506,'ПО КОРИСНИЦИМА'!$C$6:$J$13997,5,FALSE),"")</f>
        <v/>
      </c>
      <c r="D506" s="726">
        <f>SUMIF('ПО КОРИСНИЦИМА'!$G$6:$G$13997,"Свега за пројекат 1301-П39:",'ПО КОРИСНИЦИМА'!$H$6:$H$13997)</f>
        <v>0</v>
      </c>
      <c r="E506" s="719">
        <f t="shared" si="26"/>
        <v>0</v>
      </c>
      <c r="F506" s="727">
        <f>SUMIF('ПО КОРИСНИЦИМА'!$G$6:$G$13997,"Свега за пројекат 1301-П39:",'ПО КОРИСНИЦИМА'!$I$6:$I$13997)</f>
        <v>0</v>
      </c>
      <c r="G506" s="722">
        <f t="shared" si="13"/>
        <v>0</v>
      </c>
      <c r="H506" s="728"/>
    </row>
    <row r="507" spans="1:8" hidden="1">
      <c r="A507" s="696"/>
      <c r="B507" s="696" t="s">
        <v>4927</v>
      </c>
      <c r="C507" s="610" t="str">
        <f>IFERROR(VLOOKUP(B507,'ПО КОРИСНИЦИМА'!$C$6:$J$13997,5,FALSE),"")</f>
        <v/>
      </c>
      <c r="D507" s="726">
        <f>SUMIF('ПО КОРИСНИЦИМА'!$G$6:$G$13997,"Свега за пројекат 1301-П40:",'ПО КОРИСНИЦИМА'!$H$6:$H$13997)</f>
        <v>0</v>
      </c>
      <c r="E507" s="719">
        <f t="shared" si="26"/>
        <v>0</v>
      </c>
      <c r="F507" s="727">
        <f>SUMIF('ПО КОРИСНИЦИМА'!$G$6:$G$13997,"Свега за пројекат 1301-П40:",'ПО КОРИСНИЦИМА'!$I$6:$I$13997)</f>
        <v>0</v>
      </c>
      <c r="G507" s="722">
        <f t="shared" si="13"/>
        <v>0</v>
      </c>
      <c r="H507" s="728"/>
    </row>
    <row r="508" spans="1:8" hidden="1">
      <c r="A508" s="696"/>
      <c r="B508" s="696" t="s">
        <v>4928</v>
      </c>
      <c r="C508" s="610" t="str">
        <f>IFERROR(VLOOKUP(B508,'ПО КОРИСНИЦИМА'!$C$6:$J$13997,5,FALSE),"")</f>
        <v/>
      </c>
      <c r="D508" s="726">
        <f>SUMIF('ПО КОРИСНИЦИМА'!$G$6:$G$13997,"Свега за пројекат 1301-П41:",'ПО КОРИСНИЦИМА'!$H$6:$H$13997)</f>
        <v>0</v>
      </c>
      <c r="E508" s="719">
        <f t="shared" si="26"/>
        <v>0</v>
      </c>
      <c r="F508" s="727">
        <f>SUMIF('ПО КОРИСНИЦИМА'!$G$6:$G$13997,"Свега за пројекат 1301-П41:",'ПО КОРИСНИЦИМА'!$I$6:$I$13997)</f>
        <v>0</v>
      </c>
      <c r="G508" s="722">
        <f t="shared" si="13"/>
        <v>0</v>
      </c>
      <c r="H508" s="728"/>
    </row>
    <row r="509" spans="1:8" hidden="1">
      <c r="A509" s="696"/>
      <c r="B509" s="696" t="s">
        <v>4929</v>
      </c>
      <c r="C509" s="610" t="str">
        <f>IFERROR(VLOOKUP(B509,'ПО КОРИСНИЦИМА'!$C$6:$J$13997,5,FALSE),"")</f>
        <v/>
      </c>
      <c r="D509" s="726">
        <f>SUMIF('ПО КОРИСНИЦИМА'!$G$6:$G$13997,"Свега за пројекат 1301-П42:",'ПО КОРИСНИЦИМА'!$H$6:$H$13997)</f>
        <v>0</v>
      </c>
      <c r="E509" s="719">
        <f t="shared" si="26"/>
        <v>0</v>
      </c>
      <c r="F509" s="727">
        <f>SUMIF('ПО КОРИСНИЦИМА'!$G$6:$G$13997,"Свега за пројекат 1301-П42:",'ПО КОРИСНИЦИМА'!$I$6:$I$13997)</f>
        <v>0</v>
      </c>
      <c r="G509" s="722">
        <f t="shared" si="13"/>
        <v>0</v>
      </c>
      <c r="H509" s="728"/>
    </row>
    <row r="510" spans="1:8" hidden="1">
      <c r="A510" s="696"/>
      <c r="B510" s="696" t="s">
        <v>4930</v>
      </c>
      <c r="C510" s="610" t="str">
        <f>IFERROR(VLOOKUP(B510,'ПО КОРИСНИЦИМА'!$C$6:$J$13997,5,FALSE),"")</f>
        <v/>
      </c>
      <c r="D510" s="726">
        <f>SUMIF('ПО КОРИСНИЦИМА'!$G$6:$G$13997,"Свега за пројекат 1301-П43:",'ПО КОРИСНИЦИМА'!$H$6:$H$13997)</f>
        <v>0</v>
      </c>
      <c r="E510" s="719">
        <f t="shared" si="26"/>
        <v>0</v>
      </c>
      <c r="F510" s="727">
        <f>SUMIF('ПО КОРИСНИЦИМА'!$G$6:$G$13997,"Свега за пројекат 1301-П43:",'ПО КОРИСНИЦИМА'!$I$6:$I$13997)</f>
        <v>0</v>
      </c>
      <c r="G510" s="722">
        <f t="shared" si="13"/>
        <v>0</v>
      </c>
      <c r="H510" s="728"/>
    </row>
    <row r="511" spans="1:8" hidden="1">
      <c r="A511" s="696"/>
      <c r="B511" s="696" t="s">
        <v>4931</v>
      </c>
      <c r="C511" s="610" t="str">
        <f>IFERROR(VLOOKUP(B511,'ПО КОРИСНИЦИМА'!$C$6:$J$13997,5,FALSE),"")</f>
        <v/>
      </c>
      <c r="D511" s="726">
        <f>SUMIF('ПО КОРИСНИЦИМА'!$G$6:$G$13997,"Свега за пројекат 1301-П44:",'ПО КОРИСНИЦИМА'!$H$6:$H$13997)</f>
        <v>0</v>
      </c>
      <c r="E511" s="719">
        <f t="shared" si="26"/>
        <v>0</v>
      </c>
      <c r="F511" s="727">
        <f>SUMIF('ПО КОРИСНИЦИМА'!$G$6:$G$13997,"Свега за пројекат 1301-П44:",'ПО КОРИСНИЦИМА'!$I$6:$I$13997)</f>
        <v>0</v>
      </c>
      <c r="G511" s="722">
        <f t="shared" si="13"/>
        <v>0</v>
      </c>
      <c r="H511" s="728"/>
    </row>
    <row r="512" spans="1:8" hidden="1">
      <c r="A512" s="696"/>
      <c r="B512" s="696" t="s">
        <v>4932</v>
      </c>
      <c r="C512" s="610" t="str">
        <f>IFERROR(VLOOKUP(B512,'ПО КОРИСНИЦИМА'!$C$6:$J$13997,5,FALSE),"")</f>
        <v/>
      </c>
      <c r="D512" s="726">
        <f>SUMIF('ПО КОРИСНИЦИМА'!$G$6:$G$13997,"Свега за пројекат 1301-П45:",'ПО КОРИСНИЦИМА'!$H$6:$H$13997)</f>
        <v>0</v>
      </c>
      <c r="E512" s="719">
        <f t="shared" si="26"/>
        <v>0</v>
      </c>
      <c r="F512" s="727">
        <f>SUMIF('ПО КОРИСНИЦИМА'!$G$6:$G$13997,"Свега за пројекат 1301-П45:",'ПО КОРИСНИЦИМА'!$I$6:$I$13997)</f>
        <v>0</v>
      </c>
      <c r="G512" s="722">
        <f t="shared" si="13"/>
        <v>0</v>
      </c>
      <c r="H512" s="728"/>
    </row>
    <row r="513" spans="1:8" hidden="1">
      <c r="A513" s="696"/>
      <c r="B513" s="696" t="s">
        <v>4933</v>
      </c>
      <c r="C513" s="610" t="str">
        <f>IFERROR(VLOOKUP(B513,'ПО КОРИСНИЦИМА'!$C$6:$J$13997,5,FALSE),"")</f>
        <v/>
      </c>
      <c r="D513" s="726">
        <f>SUMIF('ПО КОРИСНИЦИМА'!$G$6:$G$13997,"Свега за пројекат 1301-П46:",'ПО КОРИСНИЦИМА'!$H$6:$H$13997)</f>
        <v>0</v>
      </c>
      <c r="E513" s="719">
        <f t="shared" si="26"/>
        <v>0</v>
      </c>
      <c r="F513" s="727">
        <f>SUMIF('ПО КОРИСНИЦИМА'!$G$6:$G$13997,"Свега за пројекат 1301-П46:",'ПО КОРИСНИЦИМА'!$I$6:$I$13997)</f>
        <v>0</v>
      </c>
      <c r="G513" s="722">
        <f t="shared" si="13"/>
        <v>0</v>
      </c>
      <c r="H513" s="728"/>
    </row>
    <row r="514" spans="1:8" hidden="1">
      <c r="A514" s="696"/>
      <c r="B514" s="696" t="s">
        <v>4934</v>
      </c>
      <c r="C514" s="610" t="str">
        <f>IFERROR(VLOOKUP(B514,'ПО КОРИСНИЦИМА'!$C$6:$J$13997,5,FALSE),"")</f>
        <v/>
      </c>
      <c r="D514" s="726">
        <f>SUMIF('ПО КОРИСНИЦИМА'!$G$6:$G$13997,"Свега за пројекат 1301-П47:",'ПО КОРИСНИЦИМА'!$H$6:$H$13997)</f>
        <v>0</v>
      </c>
      <c r="E514" s="719">
        <f t="shared" si="26"/>
        <v>0</v>
      </c>
      <c r="F514" s="727">
        <f>SUMIF('ПО КОРИСНИЦИМА'!$G$6:$G$13997,"Свега за пројекат 1301-П47:",'ПО КОРИСНИЦИМА'!$I$6:$I$13997)</f>
        <v>0</v>
      </c>
      <c r="G514" s="722">
        <f t="shared" si="13"/>
        <v>0</v>
      </c>
      <c r="H514" s="728"/>
    </row>
    <row r="515" spans="1:8" hidden="1">
      <c r="A515" s="696"/>
      <c r="B515" s="696" t="s">
        <v>4935</v>
      </c>
      <c r="C515" s="610" t="str">
        <f>IFERROR(VLOOKUP(B515,'ПО КОРИСНИЦИМА'!$C$6:$J$13997,5,FALSE),"")</f>
        <v/>
      </c>
      <c r="D515" s="726">
        <f>SUMIF('ПО КОРИСНИЦИМА'!$G$6:$G$13997,"Свега за пројекат 1301-П48:",'ПО КОРИСНИЦИМА'!$H$6:$H$13997)</f>
        <v>0</v>
      </c>
      <c r="E515" s="719">
        <f t="shared" si="26"/>
        <v>0</v>
      </c>
      <c r="F515" s="727">
        <f>SUMIF('ПО КОРИСНИЦИМА'!$G$6:$G$13997,"Свега за пројекат 1301-П48:",'ПО КОРИСНИЦИМА'!$I$6:$I$13997)</f>
        <v>0</v>
      </c>
      <c r="G515" s="722">
        <f t="shared" si="13"/>
        <v>0</v>
      </c>
      <c r="H515" s="725"/>
    </row>
    <row r="516" spans="1:8" hidden="1">
      <c r="A516" s="696"/>
      <c r="B516" s="696" t="s">
        <v>4936</v>
      </c>
      <c r="C516" s="610" t="str">
        <f>IFERROR(VLOOKUP(B516,'ПО КОРИСНИЦИМА'!$C$6:$J$13997,5,FALSE),"")</f>
        <v/>
      </c>
      <c r="D516" s="726">
        <f>SUMIF('ПО КОРИСНИЦИМА'!$G$6:$G$13997,"Свега за пројекат 1301-П49:",'ПО КОРИСНИЦИМА'!$H$6:$H$13997)</f>
        <v>0</v>
      </c>
      <c r="E516" s="719">
        <f t="shared" si="26"/>
        <v>0</v>
      </c>
      <c r="F516" s="727">
        <f>SUMIF('ПО КОРИСНИЦИМА'!$G$6:$G$13997,"Свега за пројекат 1301-П49:",'ПО КОРИСНИЦИМА'!$I$6:$I$13997)</f>
        <v>0</v>
      </c>
      <c r="G516" s="722">
        <f t="shared" si="13"/>
        <v>0</v>
      </c>
      <c r="H516" s="725"/>
    </row>
    <row r="517" spans="1:8" hidden="1">
      <c r="A517" s="697"/>
      <c r="B517" s="696" t="s">
        <v>4937</v>
      </c>
      <c r="C517" s="610" t="str">
        <f>IFERROR(VLOOKUP(B517,'ПО КОРИСНИЦИМА'!$C$6:$J$13997,5,FALSE),"")</f>
        <v/>
      </c>
      <c r="D517" s="726">
        <f>SUMIF('ПО КОРИСНИЦИМА'!$G$6:$G$13997,"Свега за пројекат 1301-П50:",'ПО КОРИСНИЦИМА'!$H$6:$H$13997)</f>
        <v>0</v>
      </c>
      <c r="E517" s="719">
        <f t="shared" si="26"/>
        <v>0</v>
      </c>
      <c r="F517" s="727">
        <f>SUMIF('ПО КОРИСНИЦИМА'!$G$6:$G$13997,"Свега за пројекат 1301-П50:",'ПО КОРИСНИЦИМА'!$I$6:$I$13997)</f>
        <v>0</v>
      </c>
      <c r="G517" s="722">
        <f t="shared" si="13"/>
        <v>0</v>
      </c>
      <c r="H517" s="734"/>
    </row>
    <row r="518" spans="1:8" s="694" customFormat="1">
      <c r="A518" s="687" t="s">
        <v>3600</v>
      </c>
      <c r="B518" s="688"/>
      <c r="C518" s="608" t="s">
        <v>3679</v>
      </c>
      <c r="D518" s="714">
        <f>SUM(D519:D598)</f>
        <v>132967953</v>
      </c>
      <c r="E518" s="715">
        <f>IFERROR(D518/$D$599,"-")</f>
        <v>0.28029609141456951</v>
      </c>
      <c r="F518" s="716">
        <f>SUM(F519:F598)</f>
        <v>0</v>
      </c>
      <c r="G518" s="714">
        <f t="shared" si="13"/>
        <v>132967953</v>
      </c>
      <c r="H518" s="735"/>
    </row>
    <row r="519" spans="1:8">
      <c r="A519" s="690"/>
      <c r="B519" s="584" t="s">
        <v>4138</v>
      </c>
      <c r="C519" s="611" t="s">
        <v>4139</v>
      </c>
      <c r="D519" s="718">
        <f>SUMIF('ПО КОРИСНИЦИМА'!$G$6:$G$13997,"Свега за програмску активност 0602-0001:",'ПО КОРИСНИЦИМА'!$H$6:$H$13997)</f>
        <v>124763153</v>
      </c>
      <c r="E519" s="719">
        <f>IFERROR(D519/$D$599,"-")</f>
        <v>0.26300039482790205</v>
      </c>
      <c r="F519" s="720">
        <f>SUMIF('ПО КОРИСНИЦИМА'!$G$6:$G$13997,"Свега за програмску активност 0602-0001:",'ПО КОРИСНИЦИМА'!$I$6:$I$13997)</f>
        <v>0</v>
      </c>
      <c r="G519" s="742">
        <f t="shared" ref="G519:G599" si="27">D519+F519</f>
        <v>124763153</v>
      </c>
      <c r="H519" s="721"/>
    </row>
    <row r="520" spans="1:8">
      <c r="A520" s="692"/>
      <c r="B520" s="90" t="s">
        <v>4140</v>
      </c>
      <c r="C520" s="612" t="s">
        <v>3662</v>
      </c>
      <c r="D520" s="722">
        <f>SUMIF('ПО КОРИСНИЦИМА'!$G$6:$G$13997,"Свега за програмску активност 0602-0002:",'ПО КОРИСНИЦИМА'!$H$6:$H$13997)</f>
        <v>600000</v>
      </c>
      <c r="E520" s="719">
        <f t="shared" ref="E520:E583" si="28">IFERROR(D520/$D$599,"-")</f>
        <v>1.2647984048362519E-3</v>
      </c>
      <c r="F520" s="724">
        <f>SUMIF('ПО КОРИСНИЦИМА'!$G$6:$G$13997,"Свега за програмску активност 0602-0002:",'ПО КОРИСНИЦИМА'!$I$6:$I$13997)</f>
        <v>0</v>
      </c>
      <c r="G520" s="743">
        <f t="shared" si="27"/>
        <v>600000</v>
      </c>
      <c r="H520" s="725"/>
    </row>
    <row r="521" spans="1:8" hidden="1">
      <c r="A521" s="692"/>
      <c r="B521" s="90" t="s">
        <v>4141</v>
      </c>
      <c r="C521" s="612" t="s">
        <v>4142</v>
      </c>
      <c r="D521" s="722">
        <f>SUMIF('ПО КОРИСНИЦИМА'!$G$6:$G$13997,"Свега за програмску активност 0602-0003:",'ПО КОРИСНИЦИМА'!$H$6:$H$13997)</f>
        <v>0</v>
      </c>
      <c r="E521" s="719">
        <f t="shared" si="28"/>
        <v>0</v>
      </c>
      <c r="F521" s="724">
        <f>SUMIF('ПО КОРИСНИЦИМА'!$G$6:$G$13997,"Свега за програмску активност 0602-0003:",'ПО КОРИСНИЦИМА'!$I$6:$I$13997)</f>
        <v>0</v>
      </c>
      <c r="G521" s="743">
        <f t="shared" si="27"/>
        <v>0</v>
      </c>
      <c r="H521" s="725"/>
    </row>
    <row r="522" spans="1:8">
      <c r="A522" s="692"/>
      <c r="B522" s="90" t="s">
        <v>4143</v>
      </c>
      <c r="C522" s="612" t="s">
        <v>4144</v>
      </c>
      <c r="D522" s="722">
        <f>SUMIF('ПО КОРИСНИЦИМА'!$G$6:$G$13997,"Свега за програмску активност 0602-0004:",'ПО КОРИСНИЦИМА'!$H$6:$H$13997)</f>
        <v>1670800</v>
      </c>
      <c r="E522" s="719">
        <f t="shared" si="28"/>
        <v>3.5220419580006827E-3</v>
      </c>
      <c r="F522" s="724">
        <f>SUMIF('ПО КОРИСНИЦИМА'!$G$6:$G$13997,"Свега за програмску активност 0602-0004:",'ПО КОРИСНИЦИМА'!$I$6:$I$13997)</f>
        <v>0</v>
      </c>
      <c r="G522" s="743">
        <f t="shared" si="27"/>
        <v>1670800</v>
      </c>
      <c r="H522" s="725"/>
    </row>
    <row r="523" spans="1:8" hidden="1">
      <c r="A523" s="692"/>
      <c r="B523" s="90" t="s">
        <v>4145</v>
      </c>
      <c r="C523" s="612" t="s">
        <v>3664</v>
      </c>
      <c r="D523" s="722">
        <f>SUMIF('ПО КОРИСНИЦИМА'!$G$6:$G$13997,"Свега за програмску активност 0602-0005:",'ПО КОРИСНИЦИМА'!$H$6:$H$13997)</f>
        <v>0</v>
      </c>
      <c r="E523" s="719">
        <f t="shared" si="28"/>
        <v>0</v>
      </c>
      <c r="F523" s="724">
        <f>SUMIF('ПО КОРИСНИЦИМА'!$G$6:$G$13997,"Свега за програмску активност 0602-0005:",'ПО КОРИСНИЦИМА'!$I$6:$I$13997)</f>
        <v>0</v>
      </c>
      <c r="G523" s="743">
        <f t="shared" si="27"/>
        <v>0</v>
      </c>
      <c r="H523" s="725"/>
    </row>
    <row r="524" spans="1:8" hidden="1">
      <c r="A524" s="692"/>
      <c r="B524" s="90" t="s">
        <v>4146</v>
      </c>
      <c r="C524" s="612" t="s">
        <v>4147</v>
      </c>
      <c r="D524" s="722">
        <f>SUMIF('ПО КОРИСНИЦИМА'!$G$6:$G$13997,"Свега за програмску активност 0602-0006:",'ПО КОРИСНИЦИМА'!$H$6:$H$13997)</f>
        <v>0</v>
      </c>
      <c r="E524" s="719">
        <f t="shared" si="28"/>
        <v>0</v>
      </c>
      <c r="F524" s="724">
        <f>SUMIF('ПО КОРИСНИЦИМА'!$G$6:$G$13997,"Свега за програмску активност 0602-0006:",'ПО КОРИСНИЦИМА'!$I$6:$I$13997)</f>
        <v>0</v>
      </c>
      <c r="G524" s="743">
        <f t="shared" si="27"/>
        <v>0</v>
      </c>
      <c r="H524" s="725"/>
    </row>
    <row r="525" spans="1:8">
      <c r="A525" s="692"/>
      <c r="B525" s="90" t="s">
        <v>4148</v>
      </c>
      <c r="C525" s="612" t="s">
        <v>3663</v>
      </c>
      <c r="D525" s="722">
        <f>SUMIF('ПО КОРИСНИЦИМА'!$G$6:$G$13997,"Свега за програмску активност 0602-0007:",'ПО КОРИСНИЦИМА'!$H$6:$H$13997)</f>
        <v>834000</v>
      </c>
      <c r="E525" s="719">
        <f t="shared" si="28"/>
        <v>1.7580697827223901E-3</v>
      </c>
      <c r="F525" s="724">
        <f>SUMIF('ПО КОРИСНИЦИМА'!$G$6:$G$13997,"Свега за програмску активност 0602-0007:",'ПО КОРИСНИЦИМА'!$I$6:$I$13997)</f>
        <v>0</v>
      </c>
      <c r="G525" s="743">
        <f t="shared" si="27"/>
        <v>834000</v>
      </c>
      <c r="H525" s="725"/>
    </row>
    <row r="526" spans="1:8" hidden="1">
      <c r="A526" s="692"/>
      <c r="B526" s="90" t="s">
        <v>4149</v>
      </c>
      <c r="C526" s="612" t="s">
        <v>4150</v>
      </c>
      <c r="D526" s="722">
        <f>SUMIF('ПО КОРИСНИЦИМА'!$G$6:$G$13997,"Свега за програмску активност 0602-0008:",'ПО КОРИСНИЦИМА'!$H$6:$H$13997)</f>
        <v>0</v>
      </c>
      <c r="E526" s="719">
        <f t="shared" si="28"/>
        <v>0</v>
      </c>
      <c r="F526" s="724">
        <f>SUMIF('ПО КОРИСНИЦИМА'!$G$6:$G$13997,"Свега за програмску активност 0602-0008:",'ПО КОРИСНИЦИМА'!$I$6:$I$13997)</f>
        <v>0</v>
      </c>
      <c r="G526" s="743">
        <f t="shared" si="27"/>
        <v>0</v>
      </c>
      <c r="H526" s="725"/>
    </row>
    <row r="527" spans="1:8" hidden="1">
      <c r="A527" s="692"/>
      <c r="B527" s="90" t="s">
        <v>4151</v>
      </c>
      <c r="C527" s="612" t="s">
        <v>4152</v>
      </c>
      <c r="D527" s="722">
        <f>SUMIF('ПО КОРИСНИЦИМА'!$G$6:$G$13997,"Свега за програмску активност 0602-0009:",'ПО КОРИСНИЦИМА'!$H$6:$H$13997)</f>
        <v>0</v>
      </c>
      <c r="E527" s="719">
        <f t="shared" si="28"/>
        <v>0</v>
      </c>
      <c r="F527" s="724">
        <f>SUMIF('ПО КОРИСНИЦИМА'!$G$6:$G$13997,"Свега за програмску активност 0602-0009:",'ПО КОРИСНИЦИМА'!$I$6:$I$13997)</f>
        <v>0</v>
      </c>
      <c r="G527" s="743">
        <f t="shared" si="27"/>
        <v>0</v>
      </c>
      <c r="H527" s="725"/>
    </row>
    <row r="528" spans="1:8">
      <c r="A528" s="692"/>
      <c r="B528" s="90" t="s">
        <v>4153</v>
      </c>
      <c r="C528" s="612" t="s">
        <v>4154</v>
      </c>
      <c r="D528" s="722">
        <f>SUMIF('ПО КОРИСНИЦИМА'!$G$6:$G$13997,"Свега за програмску активност 0602-0010:",'ПО КОРИСНИЦИМА'!$H$6:$H$13997)</f>
        <v>5100000</v>
      </c>
      <c r="E528" s="719">
        <f t="shared" si="28"/>
        <v>1.075078644110814E-2</v>
      </c>
      <c r="F528" s="724">
        <f>SUMIF('ПО КОРИСНИЦИМА'!$G$6:$G$13997,"Свега за програмску активност 0602-0010:",'ПО КОРИСНИЦИМА'!$I$6:$I$13997)</f>
        <v>0</v>
      </c>
      <c r="G528" s="743">
        <f t="shared" si="27"/>
        <v>5100000</v>
      </c>
      <c r="H528" s="725"/>
    </row>
    <row r="529" spans="1:8" hidden="1">
      <c r="A529" s="692"/>
      <c r="B529" s="90" t="s">
        <v>4938</v>
      </c>
      <c r="C529" s="610" t="str">
        <f>IFERROR(VLOOKUP(B529,'ПО КОРИСНИЦИМА'!$C$6:$J$13997,5,FALSE),"")</f>
        <v xml:space="preserve">Прослава Дана особођења Града </v>
      </c>
      <c r="D529" s="726">
        <f>SUMIF('ПО КОРИСНИЦИМА'!$G$6:$G$13997,"Свега за пројекат 0602-П1:",'ПО КОРИСНИЦИМА'!$H$6:$H$13997)</f>
        <v>0</v>
      </c>
      <c r="E529" s="723">
        <f>IFERROR(D529/$D$599,"-")</f>
        <v>0</v>
      </c>
      <c r="F529" s="727">
        <f>SUMIF('ПО КОРИСНИЦИМА'!$G$6:$G$13997,"Свега за пројекат 0602-П1:",'ПО КОРИСНИЦИМА'!$I$6:$I$13997)</f>
        <v>0</v>
      </c>
      <c r="G529" s="743">
        <f t="shared" si="27"/>
        <v>0</v>
      </c>
      <c r="H529" s="725"/>
    </row>
    <row r="530" spans="1:8" hidden="1">
      <c r="A530" s="692"/>
      <c r="B530" s="90" t="s">
        <v>4939</v>
      </c>
      <c r="C530" s="610" t="str">
        <f>IFERROR(VLOOKUP(B530,'ПО КОРИСНИЦИМА'!$C$6:$J$13997,5,FALSE),"")</f>
        <v>Прослава Градске славе - Света Тројица</v>
      </c>
      <c r="D530" s="726">
        <f>SUMIF('ПО КОРИСНИЦИМА'!$G$6:$G$13997,"Свега за пројекат 0602-П2:",'ПО КОРИСНИЦИМА'!$H$6:$H$13997)</f>
        <v>0</v>
      </c>
      <c r="E530" s="719">
        <f t="shared" si="28"/>
        <v>0</v>
      </c>
      <c r="F530" s="727">
        <f>SUMIF('ПО КОРИСНИЦИМА'!$G$6:$G$13997,"Свега за пројекат 0602-П2:",'ПО КОРИСНИЦИМА'!$I$6:$I$13997)</f>
        <v>0</v>
      </c>
      <c r="G530" s="743">
        <f t="shared" si="27"/>
        <v>0</v>
      </c>
      <c r="H530" s="725"/>
    </row>
    <row r="531" spans="1:8" hidden="1">
      <c r="A531" s="692"/>
      <c r="B531" s="90" t="s">
        <v>4940</v>
      </c>
      <c r="C531" s="610">
        <f>IFERROR(VLOOKUP(B531,'ПО КОРИСНИЦИМА'!$C$6:$J$13997,5,FALSE),"")</f>
        <v>0</v>
      </c>
      <c r="D531" s="726">
        <f>SUMIF('ПО КОРИСНИЦИМА'!$G$6:$G$13997,"Свега за пројекат 0602-П3:",'ПО КОРИСНИЦИМА'!$H$6:$H$13997)</f>
        <v>0</v>
      </c>
      <c r="E531" s="719">
        <f t="shared" si="28"/>
        <v>0</v>
      </c>
      <c r="F531" s="727">
        <f>SUMIF('ПО КОРИСНИЦИМА'!$G$6:$G$13997,"Свега за пројекат 0602-П3:",'ПО КОРИСНИЦИМА'!$I$6:$I$13997)</f>
        <v>0</v>
      </c>
      <c r="G531" s="743">
        <f t="shared" si="27"/>
        <v>0</v>
      </c>
      <c r="H531" s="728"/>
    </row>
    <row r="532" spans="1:8" hidden="1">
      <c r="A532" s="692"/>
      <c r="B532" s="90" t="s">
        <v>4941</v>
      </c>
      <c r="C532" s="610" t="str">
        <f>IFERROR(VLOOKUP(B532,'ПО КОРИСНИЦИМА'!$C$6:$J$13997,5,FALSE),"")</f>
        <v/>
      </c>
      <c r="D532" s="726">
        <f>SUMIF('ПО КОРИСНИЦИМА'!$G$6:$G$13997,"Свега за пројекат 0602-П4:",'ПО КОРИСНИЦИМА'!$H$6:$H$13997)</f>
        <v>0</v>
      </c>
      <c r="E532" s="719">
        <f t="shared" si="28"/>
        <v>0</v>
      </c>
      <c r="F532" s="727">
        <f>SUMIF('ПО КОРИСНИЦИМА'!$G$6:$G$13997,"Свега за пројекат 0602-П4:",'ПО КОРИСНИЦИМА'!$I$6:$I$13997)</f>
        <v>0</v>
      </c>
      <c r="G532" s="743">
        <f t="shared" si="27"/>
        <v>0</v>
      </c>
      <c r="H532" s="728"/>
    </row>
    <row r="533" spans="1:8" hidden="1">
      <c r="A533" s="692"/>
      <c r="B533" s="90" t="s">
        <v>4942</v>
      </c>
      <c r="C533" s="610" t="str">
        <f>IFERROR(VLOOKUP(B533,'ПО КОРИСНИЦИМА'!$C$6:$J$13997,5,FALSE),"")</f>
        <v/>
      </c>
      <c r="D533" s="726">
        <f>SUMIF('ПО КОРИСНИЦИМА'!$G$6:$G$13997,"Свега за пројекат 0602-П5:",'ПО КОРИСНИЦИМА'!$H$6:$H$13997)</f>
        <v>0</v>
      </c>
      <c r="E533" s="719">
        <f t="shared" si="28"/>
        <v>0</v>
      </c>
      <c r="F533" s="727">
        <f>SUMIF('ПО КОРИСНИЦИМА'!$G$6:$G$13997,"Свега за пројекат 0602-П5:",'ПО КОРИСНИЦИМА'!$I$6:$I$13997)</f>
        <v>0</v>
      </c>
      <c r="G533" s="743">
        <f t="shared" si="27"/>
        <v>0</v>
      </c>
      <c r="H533" s="728"/>
    </row>
    <row r="534" spans="1:8" hidden="1">
      <c r="A534" s="692"/>
      <c r="B534" s="90" t="s">
        <v>4943</v>
      </c>
      <c r="C534" s="610" t="str">
        <f>IFERROR(VLOOKUP(B534,'ПО КОРИСНИЦИМА'!$C$6:$J$13997,5,FALSE),"")</f>
        <v/>
      </c>
      <c r="D534" s="726">
        <f>SUMIF('ПО КОРИСНИЦИМА'!$G$6:$G$13997,"Свега за пројекат 0602-П6:",'ПО КОРИСНИЦИМА'!$H$6:$H$13997)</f>
        <v>0</v>
      </c>
      <c r="E534" s="719">
        <f t="shared" si="28"/>
        <v>0</v>
      </c>
      <c r="F534" s="727">
        <f>SUMIF('ПО КОРИСНИЦИМА'!$G$6:$G$13997,"Свега за пројекат 0602-П6:",'ПО КОРИСНИЦИМА'!$I$6:$I$13997)</f>
        <v>0</v>
      </c>
      <c r="G534" s="743">
        <f t="shared" si="27"/>
        <v>0</v>
      </c>
      <c r="H534" s="728"/>
    </row>
    <row r="535" spans="1:8" hidden="1">
      <c r="A535" s="692"/>
      <c r="B535" s="90" t="s">
        <v>4944</v>
      </c>
      <c r="C535" s="610" t="str">
        <f>IFERROR(VLOOKUP(B535,'ПО КОРИСНИЦИМА'!$C$6:$J$13997,5,FALSE),"")</f>
        <v/>
      </c>
      <c r="D535" s="726">
        <f>SUMIF('ПО КОРИСНИЦИМА'!$G$6:$G$13997,"Свега за пројекат 0602-П7:",'ПО КОРИСНИЦИМА'!$H$6:$H$13997)</f>
        <v>0</v>
      </c>
      <c r="E535" s="719">
        <f t="shared" si="28"/>
        <v>0</v>
      </c>
      <c r="F535" s="727">
        <f>SUMIF('ПО КОРИСНИЦИМА'!$G$6:$G$13997,"Свега за пројекат 0602-П7:",'ПО КОРИСНИЦИМА'!$I$6:$I$13997)</f>
        <v>0</v>
      </c>
      <c r="G535" s="743">
        <f t="shared" si="27"/>
        <v>0</v>
      </c>
      <c r="H535" s="728"/>
    </row>
    <row r="536" spans="1:8" hidden="1">
      <c r="A536" s="692"/>
      <c r="B536" s="90" t="s">
        <v>4945</v>
      </c>
      <c r="C536" s="610" t="str">
        <f>IFERROR(VLOOKUP(B536,'ПО КОРИСНИЦИМА'!$C$6:$J$13997,5,FALSE),"")</f>
        <v/>
      </c>
      <c r="D536" s="726">
        <f>SUMIF('ПО КОРИСНИЦИМА'!$G$6:$G$13997,"Свега за пројекат 0602-П8:",'ПО КОРИСНИЦИМА'!$H$6:$H$13997)</f>
        <v>0</v>
      </c>
      <c r="E536" s="719">
        <f t="shared" si="28"/>
        <v>0</v>
      </c>
      <c r="F536" s="727">
        <f>SUMIF('ПО КОРИСНИЦИМА'!$G$6:$G$13997,"Свега за пројекат 0602-П8:",'ПО КОРИСНИЦИМА'!$I$6:$I$13997)</f>
        <v>0</v>
      </c>
      <c r="G536" s="743">
        <f t="shared" si="27"/>
        <v>0</v>
      </c>
      <c r="H536" s="728"/>
    </row>
    <row r="537" spans="1:8" hidden="1">
      <c r="A537" s="692"/>
      <c r="B537" s="90" t="s">
        <v>4946</v>
      </c>
      <c r="C537" s="610" t="str">
        <f>IFERROR(VLOOKUP(B537,'ПО КОРИСНИЦИМА'!$C$6:$J$13997,5,FALSE),"")</f>
        <v/>
      </c>
      <c r="D537" s="726">
        <f>SUMIF('ПО КОРИСНИЦИМА'!$G$6:$G$13997,"Свега за пројекат 0602-П9:",'ПО КОРИСНИЦИМА'!$H$6:$H$13997)</f>
        <v>0</v>
      </c>
      <c r="E537" s="719">
        <f t="shared" si="28"/>
        <v>0</v>
      </c>
      <c r="F537" s="727">
        <f>SUMIF('ПО КОРИСНИЦИМА'!$G$6:$G$13997,"Свега за пројекат 0602-П9:",'ПО КОРИСНИЦИМА'!$I$6:$I$13997)</f>
        <v>0</v>
      </c>
      <c r="G537" s="743">
        <f t="shared" si="27"/>
        <v>0</v>
      </c>
      <c r="H537" s="728"/>
    </row>
    <row r="538" spans="1:8" hidden="1">
      <c r="A538" s="692"/>
      <c r="B538" s="90" t="s">
        <v>4947</v>
      </c>
      <c r="C538" s="610" t="str">
        <f>IFERROR(VLOOKUP(B538,'ПО КОРИСНИЦИМА'!$C$6:$J$13997,5,FALSE),"")</f>
        <v/>
      </c>
      <c r="D538" s="726">
        <f>SUMIF('ПО КОРИСНИЦИМА'!$G$6:$G$13997,"Свега за пројекат 0602-П10:",'ПО КОРИСНИЦИМА'!$H$6:$H$13997)</f>
        <v>0</v>
      </c>
      <c r="E538" s="719">
        <f t="shared" si="28"/>
        <v>0</v>
      </c>
      <c r="F538" s="727">
        <f>SUMIF('ПО КОРИСНИЦИМА'!$G$6:$G$13997,"Свега за пројекат 0602-П10:",'ПО КОРИСНИЦИМА'!$I$6:$I$13997)</f>
        <v>0</v>
      </c>
      <c r="G538" s="744">
        <f t="shared" si="27"/>
        <v>0</v>
      </c>
      <c r="H538" s="728"/>
    </row>
    <row r="539" spans="1:8" hidden="1">
      <c r="A539" s="692"/>
      <c r="B539" s="90" t="s">
        <v>4948</v>
      </c>
      <c r="C539" s="610" t="str">
        <f>IFERROR(VLOOKUP(B539,'ПО КОРИСНИЦИМА'!$C$6:$J$13997,5,FALSE),"")</f>
        <v/>
      </c>
      <c r="D539" s="726">
        <f>SUMIF('ПО КОРИСНИЦИМА'!$G$6:$G$13997,"Свега за пројекат 0602-П11:",'ПО КОРИСНИЦИМА'!$H$6:$H$13997)</f>
        <v>0</v>
      </c>
      <c r="E539" s="719">
        <f t="shared" si="28"/>
        <v>0</v>
      </c>
      <c r="F539" s="727">
        <f>SUMIF('ПО КОРИСНИЦИМА'!$G$6:$G$13997,"Свега за пројекат 0602-П11:",'ПО КОРИСНИЦИМА'!$I$6:$I$13997)</f>
        <v>0</v>
      </c>
      <c r="G539" s="744">
        <f t="shared" si="27"/>
        <v>0</v>
      </c>
      <c r="H539" s="728"/>
    </row>
    <row r="540" spans="1:8" hidden="1">
      <c r="A540" s="692"/>
      <c r="B540" s="90" t="s">
        <v>4949</v>
      </c>
      <c r="C540" s="610" t="str">
        <f>IFERROR(VLOOKUP(B540,'ПО КОРИСНИЦИМА'!$C$6:$J$13997,5,FALSE),"")</f>
        <v/>
      </c>
      <c r="D540" s="726">
        <f>SUMIF('ПО КОРИСНИЦИМА'!$G$6:$G$13997,"Свега за пројекат 0602-П12:",'ПО КОРИСНИЦИМА'!$H$6:$H$13997)</f>
        <v>0</v>
      </c>
      <c r="E540" s="719">
        <f t="shared" si="28"/>
        <v>0</v>
      </c>
      <c r="F540" s="727">
        <f>SUMIF('ПО КОРИСНИЦИМА'!$G$6:$G$13997,"Свега за пројекат 0602-П12:",'ПО КОРИСНИЦИМА'!$I$6:$I$13997)</f>
        <v>0</v>
      </c>
      <c r="G540" s="744">
        <f t="shared" si="27"/>
        <v>0</v>
      </c>
      <c r="H540" s="728"/>
    </row>
    <row r="541" spans="1:8" hidden="1">
      <c r="A541" s="692"/>
      <c r="B541" s="90" t="s">
        <v>4950</v>
      </c>
      <c r="C541" s="610" t="str">
        <f>IFERROR(VLOOKUP(B541,'ПО КОРИСНИЦИМА'!$C$6:$J$13997,5,FALSE),"")</f>
        <v/>
      </c>
      <c r="D541" s="726">
        <f>SUMIF('ПО КОРИСНИЦИМА'!$G$6:$G$13997,"Свега за пројекат 0602-П13:",'ПО КОРИСНИЦИМА'!$H$6:$H$13997)</f>
        <v>0</v>
      </c>
      <c r="E541" s="719">
        <f t="shared" si="28"/>
        <v>0</v>
      </c>
      <c r="F541" s="727">
        <f>SUMIF('ПО КОРИСНИЦИМА'!$G$6:$G$13997,"Свега за пројекат 0602-П13:",'ПО КОРИСНИЦИМА'!$I$6:$I$13997)</f>
        <v>0</v>
      </c>
      <c r="G541" s="744">
        <f t="shared" si="27"/>
        <v>0</v>
      </c>
      <c r="H541" s="728"/>
    </row>
    <row r="542" spans="1:8" hidden="1">
      <c r="A542" s="692"/>
      <c r="B542" s="90" t="s">
        <v>4951</v>
      </c>
      <c r="C542" s="610" t="str">
        <f>IFERROR(VLOOKUP(B542,'ПО КОРИСНИЦИМА'!$C$6:$J$13997,5,FALSE),"")</f>
        <v/>
      </c>
      <c r="D542" s="726">
        <f>SUMIF('ПО КОРИСНИЦИМА'!$G$6:$G$13997,"Свега за пројекат 0602-П14:",'ПО КОРИСНИЦИМА'!$H$6:$H$13997)</f>
        <v>0</v>
      </c>
      <c r="E542" s="719">
        <f t="shared" si="28"/>
        <v>0</v>
      </c>
      <c r="F542" s="727">
        <f>SUMIF('ПО КОРИСНИЦИМА'!$G$6:$G$13997,"Свега за пројекат 0602-П14:",'ПО КОРИСНИЦИМА'!$I$6:$I$13997)</f>
        <v>0</v>
      </c>
      <c r="G542" s="744">
        <f t="shared" si="27"/>
        <v>0</v>
      </c>
      <c r="H542" s="728"/>
    </row>
    <row r="543" spans="1:8" hidden="1">
      <c r="A543" s="692"/>
      <c r="B543" s="90" t="s">
        <v>4952</v>
      </c>
      <c r="C543" s="610" t="str">
        <f>IFERROR(VLOOKUP(B543,'ПО КОРИСНИЦИМА'!$C$6:$J$13997,5,FALSE),"")</f>
        <v/>
      </c>
      <c r="D543" s="726">
        <f>SUMIF('ПО КОРИСНИЦИМА'!$G$6:$G$13997,"Свега за пројекат 0602-П15:",'ПО КОРИСНИЦИМА'!$H$6:$H$13997)</f>
        <v>0</v>
      </c>
      <c r="E543" s="719">
        <f t="shared" si="28"/>
        <v>0</v>
      </c>
      <c r="F543" s="727">
        <f>SUMIF('ПО КОРИСНИЦИМА'!$G$6:$G$13997,"Свега за пројекат 0602-П15:",'ПО КОРИСНИЦИМА'!$I$6:$I$13997)</f>
        <v>0</v>
      </c>
      <c r="G543" s="744">
        <f t="shared" si="27"/>
        <v>0</v>
      </c>
      <c r="H543" s="728"/>
    </row>
    <row r="544" spans="1:8" hidden="1">
      <c r="A544" s="692"/>
      <c r="B544" s="90" t="s">
        <v>4953</v>
      </c>
      <c r="C544" s="610" t="str">
        <f>IFERROR(VLOOKUP(B544,'ПО КОРИСНИЦИМА'!$C$6:$J$13997,5,FALSE),"")</f>
        <v/>
      </c>
      <c r="D544" s="726">
        <f>SUMIF('ПО КОРИСНИЦИМА'!$G$6:$G$13997,"Свега за пројекат 0602-П16:",'ПО КОРИСНИЦИМА'!$H$6:$H$13997)</f>
        <v>0</v>
      </c>
      <c r="E544" s="719">
        <f t="shared" si="28"/>
        <v>0</v>
      </c>
      <c r="F544" s="727">
        <f>SUMIF('ПО КОРИСНИЦИМА'!$G$6:$G$13997,"Свега за пројекат 0602-П16:",'ПО КОРИСНИЦИМА'!$I$6:$I$13997)</f>
        <v>0</v>
      </c>
      <c r="G544" s="744">
        <f t="shared" si="27"/>
        <v>0</v>
      </c>
      <c r="H544" s="728"/>
    </row>
    <row r="545" spans="1:8" hidden="1">
      <c r="A545" s="692"/>
      <c r="B545" s="90" t="s">
        <v>4954</v>
      </c>
      <c r="C545" s="610" t="str">
        <f>IFERROR(VLOOKUP(B545,'ПО КОРИСНИЦИМА'!$C$6:$J$13997,5,FALSE),"")</f>
        <v/>
      </c>
      <c r="D545" s="726">
        <f>SUMIF('ПО КОРИСНИЦИМА'!$G$6:$G$13997,"Свега за пројекат 0602-П17:",'ПО КОРИСНИЦИМА'!$H$6:$H$13997)</f>
        <v>0</v>
      </c>
      <c r="E545" s="719">
        <f t="shared" si="28"/>
        <v>0</v>
      </c>
      <c r="F545" s="727">
        <f>SUMIF('ПО КОРИСНИЦИМА'!$G$6:$G$13997,"Свега за пројекат 0602-П17:",'ПО КОРИСНИЦИМА'!$I$6:$I$13997)</f>
        <v>0</v>
      </c>
      <c r="G545" s="744">
        <f t="shared" si="27"/>
        <v>0</v>
      </c>
      <c r="H545" s="728"/>
    </row>
    <row r="546" spans="1:8" hidden="1">
      <c r="A546" s="692"/>
      <c r="B546" s="90" t="s">
        <v>4955</v>
      </c>
      <c r="C546" s="610" t="str">
        <f>IFERROR(VLOOKUP(B546,'ПО КОРИСНИЦИМА'!$C$6:$J$13997,5,FALSE),"")</f>
        <v/>
      </c>
      <c r="D546" s="726">
        <f>SUMIF('ПО КОРИСНИЦИМА'!$G$6:$G$13997,"Свега за пројекат 0602-П18:",'ПО КОРИСНИЦИМА'!$H$6:$H$13997)</f>
        <v>0</v>
      </c>
      <c r="E546" s="719">
        <f t="shared" si="28"/>
        <v>0</v>
      </c>
      <c r="F546" s="727">
        <f>SUMIF('ПО КОРИСНИЦИМА'!$G$6:$G$13997,"Свега за пројекат 0602-П18:",'ПО КОРИСНИЦИМА'!$I$6:$I$13997)</f>
        <v>0</v>
      </c>
      <c r="G546" s="744">
        <f t="shared" si="27"/>
        <v>0</v>
      </c>
      <c r="H546" s="728"/>
    </row>
    <row r="547" spans="1:8" hidden="1">
      <c r="A547" s="692"/>
      <c r="B547" s="90" t="s">
        <v>4956</v>
      </c>
      <c r="C547" s="610" t="str">
        <f>IFERROR(VLOOKUP(B547,'ПО КОРИСНИЦИМА'!$C$6:$J$13997,5,FALSE),"")</f>
        <v/>
      </c>
      <c r="D547" s="726">
        <f>SUMIF('ПО КОРИСНИЦИМА'!$G$6:$G$13997,"Свега за пројекат 0602-П19:",'ПО КОРИСНИЦИМА'!$H$6:$H$13997)</f>
        <v>0</v>
      </c>
      <c r="E547" s="719">
        <f t="shared" si="28"/>
        <v>0</v>
      </c>
      <c r="F547" s="727">
        <f>SUMIF('ПО КОРИСНИЦИМА'!$G$6:$G$13997,"Свега за пројекат 0602-П19:",'ПО КОРИСНИЦИМА'!$I$6:$I$13997)</f>
        <v>0</v>
      </c>
      <c r="G547" s="744">
        <f t="shared" si="27"/>
        <v>0</v>
      </c>
      <c r="H547" s="728"/>
    </row>
    <row r="548" spans="1:8" hidden="1">
      <c r="A548" s="692"/>
      <c r="B548" s="90" t="s">
        <v>4957</v>
      </c>
      <c r="C548" s="610" t="str">
        <f>IFERROR(VLOOKUP(B548,'ПО КОРИСНИЦИМА'!$C$6:$J$13997,5,FALSE),"")</f>
        <v/>
      </c>
      <c r="D548" s="726">
        <f>SUMIF('ПО КОРИСНИЦИМА'!$G$6:$G$13997,"Свега за пројекат 0602-П20:",'ПО КОРИСНИЦИМА'!$H$6:$H$13997)</f>
        <v>0</v>
      </c>
      <c r="E548" s="719">
        <f t="shared" si="28"/>
        <v>0</v>
      </c>
      <c r="F548" s="727">
        <f>SUMIF('ПО КОРИСНИЦИМА'!$G$6:$G$13997,"Свега за пројекат 0602-П20:",'ПО КОРИСНИЦИМА'!$I$6:$I$13997)</f>
        <v>0</v>
      </c>
      <c r="G548" s="744">
        <f t="shared" si="27"/>
        <v>0</v>
      </c>
      <c r="H548" s="728"/>
    </row>
    <row r="549" spans="1:8" hidden="1">
      <c r="A549" s="692"/>
      <c r="B549" s="90" t="s">
        <v>4958</v>
      </c>
      <c r="C549" s="610" t="str">
        <f>IFERROR(VLOOKUP(B549,'ПО КОРИСНИЦИМА'!$C$6:$J$13997,5,FALSE),"")</f>
        <v/>
      </c>
      <c r="D549" s="726">
        <f>SUMIF('ПО КОРИСНИЦИМА'!$G$6:$G$13997,"Свега за пројекат 0602-П21:",'ПО КОРИСНИЦИМА'!$H$6:$H$13997)</f>
        <v>0</v>
      </c>
      <c r="E549" s="719">
        <f t="shared" si="28"/>
        <v>0</v>
      </c>
      <c r="F549" s="727">
        <f>SUMIF('ПО КОРИСНИЦИМА'!$G$6:$G$13997,"Свега за пројекат 0602-П21:",'ПО КОРИСНИЦИМА'!$I$6:$I$13997)</f>
        <v>0</v>
      </c>
      <c r="G549" s="744">
        <f t="shared" si="27"/>
        <v>0</v>
      </c>
      <c r="H549" s="728"/>
    </row>
    <row r="550" spans="1:8" hidden="1">
      <c r="A550" s="692"/>
      <c r="B550" s="90" t="s">
        <v>4959</v>
      </c>
      <c r="C550" s="610" t="str">
        <f>IFERROR(VLOOKUP(B550,'ПО КОРИСНИЦИМА'!$C$6:$J$13997,5,FALSE),"")</f>
        <v/>
      </c>
      <c r="D550" s="726">
        <f>SUMIF('ПО КОРИСНИЦИМА'!$G$6:$G$13997,"Свега за пројекат 0602-П22:",'ПО КОРИСНИЦИМА'!$H$6:$H$13997)</f>
        <v>0</v>
      </c>
      <c r="E550" s="719">
        <f t="shared" si="28"/>
        <v>0</v>
      </c>
      <c r="F550" s="727">
        <f>SUMIF('ПО КОРИСНИЦИМА'!$G$6:$G$13997,"Свега за пројекат 0602-П22:",'ПО КОРИСНИЦИМА'!$I$6:$I$13997)</f>
        <v>0</v>
      </c>
      <c r="G550" s="744">
        <f t="shared" si="27"/>
        <v>0</v>
      </c>
      <c r="H550" s="728"/>
    </row>
    <row r="551" spans="1:8" hidden="1">
      <c r="A551" s="692"/>
      <c r="B551" s="90" t="s">
        <v>4960</v>
      </c>
      <c r="C551" s="610" t="str">
        <f>IFERROR(VLOOKUP(B551,'ПО КОРИСНИЦИМА'!$C$6:$J$13997,5,FALSE),"")</f>
        <v/>
      </c>
      <c r="D551" s="726">
        <f>SUMIF('ПО КОРИСНИЦИМА'!$G$6:$G$13997,"Свега за пројекат 0602-П23:",'ПО КОРИСНИЦИМА'!$H$6:$H$13997)</f>
        <v>0</v>
      </c>
      <c r="E551" s="719">
        <f t="shared" si="28"/>
        <v>0</v>
      </c>
      <c r="F551" s="727">
        <f>SUMIF('ПО КОРИСНИЦИМА'!$G$6:$G$13997,"Свега за пројекат 0602-П23:",'ПО КОРИСНИЦИМА'!$I$6:$I$13997)</f>
        <v>0</v>
      </c>
      <c r="G551" s="744">
        <f t="shared" si="27"/>
        <v>0</v>
      </c>
      <c r="H551" s="728"/>
    </row>
    <row r="552" spans="1:8" hidden="1">
      <c r="A552" s="692"/>
      <c r="B552" s="90" t="s">
        <v>4961</v>
      </c>
      <c r="C552" s="610" t="str">
        <f>IFERROR(VLOOKUP(B552,'ПО КОРИСНИЦИМА'!$C$6:$J$13997,5,FALSE),"")</f>
        <v/>
      </c>
      <c r="D552" s="726">
        <f>SUMIF('ПО КОРИСНИЦИМА'!$G$6:$G$13997,"Свега за пројекат 0602-П24:",'ПО КОРИСНИЦИМА'!$H$6:$H$13997)</f>
        <v>0</v>
      </c>
      <c r="E552" s="719">
        <f t="shared" si="28"/>
        <v>0</v>
      </c>
      <c r="F552" s="727">
        <f>SUMIF('ПО КОРИСНИЦИМА'!$G$6:$G$13997,"Свега за пројекат 0602-П24:",'ПО КОРИСНИЦИМА'!$I$6:$I$13997)</f>
        <v>0</v>
      </c>
      <c r="G552" s="744">
        <f t="shared" si="27"/>
        <v>0</v>
      </c>
      <c r="H552" s="728"/>
    </row>
    <row r="553" spans="1:8" hidden="1">
      <c r="A553" s="692"/>
      <c r="B553" s="90" t="s">
        <v>4962</v>
      </c>
      <c r="C553" s="610" t="str">
        <f>IFERROR(VLOOKUP(B553,'ПО КОРИСНИЦИМА'!$C$6:$J$13997,5,FALSE),"")</f>
        <v/>
      </c>
      <c r="D553" s="726">
        <f>SUMIF('ПО КОРИСНИЦИМА'!$G$6:$G$13997,"Свега за пројекат 0602-П25:",'ПО КОРИСНИЦИМА'!$H$6:$H$13997)</f>
        <v>0</v>
      </c>
      <c r="E553" s="719">
        <f t="shared" si="28"/>
        <v>0</v>
      </c>
      <c r="F553" s="727">
        <f>SUMIF('ПО КОРИСНИЦИМА'!$G$6:$G$13997,"Свега за пројекат 0602-П25:",'ПО КОРИСНИЦИМА'!$I$6:$I$13997)</f>
        <v>0</v>
      </c>
      <c r="G553" s="744">
        <f t="shared" si="27"/>
        <v>0</v>
      </c>
      <c r="H553" s="728"/>
    </row>
    <row r="554" spans="1:8" hidden="1">
      <c r="A554" s="692"/>
      <c r="B554" s="90" t="s">
        <v>4963</v>
      </c>
      <c r="C554" s="610" t="str">
        <f>IFERROR(VLOOKUP(B554,'ПО КОРИСНИЦИМА'!$C$6:$J$13997,5,FALSE),"")</f>
        <v/>
      </c>
      <c r="D554" s="726">
        <f>SUMIF('ПО КОРИСНИЦИМА'!$G$6:$G$13997,"Свега за пројекат 0602-П26:",'ПО КОРИСНИЦИМА'!$H$6:$H$13997)</f>
        <v>0</v>
      </c>
      <c r="E554" s="719">
        <f t="shared" si="28"/>
        <v>0</v>
      </c>
      <c r="F554" s="727">
        <f>SUMIF('ПО КОРИСНИЦИМА'!$G$6:$G$13997,"Свега за пројекат 0602-П26:",'ПО КОРИСНИЦИМА'!$I$6:$I$13997)</f>
        <v>0</v>
      </c>
      <c r="G554" s="744">
        <f t="shared" si="27"/>
        <v>0</v>
      </c>
      <c r="H554" s="728"/>
    </row>
    <row r="555" spans="1:8" hidden="1">
      <c r="A555" s="692"/>
      <c r="B555" s="90" t="s">
        <v>4964</v>
      </c>
      <c r="C555" s="610" t="str">
        <f>IFERROR(VLOOKUP(B555,'ПО КОРИСНИЦИМА'!$C$6:$J$13997,5,FALSE),"")</f>
        <v/>
      </c>
      <c r="D555" s="726">
        <f>SUMIF('ПО КОРИСНИЦИМА'!$G$6:$G$13997,"Свега за пројекат 0602-П27:",'ПО КОРИСНИЦИМА'!$H$6:$H$13997)</f>
        <v>0</v>
      </c>
      <c r="E555" s="719">
        <f t="shared" si="28"/>
        <v>0</v>
      </c>
      <c r="F555" s="727">
        <f>SUMIF('ПО КОРИСНИЦИМА'!$G$6:$G$13997,"Свега за пројекат 0602-П27:",'ПО КОРИСНИЦИМА'!$I$6:$I$13997)</f>
        <v>0</v>
      </c>
      <c r="G555" s="744">
        <f t="shared" si="27"/>
        <v>0</v>
      </c>
      <c r="H555" s="728"/>
    </row>
    <row r="556" spans="1:8" hidden="1">
      <c r="A556" s="692"/>
      <c r="B556" s="90" t="s">
        <v>4965</v>
      </c>
      <c r="C556" s="610" t="str">
        <f>IFERROR(VLOOKUP(B556,'ПО КОРИСНИЦИМА'!$C$6:$J$13997,5,FALSE),"")</f>
        <v/>
      </c>
      <c r="D556" s="726">
        <f>SUMIF('ПО КОРИСНИЦИМА'!$G$6:$G$13997,"Свега за пројекат 0602-П28:",'ПО КОРИСНИЦИМА'!$H$6:$H$13997)</f>
        <v>0</v>
      </c>
      <c r="E556" s="719">
        <f t="shared" si="28"/>
        <v>0</v>
      </c>
      <c r="F556" s="727">
        <f>SUMIF('ПО КОРИСНИЦИМА'!$G$6:$G$13997,"Свега за пројекат 0602-П28:",'ПО КОРИСНИЦИМА'!$I$6:$I$13997)</f>
        <v>0</v>
      </c>
      <c r="G556" s="744">
        <f t="shared" si="27"/>
        <v>0</v>
      </c>
      <c r="H556" s="728"/>
    </row>
    <row r="557" spans="1:8" hidden="1">
      <c r="A557" s="692"/>
      <c r="B557" s="90" t="s">
        <v>4966</v>
      </c>
      <c r="C557" s="610" t="str">
        <f>IFERROR(VLOOKUP(B557,'ПО КОРИСНИЦИМА'!$C$6:$J$13997,5,FALSE),"")</f>
        <v/>
      </c>
      <c r="D557" s="726">
        <f>SUMIF('ПО КОРИСНИЦИМА'!$G$6:$G$13997,"Свега за пројекат 0602-П29:",'ПО КОРИСНИЦИМА'!$H$6:$H$13997)</f>
        <v>0</v>
      </c>
      <c r="E557" s="719">
        <f t="shared" si="28"/>
        <v>0</v>
      </c>
      <c r="F557" s="727">
        <f>SUMIF('ПО КОРИСНИЦИМА'!$G$6:$G$13997,"Свега за пројекат 0602-П29:",'ПО КОРИСНИЦИМА'!$I$6:$I$13997)</f>
        <v>0</v>
      </c>
      <c r="G557" s="744">
        <f t="shared" si="27"/>
        <v>0</v>
      </c>
      <c r="H557" s="728"/>
    </row>
    <row r="558" spans="1:8" hidden="1">
      <c r="A558" s="692"/>
      <c r="B558" s="90" t="s">
        <v>4967</v>
      </c>
      <c r="C558" s="610" t="str">
        <f>IFERROR(VLOOKUP(B558,'ПО КОРИСНИЦИМА'!$C$6:$J$13997,5,FALSE),"")</f>
        <v/>
      </c>
      <c r="D558" s="726">
        <f>SUMIF('ПО КОРИСНИЦИМА'!$G$6:$G$13997,"Свега за пројекат 0602-П30:",'ПО КОРИСНИЦИМА'!$H$6:$H$13997)</f>
        <v>0</v>
      </c>
      <c r="E558" s="719">
        <f t="shared" si="28"/>
        <v>0</v>
      </c>
      <c r="F558" s="727">
        <f>SUMIF('ПО КОРИСНИЦИМА'!$G$6:$G$13997,"Свега за пројекат 0602-П30:",'ПО КОРИСНИЦИМА'!$I$6:$I$13997)</f>
        <v>0</v>
      </c>
      <c r="G558" s="744">
        <f t="shared" si="27"/>
        <v>0</v>
      </c>
      <c r="H558" s="728"/>
    </row>
    <row r="559" spans="1:8" hidden="1">
      <c r="A559" s="692"/>
      <c r="B559" s="90" t="s">
        <v>4968</v>
      </c>
      <c r="C559" s="610" t="str">
        <f>IFERROR(VLOOKUP(B559,'ПО КОРИСНИЦИМА'!$C$6:$J$13997,5,FALSE),"")</f>
        <v/>
      </c>
      <c r="D559" s="726">
        <f>SUMIF('ПО КОРИСНИЦИМА'!$G$6:$G$13997,"Свега за пројекат 0602-П31:",'ПО КОРИСНИЦИМА'!$H$6:$H$13997)</f>
        <v>0</v>
      </c>
      <c r="E559" s="719">
        <f t="shared" si="28"/>
        <v>0</v>
      </c>
      <c r="F559" s="727">
        <f>SUMIF('ПО КОРИСНИЦИМА'!$G$6:$G$13997,"Свега за пројекат 0602-П31:",'ПО КОРИСНИЦИМА'!$I$6:$I$13997)</f>
        <v>0</v>
      </c>
      <c r="G559" s="744">
        <f t="shared" si="27"/>
        <v>0</v>
      </c>
      <c r="H559" s="728"/>
    </row>
    <row r="560" spans="1:8" hidden="1">
      <c r="A560" s="692"/>
      <c r="B560" s="90" t="s">
        <v>4969</v>
      </c>
      <c r="C560" s="610" t="str">
        <f>IFERROR(VLOOKUP(B560,'ПО КОРИСНИЦИМА'!$C$6:$J$13997,5,FALSE),"")</f>
        <v/>
      </c>
      <c r="D560" s="726">
        <f>SUMIF('ПО КОРИСНИЦИМА'!$G$6:$G$13997,"Свега за пројекат 0602-П32:",'ПО КОРИСНИЦИМА'!$H$6:$H$13997)</f>
        <v>0</v>
      </c>
      <c r="E560" s="719">
        <f t="shared" si="28"/>
        <v>0</v>
      </c>
      <c r="F560" s="727">
        <f>SUMIF('ПО КОРИСНИЦИМА'!$G$6:$G$13997,"Свега за пројекат 0602-П32:",'ПО КОРИСНИЦИМА'!$I$6:$I$13997)</f>
        <v>0</v>
      </c>
      <c r="G560" s="744">
        <f t="shared" si="27"/>
        <v>0</v>
      </c>
      <c r="H560" s="728"/>
    </row>
    <row r="561" spans="1:8" hidden="1">
      <c r="A561" s="692"/>
      <c r="B561" s="90" t="s">
        <v>4970</v>
      </c>
      <c r="C561" s="610" t="str">
        <f>IFERROR(VLOOKUP(B561,'ПО КОРИСНИЦИМА'!$C$6:$J$13997,5,FALSE),"")</f>
        <v/>
      </c>
      <c r="D561" s="726">
        <f>SUMIF('ПО КОРИСНИЦИМА'!$G$6:$G$13997,"Свега за пројекат 0602-П33:",'ПО КОРИСНИЦИМА'!$H$6:$H$13997)</f>
        <v>0</v>
      </c>
      <c r="E561" s="719">
        <f t="shared" si="28"/>
        <v>0</v>
      </c>
      <c r="F561" s="727">
        <f>SUMIF('ПО КОРИСНИЦИМА'!$G$6:$G$13997,"Свега за пројекат 0602-П33:",'ПО КОРИСНИЦИМА'!$I$6:$I$13997)</f>
        <v>0</v>
      </c>
      <c r="G561" s="744">
        <f t="shared" si="27"/>
        <v>0</v>
      </c>
      <c r="H561" s="728"/>
    </row>
    <row r="562" spans="1:8" hidden="1">
      <c r="A562" s="692"/>
      <c r="B562" s="90" t="s">
        <v>4971</v>
      </c>
      <c r="C562" s="610" t="str">
        <f>IFERROR(VLOOKUP(B562,'ПО КОРИСНИЦИМА'!$C$6:$J$13997,5,FALSE),"")</f>
        <v/>
      </c>
      <c r="D562" s="726">
        <f>SUMIF('ПО КОРИСНИЦИМА'!$G$6:$G$13997,"Свега за пројекат 0602-П34:",'ПО КОРИСНИЦИМА'!$H$6:$H$13997)</f>
        <v>0</v>
      </c>
      <c r="E562" s="719">
        <f t="shared" si="28"/>
        <v>0</v>
      </c>
      <c r="F562" s="727">
        <f>SUMIF('ПО КОРИСНИЦИМА'!$G$6:$G$13997,"Свега за пројекат 0602-П34:",'ПО КОРИСНИЦИМА'!$I$6:$I$13997)</f>
        <v>0</v>
      </c>
      <c r="G562" s="744">
        <f t="shared" si="27"/>
        <v>0</v>
      </c>
      <c r="H562" s="728"/>
    </row>
    <row r="563" spans="1:8" hidden="1">
      <c r="A563" s="692"/>
      <c r="B563" s="90" t="s">
        <v>4972</v>
      </c>
      <c r="C563" s="610" t="str">
        <f>IFERROR(VLOOKUP(B563,'ПО КОРИСНИЦИМА'!$C$6:$J$13997,5,FALSE),"")</f>
        <v/>
      </c>
      <c r="D563" s="726">
        <f>SUMIF('ПО КОРИСНИЦИМА'!$G$6:$G$13997,"Свега за пројекат 0602-П35:",'ПО КОРИСНИЦИМА'!$H$6:$H$13997)</f>
        <v>0</v>
      </c>
      <c r="E563" s="719">
        <f t="shared" si="28"/>
        <v>0</v>
      </c>
      <c r="F563" s="727">
        <f>SUMIF('ПО КОРИСНИЦИМА'!$G$6:$G$13997,"Свега за пројекат 0602-П35:",'ПО КОРИСНИЦИМА'!$I$6:$I$13997)</f>
        <v>0</v>
      </c>
      <c r="G563" s="744">
        <f t="shared" si="27"/>
        <v>0</v>
      </c>
      <c r="H563" s="728"/>
    </row>
    <row r="564" spans="1:8" hidden="1">
      <c r="A564" s="692"/>
      <c r="B564" s="90" t="s">
        <v>4973</v>
      </c>
      <c r="C564" s="610" t="str">
        <f>IFERROR(VLOOKUP(B564,'ПО КОРИСНИЦИМА'!$C$6:$J$13997,5,FALSE),"")</f>
        <v/>
      </c>
      <c r="D564" s="726">
        <f>SUMIF('ПО КОРИСНИЦИМА'!$G$6:$G$13997,"Свега за пројекат 0602-П36:",'ПО КОРИСНИЦИМА'!$H$6:$H$13997)</f>
        <v>0</v>
      </c>
      <c r="E564" s="719">
        <f t="shared" si="28"/>
        <v>0</v>
      </c>
      <c r="F564" s="727">
        <f>SUMIF('ПО КОРИСНИЦИМА'!$G$6:$G$13997,"Свега за пројекат 0602-П36:",'ПО КОРИСНИЦИМА'!$I$6:$I$13997)</f>
        <v>0</v>
      </c>
      <c r="G564" s="744">
        <f t="shared" si="27"/>
        <v>0</v>
      </c>
      <c r="H564" s="728"/>
    </row>
    <row r="565" spans="1:8" hidden="1">
      <c r="A565" s="692"/>
      <c r="B565" s="90" t="s">
        <v>4974</v>
      </c>
      <c r="C565" s="610" t="str">
        <f>IFERROR(VLOOKUP(B565,'ПО КОРИСНИЦИМА'!$C$6:$J$13997,5,FALSE),"")</f>
        <v/>
      </c>
      <c r="D565" s="726">
        <f>SUMIF('ПО КОРИСНИЦИМА'!$G$6:$G$13997,"Свега за пројекат 0602-П37:",'ПО КОРИСНИЦИМА'!$H$6:$H$13997)</f>
        <v>0</v>
      </c>
      <c r="E565" s="719">
        <f t="shared" si="28"/>
        <v>0</v>
      </c>
      <c r="F565" s="727">
        <f>SUMIF('ПО КОРИСНИЦИМА'!$G$6:$G$13997,"Свега за пројекат 0602-П37:",'ПО КОРИСНИЦИМА'!$I$6:$I$13997)</f>
        <v>0</v>
      </c>
      <c r="G565" s="744">
        <f t="shared" si="27"/>
        <v>0</v>
      </c>
      <c r="H565" s="728"/>
    </row>
    <row r="566" spans="1:8" hidden="1">
      <c r="A566" s="692"/>
      <c r="B566" s="90" t="s">
        <v>4975</v>
      </c>
      <c r="C566" s="610" t="str">
        <f>IFERROR(VLOOKUP(B566,'ПО КОРИСНИЦИМА'!$C$6:$J$13997,5,FALSE),"")</f>
        <v/>
      </c>
      <c r="D566" s="726">
        <f>SUMIF('ПО КОРИСНИЦИМА'!$G$6:$G$13997,"Свега за пројекат 0602-П38:",'ПО КОРИСНИЦИМА'!$H$6:$H$13997)</f>
        <v>0</v>
      </c>
      <c r="E566" s="719">
        <f t="shared" si="28"/>
        <v>0</v>
      </c>
      <c r="F566" s="727">
        <f>SUMIF('ПО КОРИСНИЦИМА'!$G$6:$G$13997,"Свега за пројекат 0602-П38:",'ПО КОРИСНИЦИМА'!$I$6:$I$13997)</f>
        <v>0</v>
      </c>
      <c r="G566" s="744">
        <f t="shared" si="27"/>
        <v>0</v>
      </c>
      <c r="H566" s="728"/>
    </row>
    <row r="567" spans="1:8" hidden="1">
      <c r="A567" s="692"/>
      <c r="B567" s="90" t="s">
        <v>4976</v>
      </c>
      <c r="C567" s="610" t="str">
        <f>IFERROR(VLOOKUP(B567,'ПО КОРИСНИЦИМА'!$C$6:$J$13997,5,FALSE),"")</f>
        <v/>
      </c>
      <c r="D567" s="726">
        <f>SUMIF('ПО КОРИСНИЦИМА'!$G$6:$G$13997,"Свега за пројекат 0602-П39:",'ПО КОРИСНИЦИМА'!$H$6:$H$13997)</f>
        <v>0</v>
      </c>
      <c r="E567" s="719">
        <f t="shared" si="28"/>
        <v>0</v>
      </c>
      <c r="F567" s="727">
        <f>SUMIF('ПО КОРИСНИЦИМА'!$G$6:$G$13997,"Свега за пројекат 0602-П39:",'ПО КОРИСНИЦИМА'!$I$6:$I$13997)</f>
        <v>0</v>
      </c>
      <c r="G567" s="744">
        <f t="shared" si="27"/>
        <v>0</v>
      </c>
      <c r="H567" s="728"/>
    </row>
    <row r="568" spans="1:8" hidden="1">
      <c r="A568" s="692"/>
      <c r="B568" s="90" t="s">
        <v>4977</v>
      </c>
      <c r="C568" s="610" t="str">
        <f>IFERROR(VLOOKUP(B568,'ПО КОРИСНИЦИМА'!$C$6:$J$13997,5,FALSE),"")</f>
        <v/>
      </c>
      <c r="D568" s="726">
        <f>SUMIF('ПО КОРИСНИЦИМА'!$G$6:$G$13997,"Свега за пројекат 0602-П40:",'ПО КОРИСНИЦИМА'!$H$6:$H$13997)</f>
        <v>0</v>
      </c>
      <c r="E568" s="719">
        <f t="shared" si="28"/>
        <v>0</v>
      </c>
      <c r="F568" s="727">
        <f>SUMIF('ПО КОРИСНИЦИМА'!$G$6:$G$13997,"Свега за пројекат 0602-П40:",'ПО КОРИСНИЦИМА'!$I$6:$I$13997)</f>
        <v>0</v>
      </c>
      <c r="G568" s="744">
        <f t="shared" si="27"/>
        <v>0</v>
      </c>
      <c r="H568" s="728"/>
    </row>
    <row r="569" spans="1:8" hidden="1">
      <c r="A569" s="692"/>
      <c r="B569" s="90" t="s">
        <v>4978</v>
      </c>
      <c r="C569" s="610" t="str">
        <f>IFERROR(VLOOKUP(B569,'ПО КОРИСНИЦИМА'!$C$6:$J$13997,5,FALSE),"")</f>
        <v/>
      </c>
      <c r="D569" s="726">
        <f>SUMIF('ПО КОРИСНИЦИМА'!$G$6:$G$13997,"Свега за пројекат 0602-П41:",'ПО КОРИСНИЦИМА'!$H$6:$H$13997)</f>
        <v>0</v>
      </c>
      <c r="E569" s="719">
        <f t="shared" si="28"/>
        <v>0</v>
      </c>
      <c r="F569" s="727">
        <f>SUMIF('ПО КОРИСНИЦИМА'!$G$6:$G$13997,"Свега за пројекат 0602-П41:",'ПО КОРИСНИЦИМА'!$I$6:$I$13997)</f>
        <v>0</v>
      </c>
      <c r="G569" s="744">
        <f t="shared" si="27"/>
        <v>0</v>
      </c>
      <c r="H569" s="728"/>
    </row>
    <row r="570" spans="1:8" hidden="1">
      <c r="A570" s="692"/>
      <c r="B570" s="90" t="s">
        <v>4979</v>
      </c>
      <c r="C570" s="610" t="str">
        <f>IFERROR(VLOOKUP(B570,'ПО КОРИСНИЦИМА'!$C$6:$J$13997,5,FALSE),"")</f>
        <v/>
      </c>
      <c r="D570" s="726">
        <f>SUMIF('ПО КОРИСНИЦИМА'!$G$6:$G$13997,"Свега за пројекат 0602-П42:",'ПО КОРИСНИЦИМА'!$H$6:$H$13997)</f>
        <v>0</v>
      </c>
      <c r="E570" s="719">
        <f t="shared" si="28"/>
        <v>0</v>
      </c>
      <c r="F570" s="727">
        <f>SUMIF('ПО КОРИСНИЦИМА'!$G$6:$G$13997,"Свега за пројекат 0602-П42:",'ПО КОРИСНИЦИМА'!$I$6:$I$13997)</f>
        <v>0</v>
      </c>
      <c r="G570" s="744">
        <f t="shared" si="27"/>
        <v>0</v>
      </c>
      <c r="H570" s="728"/>
    </row>
    <row r="571" spans="1:8" hidden="1">
      <c r="A571" s="692"/>
      <c r="B571" s="90" t="s">
        <v>4980</v>
      </c>
      <c r="C571" s="610" t="str">
        <f>IFERROR(VLOOKUP(B571,'ПО КОРИСНИЦИМА'!$C$6:$J$13997,5,FALSE),"")</f>
        <v/>
      </c>
      <c r="D571" s="726">
        <f>SUMIF('ПО КОРИСНИЦИМА'!$G$6:$G$13997,"Свега за пројекат 0602-П43:",'ПО КОРИСНИЦИМА'!$H$6:$H$13997)</f>
        <v>0</v>
      </c>
      <c r="E571" s="719">
        <f t="shared" si="28"/>
        <v>0</v>
      </c>
      <c r="F571" s="727">
        <f>SUMIF('ПО КОРИСНИЦИМА'!$G$6:$G$13997,"Свега за пројекат 0602-П43:",'ПО КОРИСНИЦИМА'!$I$6:$I$13997)</f>
        <v>0</v>
      </c>
      <c r="G571" s="744">
        <f t="shared" si="27"/>
        <v>0</v>
      </c>
      <c r="H571" s="728"/>
    </row>
    <row r="572" spans="1:8" hidden="1">
      <c r="A572" s="692"/>
      <c r="B572" s="90" t="s">
        <v>4981</v>
      </c>
      <c r="C572" s="610" t="str">
        <f>IFERROR(VLOOKUP(B572,'ПО КОРИСНИЦИМА'!$C$6:$J$13997,5,FALSE),"")</f>
        <v/>
      </c>
      <c r="D572" s="726">
        <f>SUMIF('ПО КОРИСНИЦИМА'!$G$6:$G$13997,"Свега за пројекат 0602-П44:",'ПО КОРИСНИЦИМА'!$H$6:$H$13997)</f>
        <v>0</v>
      </c>
      <c r="E572" s="719">
        <f t="shared" si="28"/>
        <v>0</v>
      </c>
      <c r="F572" s="727">
        <f>SUMIF('ПО КОРИСНИЦИМА'!$G$6:$G$13997,"Свега за пројекат 0602-П44:",'ПО КОРИСНИЦИМА'!$I$6:$I$13997)</f>
        <v>0</v>
      </c>
      <c r="G572" s="744">
        <f t="shared" si="27"/>
        <v>0</v>
      </c>
      <c r="H572" s="728"/>
    </row>
    <row r="573" spans="1:8" hidden="1">
      <c r="A573" s="692"/>
      <c r="B573" s="90" t="s">
        <v>4982</v>
      </c>
      <c r="C573" s="610" t="str">
        <f>IFERROR(VLOOKUP(B573,'ПО КОРИСНИЦИМА'!$C$6:$J$13997,5,FALSE),"")</f>
        <v/>
      </c>
      <c r="D573" s="726">
        <f>SUMIF('ПО КОРИСНИЦИМА'!$G$6:$G$13997,"Свега за пројекат 0602-П45:",'ПО КОРИСНИЦИМА'!$H$6:$H$13997)</f>
        <v>0</v>
      </c>
      <c r="E573" s="719">
        <f t="shared" si="28"/>
        <v>0</v>
      </c>
      <c r="F573" s="727">
        <f>SUMIF('ПО КОРИСНИЦИМА'!$G$6:$G$13997,"Свега за пројекат 0602-П45:",'ПО КОРИСНИЦИМА'!$I$6:$I$13997)</f>
        <v>0</v>
      </c>
      <c r="G573" s="744">
        <f t="shared" si="27"/>
        <v>0</v>
      </c>
      <c r="H573" s="728"/>
    </row>
    <row r="574" spans="1:8" hidden="1">
      <c r="A574" s="692"/>
      <c r="B574" s="90" t="s">
        <v>4983</v>
      </c>
      <c r="C574" s="610" t="str">
        <f>IFERROR(VLOOKUP(B574,'ПО КОРИСНИЦИМА'!$C$6:$J$13997,5,FALSE),"")</f>
        <v/>
      </c>
      <c r="D574" s="726">
        <f>SUMIF('ПО КОРИСНИЦИМА'!$G$6:$G$13997,"Свега за пројекат 0602-П46:",'ПО КОРИСНИЦИМА'!$H$6:$H$13997)</f>
        <v>0</v>
      </c>
      <c r="E574" s="719">
        <f t="shared" si="28"/>
        <v>0</v>
      </c>
      <c r="F574" s="727">
        <f>SUMIF('ПО КОРИСНИЦИМА'!$G$6:$G$13997,"Свега за пројекат 0602-П46:",'ПО КОРИСНИЦИМА'!$I$6:$I$13997)</f>
        <v>0</v>
      </c>
      <c r="G574" s="744">
        <f t="shared" si="27"/>
        <v>0</v>
      </c>
      <c r="H574" s="728"/>
    </row>
    <row r="575" spans="1:8" hidden="1">
      <c r="A575" s="692"/>
      <c r="B575" s="90" t="s">
        <v>4984</v>
      </c>
      <c r="C575" s="610" t="str">
        <f>IFERROR(VLOOKUP(B575,'ПО КОРИСНИЦИМА'!$C$6:$J$13997,5,FALSE),"")</f>
        <v/>
      </c>
      <c r="D575" s="726">
        <f>SUMIF('ПО КОРИСНИЦИМА'!$G$6:$G$13997,"Свега за пројекат 0602-П47:",'ПО КОРИСНИЦИМА'!$H$6:$H$13997)</f>
        <v>0</v>
      </c>
      <c r="E575" s="719">
        <f t="shared" si="28"/>
        <v>0</v>
      </c>
      <c r="F575" s="727">
        <f>SUMIF('ПО КОРИСНИЦИМА'!$G$6:$G$13997,"Свега за пројекат 0602-П47:",'ПО КОРИСНИЦИМА'!$I$6:$I$13997)</f>
        <v>0</v>
      </c>
      <c r="G575" s="744">
        <f t="shared" si="27"/>
        <v>0</v>
      </c>
      <c r="H575" s="728"/>
    </row>
    <row r="576" spans="1:8" hidden="1">
      <c r="A576" s="692"/>
      <c r="B576" s="90" t="s">
        <v>4985</v>
      </c>
      <c r="C576" s="610" t="str">
        <f>IFERROR(VLOOKUP(B576,'ПО КОРИСНИЦИМА'!$C$6:$J$13997,5,FALSE),"")</f>
        <v/>
      </c>
      <c r="D576" s="726">
        <f>SUMIF('ПО КОРИСНИЦИМА'!$G$6:$G$13997,"Свега за пројекат 0602-П48:",'ПО КОРИСНИЦИМА'!$H$6:$H$13997)</f>
        <v>0</v>
      </c>
      <c r="E576" s="719">
        <f t="shared" si="28"/>
        <v>0</v>
      </c>
      <c r="F576" s="727">
        <f>SUMIF('ПО КОРИСНИЦИМА'!$G$6:$G$13997,"Свега за пројекат 0602-П48:",'ПО КОРИСНИЦИМА'!$I$6:$I$13997)</f>
        <v>0</v>
      </c>
      <c r="G576" s="744">
        <f t="shared" si="27"/>
        <v>0</v>
      </c>
      <c r="H576" s="728"/>
    </row>
    <row r="577" spans="1:8" hidden="1">
      <c r="A577" s="692"/>
      <c r="B577" s="90" t="s">
        <v>4986</v>
      </c>
      <c r="C577" s="610" t="str">
        <f>IFERROR(VLOOKUP(B577,'ПО КОРИСНИЦИМА'!$C$6:$J$13997,5,FALSE),"")</f>
        <v/>
      </c>
      <c r="D577" s="726">
        <f>SUMIF('ПО КОРИСНИЦИМА'!$G$6:$G$13997,"Свега за пројекат 0602-П49:",'ПО КОРИСНИЦИМА'!$H$6:$H$13997)</f>
        <v>0</v>
      </c>
      <c r="E577" s="719">
        <f t="shared" si="28"/>
        <v>0</v>
      </c>
      <c r="F577" s="727">
        <f>SUMIF('ПО КОРИСНИЦИМА'!$G$6:$G$13997,"Свега за пројекат 0602-П49:",'ПО КОРИСНИЦИМА'!$I$6:$I$13997)</f>
        <v>0</v>
      </c>
      <c r="G577" s="744">
        <f t="shared" si="27"/>
        <v>0</v>
      </c>
      <c r="H577" s="728"/>
    </row>
    <row r="578" spans="1:8" hidden="1">
      <c r="A578" s="692"/>
      <c r="B578" s="90" t="s">
        <v>4987</v>
      </c>
      <c r="C578" s="610" t="str">
        <f>IFERROR(VLOOKUP(B578,'ПО КОРИСНИЦИМА'!$C$6:$J$13997,5,FALSE),"")</f>
        <v/>
      </c>
      <c r="D578" s="726">
        <f>SUMIF('ПО КОРИСНИЦИМА'!$G$6:$G$13997,"Свега за пројекат 0602-П50:",'ПО КОРИСНИЦИМА'!$H$6:$H$13997)</f>
        <v>0</v>
      </c>
      <c r="E578" s="719">
        <f t="shared" si="28"/>
        <v>0</v>
      </c>
      <c r="F578" s="727">
        <f>SUMIF('ПО КОРИСНИЦИМА'!$G$6:$G$13997,"Свега за пројекат 0602-П50:",'ПО КОРИСНИЦИМА'!$I$6:$I$13997)</f>
        <v>0</v>
      </c>
      <c r="G578" s="744">
        <f t="shared" si="27"/>
        <v>0</v>
      </c>
      <c r="H578" s="728"/>
    </row>
    <row r="579" spans="1:8" hidden="1">
      <c r="A579" s="692"/>
      <c r="B579" s="90" t="s">
        <v>4988</v>
      </c>
      <c r="C579" s="610" t="str">
        <f>IFERROR(VLOOKUP(B579,'ПО КОРИСНИЦИМА'!$C$6:$J$13997,5,FALSE),"")</f>
        <v/>
      </c>
      <c r="D579" s="726">
        <f>SUMIF('ПО КОРИСНИЦИМА'!$G$6:$G$13997,"Свега за пројекат 0602-П51:",'ПО КОРИСНИЦИМА'!$H$6:$H$13997)</f>
        <v>0</v>
      </c>
      <c r="E579" s="719">
        <f t="shared" si="28"/>
        <v>0</v>
      </c>
      <c r="F579" s="727">
        <f>SUMIF('ПО КОРИСНИЦИМА'!$G$6:$G$13997,"Свега за пројекат 0602-П51:",'ПО КОРИСНИЦИМА'!$I$6:$I$13997)</f>
        <v>0</v>
      </c>
      <c r="G579" s="744">
        <f t="shared" si="27"/>
        <v>0</v>
      </c>
      <c r="H579" s="728"/>
    </row>
    <row r="580" spans="1:8" hidden="1">
      <c r="A580" s="692"/>
      <c r="B580" s="90" t="s">
        <v>4989</v>
      </c>
      <c r="C580" s="610" t="str">
        <f>IFERROR(VLOOKUP(B580,'ПО КОРИСНИЦИМА'!$C$6:$J$13997,5,FALSE),"")</f>
        <v/>
      </c>
      <c r="D580" s="726">
        <f>SUMIF('ПО КОРИСНИЦИМА'!$G$6:$G$13997,"Свега за пројекат 0602-П52:",'ПО КОРИСНИЦИМА'!$H$6:$H$13997)</f>
        <v>0</v>
      </c>
      <c r="E580" s="719">
        <f t="shared" si="28"/>
        <v>0</v>
      </c>
      <c r="F580" s="727">
        <f>SUMIF('ПО КОРИСНИЦИМА'!$G$6:$G$13997,"Свега за пројекат 0602-П52:",'ПО КОРИСНИЦИМА'!$I$6:$I$13997)</f>
        <v>0</v>
      </c>
      <c r="G580" s="744">
        <f t="shared" si="27"/>
        <v>0</v>
      </c>
      <c r="H580" s="728"/>
    </row>
    <row r="581" spans="1:8" hidden="1">
      <c r="A581" s="692"/>
      <c r="B581" s="90" t="s">
        <v>4990</v>
      </c>
      <c r="C581" s="610" t="str">
        <f>IFERROR(VLOOKUP(B581,'ПО КОРИСНИЦИМА'!$C$6:$J$13997,5,FALSE),"")</f>
        <v/>
      </c>
      <c r="D581" s="726">
        <f>SUMIF('ПО КОРИСНИЦИМА'!$G$6:$G$13997,"Свега за пројекат 0602-П53:",'ПО КОРИСНИЦИМА'!$H$6:$H$13997)</f>
        <v>0</v>
      </c>
      <c r="E581" s="719">
        <f t="shared" si="28"/>
        <v>0</v>
      </c>
      <c r="F581" s="727">
        <f>SUMIF('ПО КОРИСНИЦИМА'!$G$6:$G$13997,"Свега за пројекат 0602-П53:",'ПО КОРИСНИЦИМА'!$I$6:$I$13997)</f>
        <v>0</v>
      </c>
      <c r="G581" s="744">
        <f t="shared" si="27"/>
        <v>0</v>
      </c>
      <c r="H581" s="728"/>
    </row>
    <row r="582" spans="1:8" hidden="1">
      <c r="A582" s="692"/>
      <c r="B582" s="90" t="s">
        <v>4991</v>
      </c>
      <c r="C582" s="610" t="str">
        <f>IFERROR(VLOOKUP(B582,'ПО КОРИСНИЦИМА'!$C$6:$J$13997,5,FALSE),"")</f>
        <v/>
      </c>
      <c r="D582" s="726">
        <f>SUMIF('ПО КОРИСНИЦИМА'!$G$6:$G$13997,"Свега за пројекат 0602-П54:",'ПО КОРИСНИЦИМА'!$H$6:$H$13997)</f>
        <v>0</v>
      </c>
      <c r="E582" s="719">
        <f t="shared" si="28"/>
        <v>0</v>
      </c>
      <c r="F582" s="727">
        <f>SUMIF('ПО КОРИСНИЦИМА'!$G$6:$G$13997,"Свега за пројекат 0602-П54:",'ПО КОРИСНИЦИМА'!$I$6:$I$13997)</f>
        <v>0</v>
      </c>
      <c r="G582" s="744">
        <f t="shared" si="27"/>
        <v>0</v>
      </c>
      <c r="H582" s="728"/>
    </row>
    <row r="583" spans="1:8" hidden="1">
      <c r="A583" s="692"/>
      <c r="B583" s="90" t="s">
        <v>4992</v>
      </c>
      <c r="C583" s="610" t="str">
        <f>IFERROR(VLOOKUP(B583,'ПО КОРИСНИЦИМА'!$C$6:$J$13997,5,FALSE),"")</f>
        <v/>
      </c>
      <c r="D583" s="726">
        <f>SUMIF('ПО КОРИСНИЦИМА'!$G$6:$G$13997,"Свега за пројекат 0602-П55:",'ПО КОРИСНИЦИМА'!$H$6:$H$13997)</f>
        <v>0</v>
      </c>
      <c r="E583" s="719">
        <f t="shared" si="28"/>
        <v>0</v>
      </c>
      <c r="F583" s="727">
        <f>SUMIF('ПО КОРИСНИЦИМА'!$G$6:$G$13997,"Свега за пројекат 0602-П55:",'ПО КОРИСНИЦИМА'!$I$6:$I$13997)</f>
        <v>0</v>
      </c>
      <c r="G583" s="744">
        <f t="shared" si="27"/>
        <v>0</v>
      </c>
      <c r="H583" s="728"/>
    </row>
    <row r="584" spans="1:8" hidden="1">
      <c r="A584" s="692"/>
      <c r="B584" s="90" t="s">
        <v>4993</v>
      </c>
      <c r="C584" s="610" t="str">
        <f>IFERROR(VLOOKUP(B584,'ПО КОРИСНИЦИМА'!$C$6:$J$13997,5,FALSE),"")</f>
        <v/>
      </c>
      <c r="D584" s="726">
        <f>SUMIF('ПО КОРИСНИЦИМА'!$G$6:$G$13997,"Свега за пројекат 0602-П56:",'ПО КОРИСНИЦИМА'!$H$6:$H$13997)</f>
        <v>0</v>
      </c>
      <c r="E584" s="719">
        <f t="shared" ref="E584:E598" si="29">IFERROR(D584/$D$599,"-")</f>
        <v>0</v>
      </c>
      <c r="F584" s="727">
        <f>SUMIF('ПО КОРИСНИЦИМА'!$G$6:$G$13997,"Свега за пројекат 0602-П56:",'ПО КОРИСНИЦИМА'!$I$6:$I$13997)</f>
        <v>0</v>
      </c>
      <c r="G584" s="744">
        <f t="shared" si="27"/>
        <v>0</v>
      </c>
      <c r="H584" s="728"/>
    </row>
    <row r="585" spans="1:8" hidden="1">
      <c r="A585" s="692"/>
      <c r="B585" s="90" t="s">
        <v>4994</v>
      </c>
      <c r="C585" s="610" t="str">
        <f>IFERROR(VLOOKUP(B585,'ПО КОРИСНИЦИМА'!$C$6:$J$13997,5,FALSE),"")</f>
        <v/>
      </c>
      <c r="D585" s="726">
        <f>SUMIF('ПО КОРИСНИЦИМА'!$G$6:$G$13997,"Свега за пројекат 0602-П57:",'ПО КОРИСНИЦИМА'!$H$6:$H$13997)</f>
        <v>0</v>
      </c>
      <c r="E585" s="719">
        <f t="shared" si="29"/>
        <v>0</v>
      </c>
      <c r="F585" s="727">
        <f>SUMIF('ПО КОРИСНИЦИМА'!$G$6:$G$13997,"Свега за пројекат 0602-П57:",'ПО КОРИСНИЦИМА'!$I$6:$I$13997)</f>
        <v>0</v>
      </c>
      <c r="G585" s="744">
        <f t="shared" si="27"/>
        <v>0</v>
      </c>
      <c r="H585" s="728"/>
    </row>
    <row r="586" spans="1:8" hidden="1">
      <c r="A586" s="692"/>
      <c r="B586" s="90" t="s">
        <v>4995</v>
      </c>
      <c r="C586" s="610" t="str">
        <f>IFERROR(VLOOKUP(B586,'ПО КОРИСНИЦИМА'!$C$6:$J$13997,5,FALSE),"")</f>
        <v/>
      </c>
      <c r="D586" s="726">
        <f>SUMIF('ПО КОРИСНИЦИМА'!$G$6:$G$13997,"Свега за пројекат 0602-П58:",'ПО КОРИСНИЦИМА'!$H$6:$H$13997)</f>
        <v>0</v>
      </c>
      <c r="E586" s="719">
        <f t="shared" si="29"/>
        <v>0</v>
      </c>
      <c r="F586" s="727">
        <f>SUMIF('ПО КОРИСНИЦИМА'!$G$6:$G$13997,"Свега за пројекат 0602-П58:",'ПО КОРИСНИЦИМА'!$I$6:$I$13997)</f>
        <v>0</v>
      </c>
      <c r="G586" s="744">
        <f t="shared" si="27"/>
        <v>0</v>
      </c>
      <c r="H586" s="728"/>
    </row>
    <row r="587" spans="1:8" hidden="1">
      <c r="A587" s="692"/>
      <c r="B587" s="90" t="s">
        <v>4996</v>
      </c>
      <c r="C587" s="610" t="str">
        <f>IFERROR(VLOOKUP(B587,'ПО КОРИСНИЦИМА'!$C$6:$J$13997,5,FALSE),"")</f>
        <v/>
      </c>
      <c r="D587" s="726">
        <f>SUMIF('ПО КОРИСНИЦИМА'!$G$6:$G$13997,"Свега за пројекат 0602-П59:",'ПО КОРИСНИЦИМА'!$H$6:$H$13997)</f>
        <v>0</v>
      </c>
      <c r="E587" s="719">
        <f t="shared" si="29"/>
        <v>0</v>
      </c>
      <c r="F587" s="727">
        <f>SUMIF('ПО КОРИСНИЦИМА'!$G$6:$G$13997,"Свега за пројекат 0602-П59:",'ПО КОРИСНИЦИМА'!$I$6:$I$13997)</f>
        <v>0</v>
      </c>
      <c r="G587" s="744">
        <f t="shared" si="27"/>
        <v>0</v>
      </c>
      <c r="H587" s="728"/>
    </row>
    <row r="588" spans="1:8" hidden="1">
      <c r="A588" s="692"/>
      <c r="B588" s="90" t="s">
        <v>4997</v>
      </c>
      <c r="C588" s="610" t="str">
        <f>IFERROR(VLOOKUP(B588,'ПО КОРИСНИЦИМА'!$C$6:$J$13997,5,FALSE),"")</f>
        <v/>
      </c>
      <c r="D588" s="726">
        <f>SUMIF('ПО КОРИСНИЦИМА'!$G$6:$G$13997,"Свега за пројекат 0602-П60:",'ПО КОРИСНИЦИМА'!$H$6:$H$13997)</f>
        <v>0</v>
      </c>
      <c r="E588" s="719">
        <f t="shared" si="29"/>
        <v>0</v>
      </c>
      <c r="F588" s="727">
        <f>SUMIF('ПО КОРИСНИЦИМА'!$G$6:$G$13997,"Свега за пројекат 0602-П60:",'ПО КОРИСНИЦИМА'!$I$6:$I$13997)</f>
        <v>0</v>
      </c>
      <c r="G588" s="744">
        <f t="shared" si="27"/>
        <v>0</v>
      </c>
      <c r="H588" s="728"/>
    </row>
    <row r="589" spans="1:8" hidden="1">
      <c r="A589" s="692"/>
      <c r="B589" s="90" t="s">
        <v>4998</v>
      </c>
      <c r="C589" s="610" t="str">
        <f>IFERROR(VLOOKUP(B589,'ПО КОРИСНИЦИМА'!$C$6:$J$13997,5,FALSE),"")</f>
        <v/>
      </c>
      <c r="D589" s="726">
        <f>SUMIF('ПО КОРИСНИЦИМА'!$G$6:$G$13997,"Свега за пројекат 0602-П61:",'ПО КОРИСНИЦИМА'!$H$6:$H$13997)</f>
        <v>0</v>
      </c>
      <c r="E589" s="719">
        <f t="shared" si="29"/>
        <v>0</v>
      </c>
      <c r="F589" s="727">
        <f>SUMIF('ПО КОРИСНИЦИМА'!$G$6:$G$13997,"Свега за пројекат 0602-П61:",'ПО КОРИСНИЦИМА'!$I$6:$I$13997)</f>
        <v>0</v>
      </c>
      <c r="G589" s="744">
        <f t="shared" si="27"/>
        <v>0</v>
      </c>
      <c r="H589" s="728"/>
    </row>
    <row r="590" spans="1:8" hidden="1">
      <c r="A590" s="692"/>
      <c r="B590" s="90" t="s">
        <v>4999</v>
      </c>
      <c r="C590" s="610" t="str">
        <f>IFERROR(VLOOKUP(B590,'ПО КОРИСНИЦИМА'!$C$6:$J$13997,5,FALSE),"")</f>
        <v/>
      </c>
      <c r="D590" s="726">
        <f>SUMIF('ПО КОРИСНИЦИМА'!$G$6:$G$13997,"Свега за пројекат 0602-П62:",'ПО КОРИСНИЦИМА'!$H$6:$H$13997)</f>
        <v>0</v>
      </c>
      <c r="E590" s="719">
        <f t="shared" si="29"/>
        <v>0</v>
      </c>
      <c r="F590" s="727">
        <f>SUMIF('ПО КОРИСНИЦИМА'!$G$6:$G$13997,"Свега за пројекат 0602-П62:",'ПО КОРИСНИЦИМА'!$I$6:$I$13997)</f>
        <v>0</v>
      </c>
      <c r="G590" s="744">
        <f t="shared" si="27"/>
        <v>0</v>
      </c>
      <c r="H590" s="728"/>
    </row>
    <row r="591" spans="1:8" hidden="1">
      <c r="A591" s="692"/>
      <c r="B591" s="90" t="s">
        <v>5000</v>
      </c>
      <c r="C591" s="610" t="str">
        <f>IFERROR(VLOOKUP(B591,'ПО КОРИСНИЦИМА'!$C$6:$J$13997,5,FALSE),"")</f>
        <v/>
      </c>
      <c r="D591" s="726">
        <f>SUMIF('ПО КОРИСНИЦИМА'!$G$6:$G$13997,"Свега за пројекат 0602-П63:",'ПО КОРИСНИЦИМА'!$H$6:$H$13997)</f>
        <v>0</v>
      </c>
      <c r="E591" s="719">
        <f t="shared" si="29"/>
        <v>0</v>
      </c>
      <c r="F591" s="727">
        <f>SUMIF('ПО КОРИСНИЦИМА'!$G$6:$G$13997,"Свега за пројекат 0602-П63:",'ПО КОРИСНИЦИМА'!$I$6:$I$13997)</f>
        <v>0</v>
      </c>
      <c r="G591" s="744">
        <f t="shared" si="27"/>
        <v>0</v>
      </c>
      <c r="H591" s="728"/>
    </row>
    <row r="592" spans="1:8" hidden="1">
      <c r="A592" s="692"/>
      <c r="B592" s="90" t="s">
        <v>5001</v>
      </c>
      <c r="C592" s="610" t="str">
        <f>IFERROR(VLOOKUP(B592,'ПО КОРИСНИЦИМА'!$C$6:$J$13997,5,FALSE),"")</f>
        <v/>
      </c>
      <c r="D592" s="726">
        <f>SUMIF('ПО КОРИСНИЦИМА'!$G$6:$G$13997,"Свега за пројекат 0602-П64:",'ПО КОРИСНИЦИМА'!$H$6:$H$13997)</f>
        <v>0</v>
      </c>
      <c r="E592" s="719">
        <f t="shared" si="29"/>
        <v>0</v>
      </c>
      <c r="F592" s="727">
        <f>SUMIF('ПО КОРИСНИЦИМА'!$G$6:$G$13997,"Свега за пројекат 0602-П64:",'ПО КОРИСНИЦИМА'!$I$6:$I$13997)</f>
        <v>0</v>
      </c>
      <c r="G592" s="744">
        <f t="shared" si="27"/>
        <v>0</v>
      </c>
      <c r="H592" s="728"/>
    </row>
    <row r="593" spans="1:8" hidden="1">
      <c r="A593" s="692"/>
      <c r="B593" s="90" t="s">
        <v>5002</v>
      </c>
      <c r="C593" s="610" t="str">
        <f>IFERROR(VLOOKUP(B593,'ПО КОРИСНИЦИМА'!$C$6:$J$13997,5,FALSE),"")</f>
        <v/>
      </c>
      <c r="D593" s="726">
        <f>SUMIF('ПО КОРИСНИЦИМА'!$G$6:$G$13997,"Свега за пројекат 0602-П65:",'ПО КОРИСНИЦИМА'!$H$6:$H$13997)</f>
        <v>0</v>
      </c>
      <c r="E593" s="719">
        <f t="shared" si="29"/>
        <v>0</v>
      </c>
      <c r="F593" s="727">
        <f>SUMIF('ПО КОРИСНИЦИМА'!$G$6:$G$13997,"Свега за пројекат 0602-П65:",'ПО КОРИСНИЦИМА'!$I$6:$I$13997)</f>
        <v>0</v>
      </c>
      <c r="G593" s="744">
        <f t="shared" si="27"/>
        <v>0</v>
      </c>
      <c r="H593" s="728"/>
    </row>
    <row r="594" spans="1:8" hidden="1">
      <c r="A594" s="692"/>
      <c r="B594" s="90" t="s">
        <v>5003</v>
      </c>
      <c r="C594" s="610" t="str">
        <f>IFERROR(VLOOKUP(B594,'ПО КОРИСНИЦИМА'!$C$6:$J$13997,5,FALSE),"")</f>
        <v/>
      </c>
      <c r="D594" s="726">
        <f>SUMIF('ПО КОРИСНИЦИМА'!$G$6:$G$13997,"Свега за пројекат 0602-П66:",'ПО КОРИСНИЦИМА'!$H$6:$H$13997)</f>
        <v>0</v>
      </c>
      <c r="E594" s="719">
        <f t="shared" si="29"/>
        <v>0</v>
      </c>
      <c r="F594" s="727">
        <f>SUMIF('ПО КОРИСНИЦИМА'!$G$6:$G$13997,"Свега за пројекат 0602-П66:",'ПО КОРИСНИЦИМА'!$I$6:$I$13997)</f>
        <v>0</v>
      </c>
      <c r="G594" s="744">
        <f t="shared" si="27"/>
        <v>0</v>
      </c>
      <c r="H594" s="728"/>
    </row>
    <row r="595" spans="1:8" hidden="1">
      <c r="A595" s="692"/>
      <c r="B595" s="90" t="s">
        <v>5004</v>
      </c>
      <c r="C595" s="610" t="str">
        <f>IFERROR(VLOOKUP(B595,'ПО КОРИСНИЦИМА'!$C$6:$J$13997,5,FALSE),"")</f>
        <v/>
      </c>
      <c r="D595" s="726">
        <f>SUMIF('ПО КОРИСНИЦИМА'!$G$6:$G$13997,"Свега за пројекат 0602-П67:",'ПО КОРИСНИЦИМА'!$H$6:$H$13997)</f>
        <v>0</v>
      </c>
      <c r="E595" s="719">
        <f t="shared" si="29"/>
        <v>0</v>
      </c>
      <c r="F595" s="727">
        <f>SUMIF('ПО КОРИСНИЦИМА'!$G$6:$G$13997,"Свега за пројекат 0602-П67:",'ПО КОРИСНИЦИМА'!$I$6:$I$13997)</f>
        <v>0</v>
      </c>
      <c r="G595" s="744">
        <f t="shared" si="27"/>
        <v>0</v>
      </c>
      <c r="H595" s="725"/>
    </row>
    <row r="596" spans="1:8" hidden="1">
      <c r="A596" s="692"/>
      <c r="B596" s="90" t="s">
        <v>5005</v>
      </c>
      <c r="C596" s="610" t="str">
        <f>IFERROR(VLOOKUP(B596,'ПО КОРИСНИЦИМА'!$C$6:$J$13997,5,FALSE),"")</f>
        <v/>
      </c>
      <c r="D596" s="726">
        <f>SUMIF('ПО КОРИСНИЦИМА'!$G$6:$G$13997,"Свега за пројекат 0602-П68:",'ПО КОРИСНИЦИМА'!$H$6:$H$13997)</f>
        <v>0</v>
      </c>
      <c r="E596" s="719">
        <f t="shared" si="29"/>
        <v>0</v>
      </c>
      <c r="F596" s="727">
        <f>SUMIF('ПО КОРИСНИЦИМА'!$G$6:$G$13997,"Свега за пројекат 0602-П68:",'ПО КОРИСНИЦИМА'!$I$6:$I$13997)</f>
        <v>0</v>
      </c>
      <c r="G596" s="744">
        <f t="shared" si="27"/>
        <v>0</v>
      </c>
      <c r="H596" s="725"/>
    </row>
    <row r="597" spans="1:8" hidden="1">
      <c r="A597" s="692"/>
      <c r="B597" s="90" t="s">
        <v>5006</v>
      </c>
      <c r="C597" s="610" t="str">
        <f>IFERROR(VLOOKUP(B597,'ПО КОРИСНИЦИМА'!$C$6:$J$13997,5,FALSE),"")</f>
        <v/>
      </c>
      <c r="D597" s="726">
        <f>SUMIF('ПО КОРИСНИЦИМА'!$G$6:$G$13997,"Свега за пројекат 0602-П69:",'ПО КОРИСНИЦИМА'!$H$6:$H$13997)</f>
        <v>0</v>
      </c>
      <c r="E597" s="719">
        <f t="shared" si="29"/>
        <v>0</v>
      </c>
      <c r="F597" s="727">
        <f>SUMIF('ПО КОРИСНИЦИМА'!$G$6:$G$13997,"Свега за пројекат 0602-П69:",'ПО КОРИСНИЦИМА'!$I$6:$I$13997)</f>
        <v>0</v>
      </c>
      <c r="G597" s="744">
        <f t="shared" si="27"/>
        <v>0</v>
      </c>
      <c r="H597" s="725"/>
    </row>
    <row r="598" spans="1:8" hidden="1">
      <c r="A598" s="700"/>
      <c r="B598" s="90" t="s">
        <v>5007</v>
      </c>
      <c r="C598" s="610" t="str">
        <f>IFERROR(VLOOKUP(B598,'ПО КОРИСНИЦИМА'!$C$6:$J$13997,5,FALSE),"")</f>
        <v/>
      </c>
      <c r="D598" s="726">
        <f>SUMIF('ПО КОРИСНИЦИМА'!$G$6:$G$13997,"Свега за пројекат 0602-П70:",'ПО КОРИСНИЦИМА'!$H$6:$H$13997)</f>
        <v>0</v>
      </c>
      <c r="E598" s="719">
        <f t="shared" si="29"/>
        <v>0</v>
      </c>
      <c r="F598" s="727">
        <f>SUMIF('ПО КОРИСНИЦИМА'!$G$6:$G$13997,"Свега за пројекат 0602-П70:",'ПО КОРИСНИЦИМА'!$I$6:$I$13997)</f>
        <v>0</v>
      </c>
      <c r="G598" s="744">
        <f t="shared" si="27"/>
        <v>0</v>
      </c>
      <c r="H598" s="734"/>
    </row>
    <row r="599" spans="1:8" ht="27.75" customHeight="1">
      <c r="A599" s="868"/>
      <c r="B599" s="869"/>
      <c r="C599" s="701" t="s">
        <v>4158</v>
      </c>
      <c r="D599" s="745">
        <f>SUM(D518,D464,D411,D379,D343,D311,D279,D247,D194,D174,D155,D128,D98,D33,D6)</f>
        <v>474383900</v>
      </c>
      <c r="E599" s="746">
        <f>IFERROR(D599/$D$599,"-")</f>
        <v>1</v>
      </c>
      <c r="F599" s="747">
        <f>SUM(F518,F464,F411,F379,F343,F311,F279,F247,F194,F174,F155,F128,F98,F33,F6)</f>
        <v>13773771</v>
      </c>
      <c r="G599" s="745">
        <f t="shared" si="27"/>
        <v>488157671</v>
      </c>
      <c r="H599" s="748"/>
    </row>
    <row r="600" spans="1:8" ht="28.5" customHeight="1">
      <c r="D600" s="710">
        <f>D599-'По основ. нам.'!C87</f>
        <v>0</v>
      </c>
      <c r="E600" s="703"/>
      <c r="F600" s="703"/>
      <c r="G600" s="711"/>
    </row>
    <row r="605" spans="1:8">
      <c r="A605" s="825"/>
      <c r="B605" s="826"/>
    </row>
    <row r="606" spans="1:8">
      <c r="A606" s="825"/>
      <c r="B606" s="826"/>
    </row>
    <row r="607" spans="1:8">
      <c r="A607" s="825"/>
      <c r="B607" s="826"/>
    </row>
    <row r="608" spans="1:8">
      <c r="A608" s="825"/>
      <c r="B608" s="826"/>
    </row>
    <row r="609" spans="1:2">
      <c r="A609" s="825"/>
      <c r="B609" s="826"/>
    </row>
    <row r="610" spans="1:2">
      <c r="A610" s="825"/>
      <c r="B610" s="826"/>
    </row>
    <row r="611" spans="1:2">
      <c r="A611" s="825"/>
      <c r="B611" s="826"/>
    </row>
    <row r="612" spans="1:2">
      <c r="A612" s="825"/>
      <c r="B612" s="826"/>
    </row>
    <row r="613" spans="1:2">
      <c r="A613" s="825"/>
      <c r="B613" s="826"/>
    </row>
    <row r="614" spans="1:2">
      <c r="A614" s="825"/>
      <c r="B614" s="826"/>
    </row>
    <row r="615" spans="1:2">
      <c r="A615" s="825"/>
      <c r="B615" s="826"/>
    </row>
    <row r="616" spans="1:2">
      <c r="A616" s="825"/>
      <c r="B616" s="826"/>
    </row>
    <row r="617" spans="1:2">
      <c r="A617" s="825"/>
      <c r="B617" s="826"/>
    </row>
    <row r="618" spans="1:2">
      <c r="A618" s="825"/>
      <c r="B618" s="826"/>
    </row>
    <row r="619" spans="1:2">
      <c r="A619" s="825"/>
      <c r="B619" s="826"/>
    </row>
  </sheetData>
  <sheetProtection password="CA6E" sheet="1" objects="1" scenarios="1"/>
  <mergeCells count="10">
    <mergeCell ref="C1:G1"/>
    <mergeCell ref="F3:F4"/>
    <mergeCell ref="G3:G4"/>
    <mergeCell ref="H3:H4"/>
    <mergeCell ref="A2:H2"/>
    <mergeCell ref="A599:B599"/>
    <mergeCell ref="A3:B3"/>
    <mergeCell ref="C3:C4"/>
    <mergeCell ref="D3:D4"/>
    <mergeCell ref="E3:E4"/>
  </mergeCells>
  <conditionalFormatting sqref="D600:G600">
    <cfRule type="cellIs" dxfId="1" priority="1" operator="notEqual">
      <formula>0</formula>
    </cfRule>
  </conditionalFormatting>
  <dataValidations disablePrompts="1" count="1">
    <dataValidation type="whole" operator="equal" showInputMessage="1" showErrorMessage="1" errorTitle="gjkgkjgjh" error="jklhlglkjhkjhlk" sqref="D600">
      <formula1>0</formula1>
    </dataValidation>
  </dataValidations>
  <pageMargins left="0.31496062992125984" right="0.31496062992125984" top="0.35433070866141736" bottom="0.15748031496062992" header="0.31496062992125984" footer="0.31496062992125984"/>
  <pageSetup paperSize="9" scale="80" orientation="portrait" r:id="rId1"/>
  <cellWatches>
    <cellWatch r="D600"/>
  </cellWatches>
</worksheet>
</file>

<file path=xl/worksheets/sheet7.xml><?xml version="1.0" encoding="utf-8"?>
<worksheet xmlns="http://schemas.openxmlformats.org/spreadsheetml/2006/main" xmlns:r="http://schemas.openxmlformats.org/officeDocument/2006/relationships">
  <sheetPr codeName="Sheet7">
    <tabColor theme="0"/>
  </sheetPr>
  <dimension ref="A1:F141"/>
  <sheetViews>
    <sheetView workbookViewId="0">
      <selection activeCell="O143" sqref="O143:P145"/>
    </sheetView>
  </sheetViews>
  <sheetFormatPr defaultRowHeight="15"/>
  <cols>
    <col min="1" max="1" width="8.7109375" style="84" customWidth="1"/>
    <col min="2" max="2" width="44.7109375" style="84" customWidth="1"/>
    <col min="3" max="3" width="12.42578125" style="84" customWidth="1"/>
    <col min="4" max="4" width="7.5703125" style="84" customWidth="1"/>
    <col min="5" max="5" width="11.5703125" style="84" customWidth="1"/>
    <col min="6" max="6" width="12.28515625" style="84" customWidth="1"/>
    <col min="7" max="16384" width="9.140625" style="84"/>
  </cols>
  <sheetData>
    <row r="1" spans="1:6">
      <c r="B1" s="853" t="s">
        <v>5162</v>
      </c>
      <c r="C1" s="853"/>
      <c r="D1" s="853"/>
      <c r="E1" s="853"/>
    </row>
    <row r="2" spans="1:6" ht="15" customHeight="1">
      <c r="A2" s="852" t="s">
        <v>5281</v>
      </c>
      <c r="B2" s="852"/>
      <c r="C2" s="852"/>
      <c r="D2" s="852"/>
      <c r="E2" s="852"/>
      <c r="F2" s="852"/>
    </row>
    <row r="3" spans="1:6" ht="29.25" customHeight="1">
      <c r="A3" s="604" t="s">
        <v>3873</v>
      </c>
      <c r="B3" s="604" t="s">
        <v>3874</v>
      </c>
      <c r="C3" s="605" t="s">
        <v>24</v>
      </c>
      <c r="D3" s="605" t="s">
        <v>3763</v>
      </c>
      <c r="E3" s="605" t="s">
        <v>3760</v>
      </c>
      <c r="F3" s="605" t="s">
        <v>4163</v>
      </c>
    </row>
    <row r="4" spans="1:6">
      <c r="A4" s="602" t="s">
        <v>3766</v>
      </c>
      <c r="B4" s="603">
        <v>2</v>
      </c>
      <c r="C4" s="256">
        <v>3</v>
      </c>
      <c r="D4" s="256">
        <v>4</v>
      </c>
      <c r="E4" s="256">
        <v>5</v>
      </c>
      <c r="F4" s="256">
        <v>6</v>
      </c>
    </row>
    <row r="5" spans="1:6">
      <c r="A5" s="92" t="s">
        <v>3875</v>
      </c>
      <c r="B5" s="93" t="s">
        <v>94</v>
      </c>
      <c r="C5" s="94">
        <f>SUM(C6:C14)</f>
        <v>7431000</v>
      </c>
      <c r="D5" s="606">
        <f>IFERROR(C5/$C$140,"-")</f>
        <v>1.5664528243896979E-2</v>
      </c>
      <c r="E5" s="94">
        <f>SUM(E6:E14)</f>
        <v>0</v>
      </c>
      <c r="F5" s="94">
        <f>SUM(F6:F14)</f>
        <v>7431000</v>
      </c>
    </row>
    <row r="6" spans="1:6" hidden="1">
      <c r="A6" s="91" t="s">
        <v>3876</v>
      </c>
      <c r="B6" s="95" t="s">
        <v>3877</v>
      </c>
      <c r="C6" s="96">
        <f>SUMIF('ПО КОРИСНИЦИМА'!$G$6:$G$13997,"Функција 010:",'ПО КОРИСНИЦИМА'!$H$6:$H$13997)</f>
        <v>0</v>
      </c>
      <c r="D6" s="97">
        <f t="shared" ref="D6:D69" si="0">IFERROR(C6/$C$140,"-")</f>
        <v>0</v>
      </c>
      <c r="E6" s="96">
        <f>SUMIF('ПО КОРИСНИЦИМА'!$G$6:$G$13997,"Функција 010:",'ПО КОРИСНИЦИМА'!$I$6:$I$13997)</f>
        <v>0</v>
      </c>
      <c r="F6" s="96">
        <f>SUM(E6,C6)</f>
        <v>0</v>
      </c>
    </row>
    <row r="7" spans="1:6" hidden="1">
      <c r="A7" s="91" t="s">
        <v>3878</v>
      </c>
      <c r="B7" s="95" t="s">
        <v>3879</v>
      </c>
      <c r="C7" s="96">
        <f>SUMIF('ПО КОРИСНИЦИМА'!$G$6:$G$13997,"Функција 020:",'ПО КОРИСНИЦИМА'!$H$6:$H$13997)</f>
        <v>0</v>
      </c>
      <c r="D7" s="97">
        <f t="shared" si="0"/>
        <v>0</v>
      </c>
      <c r="E7" s="96">
        <f>SUMIF('ПО КОРИСНИЦИМА'!$G$6:$G$13997,"Функција 020:",'ПО КОРИСНИЦИМА'!$I$6:$I$13997)</f>
        <v>0</v>
      </c>
      <c r="F7" s="96">
        <f t="shared" ref="F7:F70" si="1">SUM(E7,C7)</f>
        <v>0</v>
      </c>
    </row>
    <row r="8" spans="1:6" hidden="1">
      <c r="A8" s="91" t="s">
        <v>3880</v>
      </c>
      <c r="B8" s="95" t="s">
        <v>3881</v>
      </c>
      <c r="C8" s="96">
        <f>SUMIF('ПО КОРИСНИЦИМА'!$G$6:$G$13997,"Функција 030:",'ПО КОРИСНИЦИМА'!$H$6:$H$13997)</f>
        <v>0</v>
      </c>
      <c r="D8" s="97">
        <f t="shared" si="0"/>
        <v>0</v>
      </c>
      <c r="E8" s="96">
        <f>SUMIF('ПО КОРИСНИЦИМА'!$G$6:$G$13997,"Функција 030:",'ПО КОРИСНИЦИМА'!$I$6:$I$13997)</f>
        <v>0</v>
      </c>
      <c r="F8" s="96">
        <f t="shared" si="1"/>
        <v>0</v>
      </c>
    </row>
    <row r="9" spans="1:6">
      <c r="A9" s="91" t="s">
        <v>3882</v>
      </c>
      <c r="B9" s="95" t="s">
        <v>3883</v>
      </c>
      <c r="C9" s="96">
        <f>SUMIF('ПО КОРИСНИЦИМА'!$G$6:$G$13997,"Функција 040:",'ПО КОРИСНИЦИМА'!$H$6:$H$13997)</f>
        <v>1600000</v>
      </c>
      <c r="D9" s="97">
        <f t="shared" si="0"/>
        <v>3.3727957462300049E-3</v>
      </c>
      <c r="E9" s="96">
        <f>SUMIF('ПО КОРИСНИЦИМА'!$G$6:$G$13997,"Функција 040:",'ПО КОРИСНИЦИМА'!$I$6:$I$13997)</f>
        <v>0</v>
      </c>
      <c r="F9" s="96">
        <f t="shared" si="1"/>
        <v>1600000</v>
      </c>
    </row>
    <row r="10" spans="1:6" hidden="1">
      <c r="A10" s="91" t="s">
        <v>3884</v>
      </c>
      <c r="B10" s="95" t="s">
        <v>3885</v>
      </c>
      <c r="C10" s="96">
        <f>SUMIF('ПО КОРИСНИЦИМА'!$G$6:$G$13997,"Функција 050:",'ПО КОРИСНИЦИМА'!$H$6:$H$13997)</f>
        <v>0</v>
      </c>
      <c r="D10" s="97">
        <f t="shared" si="0"/>
        <v>0</v>
      </c>
      <c r="E10" s="96">
        <f>SUMIF('ПО КОРИСНИЦИМА'!$G$6:$G$13997,"Функција 050:",'ПО КОРИСНИЦИМА'!$I$6:$I$13997)</f>
        <v>0</v>
      </c>
      <c r="F10" s="96">
        <f t="shared" si="1"/>
        <v>0</v>
      </c>
    </row>
    <row r="11" spans="1:6" hidden="1">
      <c r="A11" s="91" t="s">
        <v>3886</v>
      </c>
      <c r="B11" s="95" t="s">
        <v>3887</v>
      </c>
      <c r="C11" s="96">
        <f>SUMIF('ПО КОРИСНИЦИМА'!$G$6:$G$13997,"Функција 060:",'ПО КОРИСНИЦИМА'!$H$6:$H$13997)</f>
        <v>0</v>
      </c>
      <c r="D11" s="97">
        <f t="shared" si="0"/>
        <v>0</v>
      </c>
      <c r="E11" s="96">
        <f>SUMIF('ПО КОРИСНИЦИМА'!$G$6:$G$13997,"Функција 060:",'ПО КОРИСНИЦИМА'!$I$6:$I$13997)</f>
        <v>0</v>
      </c>
      <c r="F11" s="96">
        <f t="shared" si="1"/>
        <v>0</v>
      </c>
    </row>
    <row r="12" spans="1:6" ht="22.5" hidden="1">
      <c r="A12" s="91" t="s">
        <v>3888</v>
      </c>
      <c r="B12" s="95" t="s">
        <v>3889</v>
      </c>
      <c r="C12" s="96">
        <f>SUMIF('ПО КОРИСНИЦИМА'!$G$6:$G$13997,"Функција 070:",'ПО КОРИСНИЦИМА'!$H$6:$H$13997)</f>
        <v>0</v>
      </c>
      <c r="D12" s="97">
        <f t="shared" si="0"/>
        <v>0</v>
      </c>
      <c r="E12" s="96">
        <f>SUMIF('ПО КОРИСНИЦИМА'!$G$6:$G$13997,"Функција 070:",'ПО КОРИСНИЦИМА'!$I$6:$I$13997)</f>
        <v>0</v>
      </c>
      <c r="F12" s="96">
        <f t="shared" si="1"/>
        <v>0</v>
      </c>
    </row>
    <row r="13" spans="1:6" hidden="1">
      <c r="A13" s="91" t="s">
        <v>3890</v>
      </c>
      <c r="B13" s="95" t="s">
        <v>3891</v>
      </c>
      <c r="C13" s="96">
        <f>SUMIF('ПО КОРИСНИЦИМА'!$G$6:$G$13997,"Функција 080:",'ПО КОРИСНИЦИМА'!$H$6:$H$13997)</f>
        <v>0</v>
      </c>
      <c r="D13" s="97">
        <f t="shared" si="0"/>
        <v>0</v>
      </c>
      <c r="E13" s="96">
        <f>SUMIF('ПО КОРИСНИЦИМА'!$G$6:$G$13997,"Функција 080:",'ПО КОРИСНИЦИМА'!$I$6:$I$13997)</f>
        <v>0</v>
      </c>
      <c r="F13" s="96">
        <f t="shared" si="1"/>
        <v>0</v>
      </c>
    </row>
    <row r="14" spans="1:6">
      <c r="A14" s="91" t="s">
        <v>3892</v>
      </c>
      <c r="B14" s="95" t="s">
        <v>103</v>
      </c>
      <c r="C14" s="96">
        <f>SUMIF('ПО КОРИСНИЦИМА'!$G$6:$G$13997,"Функција 090:",'ПО КОРИСНИЦИМА'!$H$6:$H$13997)</f>
        <v>5831000</v>
      </c>
      <c r="D14" s="97">
        <f t="shared" si="0"/>
        <v>1.2291732497666973E-2</v>
      </c>
      <c r="E14" s="96">
        <f>SUMIF('ПО КОРИСНИЦИМА'!$G$6:$G$13997,"Функција 090:",'ПО КОРИСНИЦИМА'!$I$6:$I$13997)</f>
        <v>0</v>
      </c>
      <c r="F14" s="96">
        <f t="shared" si="1"/>
        <v>5831000</v>
      </c>
    </row>
    <row r="15" spans="1:6" ht="11.25" customHeight="1">
      <c r="A15" s="98" t="s">
        <v>3893</v>
      </c>
      <c r="B15" s="99" t="s">
        <v>104</v>
      </c>
      <c r="C15" s="94">
        <f>SUM(C16:C31)</f>
        <v>122797153</v>
      </c>
      <c r="D15" s="100">
        <f t="shared" si="0"/>
        <v>0.25885607205472194</v>
      </c>
      <c r="E15" s="94">
        <f>SUM(E16:E31)</f>
        <v>0</v>
      </c>
      <c r="F15" s="94">
        <f t="shared" ref="F15:F39" si="2">C15+E15</f>
        <v>122797153</v>
      </c>
    </row>
    <row r="16" spans="1:6" ht="23.25">
      <c r="A16" s="101" t="s">
        <v>3894</v>
      </c>
      <c r="B16" s="102" t="s">
        <v>3895</v>
      </c>
      <c r="C16" s="96">
        <f>SUMIF('ПО КОРИСНИЦИМА'!$G$6:$G$13997,"Функција 110:",'ПО КОРИСНИЦИМА'!$H$6:$H$13997)</f>
        <v>4771000</v>
      </c>
      <c r="D16" s="97">
        <f t="shared" si="0"/>
        <v>1.0057255315789595E-2</v>
      </c>
      <c r="E16" s="96">
        <f>SUMIF('ПО КОРИСНИЦИМА'!$G$6:$G$13997,"Функција 110:",'ПО КОРИСНИЦИМА'!$I$6:$I$13997)</f>
        <v>0</v>
      </c>
      <c r="F16" s="96">
        <f t="shared" si="1"/>
        <v>4771000</v>
      </c>
    </row>
    <row r="17" spans="1:6">
      <c r="A17" s="103" t="s">
        <v>3896</v>
      </c>
      <c r="B17" s="102" t="s">
        <v>106</v>
      </c>
      <c r="C17" s="96">
        <f>SUMIF('ПО КОРИСНИЦИМА'!$G$6:$G$13997,"Функција 111:",'ПО КОРИСНИЦИМА'!$H$6:$H$13997)</f>
        <v>17335000</v>
      </c>
      <c r="D17" s="97">
        <f t="shared" si="0"/>
        <v>3.6542133913060708E-2</v>
      </c>
      <c r="E17" s="96">
        <f>SUMIF('ПО КОРИСНИЦИМА'!$G$6:$G$13997,"Функција 111:",'ПО КОРИСНИЦИМА'!$I$6:$I$13997)</f>
        <v>0</v>
      </c>
      <c r="F17" s="96">
        <f t="shared" si="1"/>
        <v>17335000</v>
      </c>
    </row>
    <row r="18" spans="1:6">
      <c r="A18" s="103" t="s">
        <v>3897</v>
      </c>
      <c r="B18" s="102" t="s">
        <v>107</v>
      </c>
      <c r="C18" s="96">
        <f>SUMIF('ПО КОРИСНИЦИМА'!$G$6:$G$13997,"Функција 112:",'ПО КОРИСНИЦИМА'!$H$6:$H$13997)</f>
        <v>5100000</v>
      </c>
      <c r="D18" s="97">
        <f t="shared" si="0"/>
        <v>1.075078644110814E-2</v>
      </c>
      <c r="E18" s="96">
        <f>SUMIF('ПО КОРИСНИЦИМА'!$G$6:$G$13997,"Функција 112:",'ПО КОРИСНИЦИМА'!$I$6:$I$13997)</f>
        <v>0</v>
      </c>
      <c r="F18" s="96">
        <f t="shared" si="1"/>
        <v>5100000</v>
      </c>
    </row>
    <row r="19" spans="1:6" hidden="1">
      <c r="A19" s="103" t="s">
        <v>3898</v>
      </c>
      <c r="B19" s="102" t="s">
        <v>108</v>
      </c>
      <c r="C19" s="96">
        <f>SUMIF('ПО КОРИСНИЦИМА'!$G$6:$G$13997,"Функција 113:",'ПО КОРИСНИЦИМА'!$H$6:$H$13997)</f>
        <v>0</v>
      </c>
      <c r="D19" s="97">
        <f t="shared" si="0"/>
        <v>0</v>
      </c>
      <c r="E19" s="96">
        <f>SUMIF('ПО КОРИСНИЦИМА'!$G$6:$G$13997,"Функција 113:",'ПО КОРИСНИЦИМА'!$I$6:$I$13997)</f>
        <v>0</v>
      </c>
      <c r="F19" s="96">
        <f t="shared" si="1"/>
        <v>0</v>
      </c>
    </row>
    <row r="20" spans="1:6" hidden="1">
      <c r="A20" s="101" t="s">
        <v>3899</v>
      </c>
      <c r="B20" s="102" t="s">
        <v>3900</v>
      </c>
      <c r="C20" s="96">
        <f>SUMIF('ПО КОРИСНИЦИМА'!$G$6:$G$13997,"Функција 120:",'ПО КОРИСНИЦИМА'!$H$6:$H$13997)</f>
        <v>0</v>
      </c>
      <c r="D20" s="97">
        <f t="shared" si="0"/>
        <v>0</v>
      </c>
      <c r="E20" s="96">
        <f>SUMIF('ПО КОРИСНИЦИМА'!$G$6:$G$13997,"Функција 120:",'ПО КОРИСНИЦИМА'!$I$6:$I$13997)</f>
        <v>0</v>
      </c>
      <c r="F20" s="96">
        <f t="shared" si="1"/>
        <v>0</v>
      </c>
    </row>
    <row r="21" spans="1:6" hidden="1">
      <c r="A21" s="103" t="s">
        <v>3901</v>
      </c>
      <c r="B21" s="102" t="s">
        <v>110</v>
      </c>
      <c r="C21" s="96">
        <f>SUMIF('ПО КОРИСНИЦИМА'!$G$6:$G$13997,"Функција 121:",'ПО КОРИСНИЦИМА'!$H$6:$H$13997)</f>
        <v>0</v>
      </c>
      <c r="D21" s="97">
        <f t="shared" si="0"/>
        <v>0</v>
      </c>
      <c r="E21" s="96">
        <f>SUMIF('ПО КОРИСНИЦИМА'!$G$6:$G$13997,"Функција 121:",'ПО КОРИСНИЦИМА'!$I$6:$I$13997)</f>
        <v>0</v>
      </c>
      <c r="F21" s="96">
        <f t="shared" si="1"/>
        <v>0</v>
      </c>
    </row>
    <row r="22" spans="1:6" hidden="1">
      <c r="A22" s="103" t="s">
        <v>3902</v>
      </c>
      <c r="B22" s="102" t="s">
        <v>111</v>
      </c>
      <c r="C22" s="96">
        <f>SUMIF('ПО КОРИСНИЦИМА'!$G$6:$G$13997,"Функција 122:",'ПО КОРИСНИЦИМА'!$H$6:$H$13997)</f>
        <v>0</v>
      </c>
      <c r="D22" s="97">
        <f t="shared" si="0"/>
        <v>0</v>
      </c>
      <c r="E22" s="96">
        <f>SUMIF('ПО КОРИСНИЦИМА'!$G$6:$G$13997,"Функција 122:",'ПО КОРИСНИЦИМА'!$I$6:$I$13997)</f>
        <v>0</v>
      </c>
      <c r="F22" s="96">
        <f t="shared" si="1"/>
        <v>0</v>
      </c>
    </row>
    <row r="23" spans="1:6">
      <c r="A23" s="101" t="s">
        <v>3903</v>
      </c>
      <c r="B23" s="102" t="s">
        <v>3904</v>
      </c>
      <c r="C23" s="96">
        <f>SUMIF('ПО КОРИСНИЦИМА'!$G$6:$G$13997,"Функција 130:",'ПО КОРИСНИЦИМА'!$H$6:$H$13997)</f>
        <v>94157153</v>
      </c>
      <c r="D23" s="97">
        <f t="shared" si="0"/>
        <v>0.19848302819720484</v>
      </c>
      <c r="E23" s="96">
        <f>SUMIF('ПО КОРИСНИЦИМА'!$G$6:$G$13997,"Функција 130:",'ПО КОРИСНИЦИМА'!$I$6:$I$13997)</f>
        <v>0</v>
      </c>
      <c r="F23" s="96">
        <f t="shared" si="1"/>
        <v>94157153</v>
      </c>
    </row>
    <row r="24" spans="1:6" hidden="1">
      <c r="A24" s="103" t="s">
        <v>3905</v>
      </c>
      <c r="B24" s="102" t="s">
        <v>113</v>
      </c>
      <c r="C24" s="96">
        <f>SUMIF('ПО КОРИСНИЦИМА'!$G$6:$G$13997,"Функција 131:",'ПО КОРИСНИЦИМА'!$H$6:$H$13997)</f>
        <v>0</v>
      </c>
      <c r="D24" s="97">
        <f t="shared" si="0"/>
        <v>0</v>
      </c>
      <c r="E24" s="96">
        <f>SUMIF('ПО КОРИСНИЦИМА'!$G$6:$G$13997,"Функција 131:",'ПО КОРИСНИЦИМА'!$I$6:$I$13997)</f>
        <v>0</v>
      </c>
      <c r="F24" s="96">
        <f t="shared" si="1"/>
        <v>0</v>
      </c>
    </row>
    <row r="25" spans="1:6" hidden="1">
      <c r="A25" s="103" t="s">
        <v>3906</v>
      </c>
      <c r="B25" s="102" t="s">
        <v>114</v>
      </c>
      <c r="C25" s="96">
        <f>SUMIF('ПО КОРИСНИЦИМА'!$G$6:$G$13997,"Функција 132:",'ПО КОРИСНИЦИМА'!$H$6:$H$13997)</f>
        <v>0</v>
      </c>
      <c r="D25" s="97">
        <f t="shared" si="0"/>
        <v>0</v>
      </c>
      <c r="E25" s="96">
        <f>SUMIF('ПО КОРИСНИЦИМА'!$G$6:$G$13997,"Функција 132:",'ПО КОРИСНИЦИМА'!$I$6:$I$13997)</f>
        <v>0</v>
      </c>
      <c r="F25" s="96">
        <f t="shared" si="1"/>
        <v>0</v>
      </c>
    </row>
    <row r="26" spans="1:6" hidden="1">
      <c r="A26" s="103" t="s">
        <v>3907</v>
      </c>
      <c r="B26" s="102" t="s">
        <v>115</v>
      </c>
      <c r="C26" s="96">
        <f>SUMIF('ПО КОРИСНИЦИМА'!$G$6:$G$13997,"Функција 133:",'ПО КОРИСНИЦИМА'!$H$6:$H$13997)</f>
        <v>0</v>
      </c>
      <c r="D26" s="97">
        <f t="shared" si="0"/>
        <v>0</v>
      </c>
      <c r="E26" s="96">
        <f>SUMIF('ПО КОРИСНИЦИМА'!$G$6:$G$13997,"Функција 133:",'ПО КОРИСНИЦИМА'!$I$6:$I$13997)</f>
        <v>0</v>
      </c>
      <c r="F26" s="96">
        <f t="shared" si="1"/>
        <v>0</v>
      </c>
    </row>
    <row r="27" spans="1:6" hidden="1">
      <c r="A27" s="101" t="s">
        <v>3908</v>
      </c>
      <c r="B27" s="102" t="s">
        <v>3909</v>
      </c>
      <c r="C27" s="96">
        <f>SUMIF('ПО КОРИСНИЦИМА'!$G$6:$G$13997,"Функција 140:",'ПО КОРИСНИЦИМА'!$H$6:$H$13997)</f>
        <v>0</v>
      </c>
      <c r="D27" s="97">
        <f t="shared" si="0"/>
        <v>0</v>
      </c>
      <c r="E27" s="96">
        <f>SUMIF('ПО КОРИСНИЦИМА'!$G$6:$G$13997,"Функција 140:",'ПО КОРИСНИЦИМА'!$I$6:$I$13997)</f>
        <v>0</v>
      </c>
      <c r="F27" s="96">
        <f t="shared" si="1"/>
        <v>0</v>
      </c>
    </row>
    <row r="28" spans="1:6">
      <c r="A28" s="101" t="s">
        <v>3910</v>
      </c>
      <c r="B28" s="102" t="s">
        <v>3911</v>
      </c>
      <c r="C28" s="96">
        <f>SUMIF('ПО КОРИСНИЦИМА'!$G$6:$G$13997,"Функција 150:",'ПО КОРИСНИЦИМА'!$H$6:$H$13997)</f>
        <v>834000</v>
      </c>
      <c r="D28" s="97">
        <f t="shared" si="0"/>
        <v>1.7580697827223901E-3</v>
      </c>
      <c r="E28" s="96">
        <f>SUMIF('ПО КОРИСНИЦИМА'!$G$6:$G$13997,"Функција 150:",'ПО КОРИСНИЦИМА'!$I$6:$I$13997)</f>
        <v>0</v>
      </c>
      <c r="F28" s="96">
        <f t="shared" si="1"/>
        <v>834000</v>
      </c>
    </row>
    <row r="29" spans="1:6">
      <c r="A29" s="101" t="s">
        <v>3912</v>
      </c>
      <c r="B29" s="102" t="s">
        <v>3913</v>
      </c>
      <c r="C29" s="96">
        <f>SUMIF('ПО КОРИСНИЦИМА'!$G$6:$G$13997,"Функција 160:",'ПО КОРИСНИЦИМА'!$H$6:$H$13997)</f>
        <v>600000</v>
      </c>
      <c r="D29" s="97">
        <f t="shared" si="0"/>
        <v>1.2647984048362519E-3</v>
      </c>
      <c r="E29" s="96">
        <f>SUMIF('ПО КОРИСНИЦИМА'!$G$6:$G$13997,"Функција 160:",'ПО КОРИСНИЦИМА'!$I$6:$I$13997)</f>
        <v>0</v>
      </c>
      <c r="F29" s="96">
        <f t="shared" si="1"/>
        <v>600000</v>
      </c>
    </row>
    <row r="30" spans="1:6" hidden="1">
      <c r="A30" s="101" t="s">
        <v>3914</v>
      </c>
      <c r="B30" s="102" t="s">
        <v>3915</v>
      </c>
      <c r="C30" s="96">
        <f>SUMIF('ПО КОРИСНИЦИМА'!$G$6:$G$13997,"Функција 170:",'ПО КОРИСНИЦИМА'!$H$6:$H$13997)</f>
        <v>0</v>
      </c>
      <c r="D30" s="97">
        <f t="shared" si="0"/>
        <v>0</v>
      </c>
      <c r="E30" s="96">
        <f>SUMIF('ПО КОРИСНИЦИМА'!$G$6:$G$13997,"Функција 170:",'ПО КОРИСНИЦИМА'!$I$6:$I$13997)</f>
        <v>0</v>
      </c>
      <c r="F30" s="96">
        <f t="shared" si="1"/>
        <v>0</v>
      </c>
    </row>
    <row r="31" spans="1:6" ht="23.25" hidden="1">
      <c r="A31" s="101" t="s">
        <v>3916</v>
      </c>
      <c r="B31" s="102" t="s">
        <v>120</v>
      </c>
      <c r="C31" s="96">
        <f>SUMIF('ПО КОРИСНИЦИМА'!$G$6:$G$13997,"Функција 180:",'ПО КОРИСНИЦИМА'!$H$6:$H$13997)</f>
        <v>0</v>
      </c>
      <c r="D31" s="97">
        <f t="shared" si="0"/>
        <v>0</v>
      </c>
      <c r="E31" s="96">
        <f>SUMIF('ПО КОРИСНИЦИМА'!$G$6:$G$13997,"Функција 180:",'ПО КОРИСНИЦИМА'!$I$6:$I$13997)</f>
        <v>0</v>
      </c>
      <c r="F31" s="96">
        <f t="shared" si="1"/>
        <v>0</v>
      </c>
    </row>
    <row r="32" spans="1:6">
      <c r="A32" s="98" t="s">
        <v>3917</v>
      </c>
      <c r="B32" s="104" t="s">
        <v>127</v>
      </c>
      <c r="C32" s="94">
        <f>SUM(C33:C38)</f>
        <v>12370800</v>
      </c>
      <c r="D32" s="100">
        <f t="shared" si="0"/>
        <v>2.6077613510913839E-2</v>
      </c>
      <c r="E32" s="94">
        <f>SUM(E33:E38)</f>
        <v>0</v>
      </c>
      <c r="F32" s="94">
        <f t="shared" si="2"/>
        <v>12370800</v>
      </c>
    </row>
    <row r="33" spans="1:6" hidden="1">
      <c r="A33" s="101" t="s">
        <v>3918</v>
      </c>
      <c r="B33" s="102" t="s">
        <v>3919</v>
      </c>
      <c r="C33" s="96">
        <f>SUMIF('ПО КОРИСНИЦИМА'!$G$6:$G$13997,"Функција 310:",'ПО КОРИСНИЦИМА'!$H$6:$H$13997)</f>
        <v>0</v>
      </c>
      <c r="D33" s="97">
        <f t="shared" si="0"/>
        <v>0</v>
      </c>
      <c r="E33" s="96">
        <f>SUMIF('ПО КОРИСНИЦИМА'!$G$6:$G$13997,"Функција 310:",'ПО КОРИСНИЦИМА'!$I$6:$I$13997)</f>
        <v>0</v>
      </c>
      <c r="F33" s="96">
        <f t="shared" si="1"/>
        <v>0</v>
      </c>
    </row>
    <row r="34" spans="1:6" hidden="1">
      <c r="A34" s="101" t="s">
        <v>3920</v>
      </c>
      <c r="B34" s="102" t="s">
        <v>3921</v>
      </c>
      <c r="C34" s="96">
        <f>SUMIF('ПО КОРИСНИЦИМА'!$G$6:$G$13997,"Функција 320:",'ПО КОРИСНИЦИМА'!$H$6:$H$13997)</f>
        <v>0</v>
      </c>
      <c r="D34" s="97">
        <f t="shared" si="0"/>
        <v>0</v>
      </c>
      <c r="E34" s="96">
        <f>SUMIF('ПО КОРИСНИЦИМА'!$G$6:$G$13997,"Функција 320:",'ПО КОРИСНИЦИМА'!$I$6:$I$13997)</f>
        <v>0</v>
      </c>
      <c r="F34" s="96">
        <f t="shared" si="1"/>
        <v>0</v>
      </c>
    </row>
    <row r="35" spans="1:6">
      <c r="A35" s="101" t="s">
        <v>3922</v>
      </c>
      <c r="B35" s="102" t="s">
        <v>3923</v>
      </c>
      <c r="C35" s="96">
        <f>SUMIF('ПО КОРИСНИЦИМА'!$G$6:$G$13997,"Функција 330:",'ПО КОРИСНИЦИМА'!$H$6:$H$13997)</f>
        <v>1670800</v>
      </c>
      <c r="D35" s="97">
        <f t="shared" si="0"/>
        <v>3.5220419580006827E-3</v>
      </c>
      <c r="E35" s="96">
        <f>SUMIF('ПО КОРИСНИЦИМА'!$G$6:$G$13997,"Функција 330:",'ПО КОРИСНИЦИМА'!$I$6:$I$13997)</f>
        <v>0</v>
      </c>
      <c r="F35" s="96">
        <f t="shared" si="1"/>
        <v>1670800</v>
      </c>
    </row>
    <row r="36" spans="1:6" hidden="1">
      <c r="A36" s="101" t="s">
        <v>3924</v>
      </c>
      <c r="B36" s="102" t="s">
        <v>3925</v>
      </c>
      <c r="C36" s="96">
        <f>SUMIF('ПО КОРИСНИЦИМА'!$G$6:$G$13997,"Функција 340:",'ПО КОРИСНИЦИМА'!$H$6:$H$13997)</f>
        <v>0</v>
      </c>
      <c r="D36" s="97">
        <f t="shared" si="0"/>
        <v>0</v>
      </c>
      <c r="E36" s="96">
        <f>SUMIF('ПО КОРИСНИЦИМА'!$G$6:$G$13997,"Функција 340:",'ПО КОРИСНИЦИМА'!$I$6:$I$13997)</f>
        <v>0</v>
      </c>
      <c r="F36" s="96">
        <f t="shared" si="1"/>
        <v>0</v>
      </c>
    </row>
    <row r="37" spans="1:6" hidden="1">
      <c r="A37" s="101" t="s">
        <v>3926</v>
      </c>
      <c r="B37" s="102" t="s">
        <v>3927</v>
      </c>
      <c r="C37" s="96">
        <f>SUMIF('ПО КОРИСНИЦИМА'!$G$6:$G$13997,"Функција 350:",'ПО КОРИСНИЦИМА'!$H$6:$H$13997)</f>
        <v>0</v>
      </c>
      <c r="D37" s="97">
        <f t="shared" si="0"/>
        <v>0</v>
      </c>
      <c r="E37" s="96">
        <f>SUMIF('ПО КОРИСНИЦИМА'!$G$6:$G$13997,"Функција 350:",'ПО КОРИСНИЦИМА'!$I$6:$I$13997)</f>
        <v>0</v>
      </c>
      <c r="F37" s="96">
        <f t="shared" si="1"/>
        <v>0</v>
      </c>
    </row>
    <row r="38" spans="1:6">
      <c r="A38" s="101" t="s">
        <v>3928</v>
      </c>
      <c r="B38" s="102" t="s">
        <v>3929</v>
      </c>
      <c r="C38" s="96">
        <f>SUMIF('ПО КОРИСНИЦИМА'!$G$6:$G$13997,"Функција 360:",'ПО КОРИСНИЦИМА'!$H$6:$H$13997)</f>
        <v>10700000</v>
      </c>
      <c r="D38" s="97">
        <f t="shared" si="0"/>
        <v>2.2555571552913156E-2</v>
      </c>
      <c r="E38" s="96">
        <f>SUMIF('ПО КОРИСНИЦИМА'!$G$6:$G$13997,"Функција 360:",'ПО КОРИСНИЦИМА'!$I$6:$I$13997)</f>
        <v>0</v>
      </c>
      <c r="F38" s="96">
        <f t="shared" si="1"/>
        <v>10700000</v>
      </c>
    </row>
    <row r="39" spans="1:6">
      <c r="A39" s="98" t="s">
        <v>3930</v>
      </c>
      <c r="B39" s="99" t="s">
        <v>133</v>
      </c>
      <c r="C39" s="94">
        <f>SUM(C40:C78)</f>
        <v>36561000</v>
      </c>
      <c r="D39" s="100">
        <f t="shared" si="0"/>
        <v>7.7070490798697003E-2</v>
      </c>
      <c r="E39" s="94">
        <f>SUM(E40:E78)</f>
        <v>1300000</v>
      </c>
      <c r="F39" s="94">
        <f t="shared" si="2"/>
        <v>37861000</v>
      </c>
    </row>
    <row r="40" spans="1:6" ht="23.25" hidden="1">
      <c r="A40" s="101" t="s">
        <v>3767</v>
      </c>
      <c r="B40" s="105" t="s">
        <v>3931</v>
      </c>
      <c r="C40" s="96">
        <f>SUMIF('ПО КОРИСНИЦИМА'!$G$6:$G$13997,"Функција 410:",'ПО КОРИСНИЦИМА'!$H$6:$H$13997)</f>
        <v>0</v>
      </c>
      <c r="D40" s="97">
        <f t="shared" si="0"/>
        <v>0</v>
      </c>
      <c r="E40" s="96">
        <f>SUMIF('ПО КОРИСНИЦИМА'!$G$6:$G$13997,"Функција 410:",'ПО КОРИСНИЦИМА'!$I$6:$I$13997)</f>
        <v>0</v>
      </c>
      <c r="F40" s="96">
        <f t="shared" si="1"/>
        <v>0</v>
      </c>
    </row>
    <row r="41" spans="1:6" hidden="1">
      <c r="A41" s="103" t="s">
        <v>3932</v>
      </c>
      <c r="B41" s="105" t="s">
        <v>135</v>
      </c>
      <c r="C41" s="96">
        <f>SUMIF('ПО КОРИСНИЦИМА'!$G$6:$G$13997,"Функција 411:",'ПО КОРИСНИЦИМА'!$H$6:$H$13997)</f>
        <v>0</v>
      </c>
      <c r="D41" s="97">
        <f t="shared" si="0"/>
        <v>0</v>
      </c>
      <c r="E41" s="96">
        <f>SUMIF('ПО КОРИСНИЦИМА'!$G$6:$G$13997,"Функција 411:",'ПО КОРИСНИЦИМА'!$I$6:$I$13997)</f>
        <v>0</v>
      </c>
      <c r="F41" s="96">
        <f t="shared" si="1"/>
        <v>0</v>
      </c>
    </row>
    <row r="42" spans="1:6" hidden="1">
      <c r="A42" s="103" t="s">
        <v>3933</v>
      </c>
      <c r="B42" s="105" t="s">
        <v>136</v>
      </c>
      <c r="C42" s="96">
        <f>SUMIF('ПО КОРИСНИЦИМА'!$G$6:$G$13997,"Функција 412:",'ПО КОРИСНИЦИМА'!$H$6:$H$13997)</f>
        <v>0</v>
      </c>
      <c r="D42" s="97">
        <f t="shared" si="0"/>
        <v>0</v>
      </c>
      <c r="E42" s="96">
        <f>SUMIF('ПО КОРИСНИЦИМА'!$G$6:$G$13997,"Функција 412:",'ПО КОРИСНИЦИМА'!$I$6:$I$13997)</f>
        <v>0</v>
      </c>
      <c r="F42" s="96">
        <f t="shared" si="1"/>
        <v>0</v>
      </c>
    </row>
    <row r="43" spans="1:6" hidden="1">
      <c r="A43" s="101" t="s">
        <v>3780</v>
      </c>
      <c r="B43" s="102" t="s">
        <v>3934</v>
      </c>
      <c r="C43" s="96">
        <f>SUMIF('ПО КОРИСНИЦИМА'!$G$6:$G$13997,"Функција 420:",'ПО КОРИСНИЦИМА'!$H$6:$H$13997)</f>
        <v>0</v>
      </c>
      <c r="D43" s="97">
        <f t="shared" si="0"/>
        <v>0</v>
      </c>
      <c r="E43" s="96">
        <f>SUMIF('ПО КОРИСНИЦИМА'!$G$6:$G$13997,"Функција 420:",'ПО КОРИСНИЦИМА'!$I$6:$I$13997)</f>
        <v>0</v>
      </c>
      <c r="F43" s="96">
        <f t="shared" si="1"/>
        <v>0</v>
      </c>
    </row>
    <row r="44" spans="1:6">
      <c r="A44" s="103" t="s">
        <v>3782</v>
      </c>
      <c r="B44" s="102" t="s">
        <v>138</v>
      </c>
      <c r="C44" s="96">
        <f>SUMIF('ПО КОРИСНИЦИМА'!$G$6:$G$13997,"Функција 421:",'ПО КОРИСНИЦИМА'!$H$6:$H$13997)</f>
        <v>25000000</v>
      </c>
      <c r="D44" s="97">
        <f t="shared" si="0"/>
        <v>5.2699933534843826E-2</v>
      </c>
      <c r="E44" s="96">
        <f>SUMIF('ПО КОРИСНИЦИМА'!$G$6:$G$13997,"Функција 421:",'ПО КОРИСНИЦИМА'!$I$6:$I$13997)</f>
        <v>0</v>
      </c>
      <c r="F44" s="96">
        <f t="shared" si="1"/>
        <v>25000000</v>
      </c>
    </row>
    <row r="45" spans="1:6" hidden="1">
      <c r="A45" s="103" t="s">
        <v>3935</v>
      </c>
      <c r="B45" s="102" t="s">
        <v>139</v>
      </c>
      <c r="C45" s="96">
        <f>SUMIF('ПО КОРИСНИЦИМА'!$G$6:$G$13997,"Функција 422:",'ПО КОРИСНИЦИМА'!$H$6:$H$13997)</f>
        <v>0</v>
      </c>
      <c r="D45" s="97">
        <f t="shared" si="0"/>
        <v>0</v>
      </c>
      <c r="E45" s="96">
        <f>SUMIF('ПО КОРИСНИЦИМА'!$G$6:$G$13997,"Функција 422:",'ПО КОРИСНИЦИМА'!$I$6:$I$13997)</f>
        <v>0</v>
      </c>
      <c r="F45" s="96">
        <f t="shared" si="1"/>
        <v>0</v>
      </c>
    </row>
    <row r="46" spans="1:6" hidden="1">
      <c r="A46" s="103" t="s">
        <v>3936</v>
      </c>
      <c r="B46" s="102" t="s">
        <v>140</v>
      </c>
      <c r="C46" s="96">
        <f>SUMIF('ПО КОРИСНИЦИМА'!$G$6:$G$13997,"Функција 423:",'ПО КОРИСНИЦИМА'!$H$6:$H$13997)</f>
        <v>0</v>
      </c>
      <c r="D46" s="97">
        <f t="shared" si="0"/>
        <v>0</v>
      </c>
      <c r="E46" s="96">
        <f>SUMIF('ПО КОРИСНИЦИМА'!$G$6:$G$13997,"Функција 423:",'ПО КОРИСНИЦИМА'!$I$6:$I$13997)</f>
        <v>0</v>
      </c>
      <c r="F46" s="96">
        <f t="shared" si="1"/>
        <v>0</v>
      </c>
    </row>
    <row r="47" spans="1:6" hidden="1">
      <c r="A47" s="101" t="s">
        <v>3792</v>
      </c>
      <c r="B47" s="102" t="s">
        <v>3937</v>
      </c>
      <c r="C47" s="96">
        <f>SUMIF('ПО КОРИСНИЦИМА'!$G$6:$G$13997,"Функција 430:",'ПО КОРИСНИЦИМА'!$H$6:$H$13997)</f>
        <v>0</v>
      </c>
      <c r="D47" s="97">
        <f t="shared" si="0"/>
        <v>0</v>
      </c>
      <c r="E47" s="96">
        <f>SUMIF('ПО КОРИСНИЦИМА'!$G$6:$G$13997,"Функција 430:",'ПО КОРИСНИЦИМА'!$I$6:$I$13997)</f>
        <v>0</v>
      </c>
      <c r="F47" s="96">
        <f t="shared" si="1"/>
        <v>0</v>
      </c>
    </row>
    <row r="48" spans="1:6" hidden="1">
      <c r="A48" s="103" t="s">
        <v>3938</v>
      </c>
      <c r="B48" s="102" t="s">
        <v>142</v>
      </c>
      <c r="C48" s="96">
        <f>SUMIF('ПО КОРИСНИЦИМА'!$G$6:$G$13997,"Функција 431:",'ПО КОРИСНИЦИМА'!$H$6:$H$13997)</f>
        <v>0</v>
      </c>
      <c r="D48" s="97">
        <f t="shared" si="0"/>
        <v>0</v>
      </c>
      <c r="E48" s="96">
        <f>SUMIF('ПО КОРИСНИЦИМА'!$G$6:$G$13997,"Функција 431:",'ПО КОРИСНИЦИМА'!$I$6:$I$13997)</f>
        <v>0</v>
      </c>
      <c r="F48" s="96">
        <f t="shared" si="1"/>
        <v>0</v>
      </c>
    </row>
    <row r="49" spans="1:6" hidden="1">
      <c r="A49" s="103" t="s">
        <v>3939</v>
      </c>
      <c r="B49" s="102" t="s">
        <v>143</v>
      </c>
      <c r="C49" s="96">
        <f>SUMIF('ПО КОРИСНИЦИМА'!$G$6:$G$13997,"Функција 432:",'ПО КОРИСНИЦИМА'!$H$6:$H$13997)</f>
        <v>0</v>
      </c>
      <c r="D49" s="97">
        <f t="shared" si="0"/>
        <v>0</v>
      </c>
      <c r="E49" s="96">
        <f>SUMIF('ПО КОРИСНИЦИМА'!$G$6:$G$13997,"Функција 432:",'ПО КОРИСНИЦИМА'!$I$6:$I$13997)</f>
        <v>0</v>
      </c>
      <c r="F49" s="96">
        <f t="shared" si="1"/>
        <v>0</v>
      </c>
    </row>
    <row r="50" spans="1:6" hidden="1">
      <c r="A50" s="103" t="s">
        <v>3940</v>
      </c>
      <c r="B50" s="102" t="s">
        <v>144</v>
      </c>
      <c r="C50" s="96">
        <f>SUMIF('ПО КОРИСНИЦИМА'!$G$6:$G$13997,"Функција 433:",'ПО КОРИСНИЦИМА'!$H$6:$H$13997)</f>
        <v>0</v>
      </c>
      <c r="D50" s="97">
        <f t="shared" si="0"/>
        <v>0</v>
      </c>
      <c r="E50" s="96">
        <f>SUMIF('ПО КОРИСНИЦИМА'!$G$6:$G$13997,"Функција 433:",'ПО КОРИСНИЦИМА'!$I$6:$I$13997)</f>
        <v>0</v>
      </c>
      <c r="F50" s="96">
        <f t="shared" si="1"/>
        <v>0</v>
      </c>
    </row>
    <row r="51" spans="1:6" hidden="1">
      <c r="A51" s="103" t="s">
        <v>3941</v>
      </c>
      <c r="B51" s="102" t="s">
        <v>145</v>
      </c>
      <c r="C51" s="96">
        <f>SUMIF('ПО КОРИСНИЦИМА'!$G$6:$G$13997,"Функција 434:",'ПО КОРИСНИЦИМА'!$H$6:$H$13997)</f>
        <v>0</v>
      </c>
      <c r="D51" s="97">
        <f t="shared" si="0"/>
        <v>0</v>
      </c>
      <c r="E51" s="96">
        <f>SUMIF('ПО КОРИСНИЦИМА'!$G$6:$G$13997,"Функција 434:",'ПО КОРИСНИЦИМА'!$I$6:$I$13997)</f>
        <v>0</v>
      </c>
      <c r="F51" s="96">
        <f t="shared" si="1"/>
        <v>0</v>
      </c>
    </row>
    <row r="52" spans="1:6" hidden="1">
      <c r="A52" s="103" t="s">
        <v>3942</v>
      </c>
      <c r="B52" s="102" t="s">
        <v>146</v>
      </c>
      <c r="C52" s="96">
        <f>SUMIF('ПО КОРИСНИЦИМА'!$G$6:$G$13997,"Функција 435:",'ПО КОРИСНИЦИМА'!$H$6:$H$13997)</f>
        <v>0</v>
      </c>
      <c r="D52" s="97">
        <f t="shared" si="0"/>
        <v>0</v>
      </c>
      <c r="E52" s="96">
        <f>SUMIF('ПО КОРИСНИЦИМА'!$G$6:$G$13997,"Функција 435:",'ПО КОРИСНИЦИМА'!$I$6:$I$13997)</f>
        <v>0</v>
      </c>
      <c r="F52" s="96">
        <f t="shared" si="1"/>
        <v>0</v>
      </c>
    </row>
    <row r="53" spans="1:6" hidden="1">
      <c r="A53" s="103" t="s">
        <v>3943</v>
      </c>
      <c r="B53" s="102" t="s">
        <v>147</v>
      </c>
      <c r="C53" s="96">
        <f>SUMIF('ПО КОРИСНИЦИМА'!$G$6:$G$13997,"Функција 436:",'ПО КОРИСНИЦИМА'!$H$6:$H$13997)</f>
        <v>0</v>
      </c>
      <c r="D53" s="97">
        <f t="shared" si="0"/>
        <v>0</v>
      </c>
      <c r="E53" s="96">
        <f>SUMIF('ПО КОРИСНИЦИМА'!$G$6:$G$13997,"Функција 436:",'ПО КОРИСНИЦИМА'!$I$6:$I$13997)</f>
        <v>0</v>
      </c>
      <c r="F53" s="96">
        <f t="shared" si="1"/>
        <v>0</v>
      </c>
    </row>
    <row r="54" spans="1:6" hidden="1">
      <c r="A54" s="101" t="s">
        <v>3799</v>
      </c>
      <c r="B54" s="102" t="s">
        <v>3944</v>
      </c>
      <c r="C54" s="96">
        <f>SUMIF('ПО КОРИСНИЦИМА'!$G$6:$G$13997,"Функција 440:",'ПО КОРИСНИЦИМА'!$H$6:$H$13997)</f>
        <v>0</v>
      </c>
      <c r="D54" s="97">
        <f t="shared" si="0"/>
        <v>0</v>
      </c>
      <c r="E54" s="96">
        <f>SUMIF('ПО КОРИСНИЦИМА'!$G$6:$G$13997,"Функција 440:",'ПО КОРИСНИЦИМА'!$I$6:$I$13997)</f>
        <v>0</v>
      </c>
      <c r="F54" s="96">
        <f t="shared" si="1"/>
        <v>0</v>
      </c>
    </row>
    <row r="55" spans="1:6" hidden="1">
      <c r="A55" s="103" t="s">
        <v>3945</v>
      </c>
      <c r="B55" s="102" t="s">
        <v>149</v>
      </c>
      <c r="C55" s="96">
        <f>SUMIF('ПО КОРИСНИЦИМА'!$G$6:$G$13997,"Функција 441:",'ПО КОРИСНИЦИМА'!$H$6:$H$13997)</f>
        <v>0</v>
      </c>
      <c r="D55" s="97">
        <f t="shared" si="0"/>
        <v>0</v>
      </c>
      <c r="E55" s="96">
        <f>SUMIF('ПО КОРИСНИЦИМА'!$G$6:$G$13997,"Функција 441:",'ПО КОРИСНИЦИМА'!$I$6:$I$13997)</f>
        <v>0</v>
      </c>
      <c r="F55" s="96">
        <f t="shared" si="1"/>
        <v>0</v>
      </c>
    </row>
    <row r="56" spans="1:6" hidden="1">
      <c r="A56" s="103" t="s">
        <v>3946</v>
      </c>
      <c r="B56" s="102" t="s">
        <v>150</v>
      </c>
      <c r="C56" s="96">
        <f>SUMIF('ПО КОРИСНИЦИМА'!$G$6:$G$13997,"Функција 442:",'ПО КОРИСНИЦИМА'!$H$6:$H$13997)</f>
        <v>0</v>
      </c>
      <c r="D56" s="97">
        <f t="shared" si="0"/>
        <v>0</v>
      </c>
      <c r="E56" s="96">
        <f>SUMIF('ПО КОРИСНИЦИМА'!$G$6:$G$13997,"Функција 442:",'ПО КОРИСНИЦИМА'!$I$6:$I$13997)</f>
        <v>0</v>
      </c>
      <c r="F56" s="96">
        <f t="shared" si="1"/>
        <v>0</v>
      </c>
    </row>
    <row r="57" spans="1:6" hidden="1">
      <c r="A57" s="103" t="s">
        <v>3947</v>
      </c>
      <c r="B57" s="102" t="s">
        <v>151</v>
      </c>
      <c r="C57" s="96">
        <f>SUMIF('ПО КОРИСНИЦИМА'!$G$6:$G$13997,"Функција 443:",'ПО КОРИСНИЦИМА'!$H$6:$H$13997)</f>
        <v>0</v>
      </c>
      <c r="D57" s="97">
        <f t="shared" si="0"/>
        <v>0</v>
      </c>
      <c r="E57" s="96">
        <f>SUMIF('ПО КОРИСНИЦИМА'!$G$6:$G$13997,"Функција 443:",'ПО КОРИСНИЦИМА'!$I$6:$I$13997)</f>
        <v>0</v>
      </c>
      <c r="F57" s="96">
        <f t="shared" si="1"/>
        <v>0</v>
      </c>
    </row>
    <row r="58" spans="1:6" hidden="1">
      <c r="A58" s="101" t="s">
        <v>3805</v>
      </c>
      <c r="B58" s="102" t="s">
        <v>3948</v>
      </c>
      <c r="C58" s="96">
        <f>SUMIF('ПО КОРИСНИЦИМА'!$G$6:$G$13997,"Функција 450:",'ПО КОРИСНИЦИМА'!$H$6:$H$13997)</f>
        <v>0</v>
      </c>
      <c r="D58" s="97">
        <f t="shared" si="0"/>
        <v>0</v>
      </c>
      <c r="E58" s="96">
        <f>SUMIF('ПО КОРИСНИЦИМА'!$G$6:$G$13997,"Функција 450:",'ПО КОРИСНИЦИМА'!$I$6:$I$13997)</f>
        <v>0</v>
      </c>
      <c r="F58" s="96">
        <f t="shared" si="1"/>
        <v>0</v>
      </c>
    </row>
    <row r="59" spans="1:6" hidden="1">
      <c r="A59" s="106" t="s">
        <v>3949</v>
      </c>
      <c r="B59" s="102" t="s">
        <v>153</v>
      </c>
      <c r="C59" s="96">
        <f>SUMIF('ПО КОРИСНИЦИМА'!$G$6:$G$13997,"Функција 451:",'ПО КОРИСНИЦИМА'!$H$6:$H$13997)</f>
        <v>0</v>
      </c>
      <c r="D59" s="97">
        <f t="shared" si="0"/>
        <v>0</v>
      </c>
      <c r="E59" s="96">
        <f>SUMIF('ПО КОРИСНИЦИМА'!$G$6:$G$13997,"Функција 451:",'ПО КОРИСНИЦИМА'!$I$6:$I$13997)</f>
        <v>0</v>
      </c>
      <c r="F59" s="96">
        <f t="shared" si="1"/>
        <v>0</v>
      </c>
    </row>
    <row r="60" spans="1:6" hidden="1">
      <c r="A60" s="106" t="s">
        <v>3862</v>
      </c>
      <c r="B60" s="102" t="s">
        <v>154</v>
      </c>
      <c r="C60" s="96">
        <f>SUMIF('ПО КОРИСНИЦИМА'!$G$6:$G$13997,"Функција 452:",'ПО КОРИСНИЦИМА'!$H$6:$H$13997)</f>
        <v>0</v>
      </c>
      <c r="D60" s="97">
        <f t="shared" si="0"/>
        <v>0</v>
      </c>
      <c r="E60" s="96">
        <f>SUMIF('ПО КОРИСНИЦИМА'!$G$6:$G$13997,"Функција 452:",'ПО КОРИСНИЦИМА'!$I$6:$I$13997)</f>
        <v>0</v>
      </c>
      <c r="F60" s="96">
        <f t="shared" si="1"/>
        <v>0</v>
      </c>
    </row>
    <row r="61" spans="1:6" hidden="1">
      <c r="A61" s="106" t="s">
        <v>3950</v>
      </c>
      <c r="B61" s="102" t="s">
        <v>155</v>
      </c>
      <c r="C61" s="96">
        <f>SUMIF('ПО КОРИСНИЦИМА'!$G$6:$G$13997,"Функција 453:",'ПО КОРИСНИЦИМА'!$H$6:$H$13997)</f>
        <v>0</v>
      </c>
      <c r="D61" s="97">
        <f t="shared" si="0"/>
        <v>0</v>
      </c>
      <c r="E61" s="96">
        <f>SUMIF('ПО КОРИСНИЦИМА'!$G$6:$G$13997,"Функција 453:",'ПО КОРИСНИЦИМА'!$I$6:$I$13997)</f>
        <v>0</v>
      </c>
      <c r="F61" s="96">
        <f t="shared" si="1"/>
        <v>0</v>
      </c>
    </row>
    <row r="62" spans="1:6" hidden="1">
      <c r="A62" s="106" t="s">
        <v>3951</v>
      </c>
      <c r="B62" s="102" t="s">
        <v>156</v>
      </c>
      <c r="C62" s="96">
        <f>SUMIF('ПО КОРИСНИЦИМА'!$G$6:$G$13997,"Функција 454:",'ПО КОРИСНИЦИМА'!$H$6:$H$13997)</f>
        <v>0</v>
      </c>
      <c r="D62" s="97">
        <f t="shared" si="0"/>
        <v>0</v>
      </c>
      <c r="E62" s="96">
        <f>SUMIF('ПО КОРИСНИЦИМА'!$G$6:$G$13997,"Функција 454:",'ПО КОРИСНИЦИМА'!$I$6:$I$13997)</f>
        <v>0</v>
      </c>
      <c r="F62" s="96">
        <f t="shared" si="1"/>
        <v>0</v>
      </c>
    </row>
    <row r="63" spans="1:6" hidden="1">
      <c r="A63" s="106" t="s">
        <v>3952</v>
      </c>
      <c r="B63" s="102" t="s">
        <v>157</v>
      </c>
      <c r="C63" s="96">
        <f>SUMIF('ПО КОРИСНИЦИМА'!$G$6:$G$13997,"Функција 455:",'ПО КОРИСНИЦИМА'!$H$6:$H$13997)</f>
        <v>0</v>
      </c>
      <c r="D63" s="97">
        <f t="shared" si="0"/>
        <v>0</v>
      </c>
      <c r="E63" s="96">
        <f>SUMIF('ПО КОРИСНИЦИМА'!$G$6:$G$13997,"Функција 455:",'ПО КОРИСНИЦИМА'!$I$6:$I$13997)</f>
        <v>0</v>
      </c>
      <c r="F63" s="96">
        <f t="shared" si="1"/>
        <v>0</v>
      </c>
    </row>
    <row r="64" spans="1:6" hidden="1">
      <c r="A64" s="101" t="s">
        <v>3810</v>
      </c>
      <c r="B64" s="102" t="s">
        <v>3953</v>
      </c>
      <c r="C64" s="96">
        <f>SUMIF('ПО КОРИСНИЦИМА'!$G$6:$G$13997,"Функција 460:",'ПО КОРИСНИЦИМА'!$H$6:$H$13997)</f>
        <v>0</v>
      </c>
      <c r="D64" s="97">
        <f t="shared" si="0"/>
        <v>0</v>
      </c>
      <c r="E64" s="96">
        <f>SUMIF('ПО КОРИСНИЦИМА'!$G$6:$G$13997,"Функција 460:",'ПО КОРИСНИЦИМА'!$I$6:$I$13997)</f>
        <v>0</v>
      </c>
      <c r="F64" s="96">
        <f t="shared" si="1"/>
        <v>0</v>
      </c>
    </row>
    <row r="65" spans="1:6" hidden="1">
      <c r="A65" s="101" t="s">
        <v>3817</v>
      </c>
      <c r="B65" s="102" t="s">
        <v>3954</v>
      </c>
      <c r="C65" s="96">
        <f>SUMIF('ПО КОРИСНИЦИМА'!$G$6:$G$13997,"Функција 470:",'ПО КОРИСНИЦИМА'!$H$6:$H$13997)</f>
        <v>0</v>
      </c>
      <c r="D65" s="97">
        <f t="shared" si="0"/>
        <v>0</v>
      </c>
      <c r="E65" s="96">
        <f>SUMIF('ПО КОРИСНИЦИМА'!$G$6:$G$13997,"Функција 470:",'ПО КОРИСНИЦИМА'!$I$6:$I$13997)</f>
        <v>0</v>
      </c>
      <c r="F65" s="96">
        <f t="shared" si="1"/>
        <v>0</v>
      </c>
    </row>
    <row r="66" spans="1:6" hidden="1">
      <c r="A66" s="103" t="s">
        <v>3955</v>
      </c>
      <c r="B66" s="102" t="s">
        <v>160</v>
      </c>
      <c r="C66" s="96">
        <f>SUMIF('ПО КОРИСНИЦИМА'!$G$6:$G$13997,"Функција 471:",'ПО КОРИСНИЦИМА'!$H$6:$H$13997)</f>
        <v>0</v>
      </c>
      <c r="D66" s="97">
        <f t="shared" si="0"/>
        <v>0</v>
      </c>
      <c r="E66" s="96">
        <f>SUMIF('ПО КОРИСНИЦИМА'!$G$6:$G$13997,"Функција 471:",'ПО КОРИСНИЦИМА'!$I$6:$I$13997)</f>
        <v>0</v>
      </c>
      <c r="F66" s="96">
        <f t="shared" si="1"/>
        <v>0</v>
      </c>
    </row>
    <row r="67" spans="1:6" hidden="1">
      <c r="A67" s="103" t="s">
        <v>3956</v>
      </c>
      <c r="B67" s="102" t="s">
        <v>161</v>
      </c>
      <c r="C67" s="96">
        <f>SUMIF('ПО КОРИСНИЦИМА'!$G$6:$G$13997,"Функција 472:",'ПО КОРИСНИЦИМА'!$H$6:$H$13997)</f>
        <v>0</v>
      </c>
      <c r="D67" s="97">
        <f t="shared" si="0"/>
        <v>0</v>
      </c>
      <c r="E67" s="96">
        <f>SUMIF('ПО КОРИСНИЦИМА'!$G$6:$G$13997,"Функција 472:",'ПО КОРИСНИЦИМА'!$I$6:$I$13997)</f>
        <v>0</v>
      </c>
      <c r="F67" s="96">
        <f t="shared" si="1"/>
        <v>0</v>
      </c>
    </row>
    <row r="68" spans="1:6">
      <c r="A68" s="103" t="s">
        <v>3957</v>
      </c>
      <c r="B68" s="102" t="s">
        <v>162</v>
      </c>
      <c r="C68" s="96">
        <f>SUMIF('ПО КОРИСНИЦИМА'!$G$6:$G$13997,"Функција 473:",'ПО КОРИСНИЦИМА'!$H$6:$H$13997)</f>
        <v>11561000</v>
      </c>
      <c r="D68" s="97">
        <f t="shared" si="0"/>
        <v>2.437055726385318E-2</v>
      </c>
      <c r="E68" s="96">
        <f>SUMIF('ПО КОРИСНИЦИМА'!$G$6:$G$13997,"Функција 473:",'ПО КОРИСНИЦИМА'!$I$6:$I$13997)</f>
        <v>1300000</v>
      </c>
      <c r="F68" s="96">
        <f t="shared" si="1"/>
        <v>12861000</v>
      </c>
    </row>
    <row r="69" spans="1:6" hidden="1">
      <c r="A69" s="103" t="s">
        <v>3958</v>
      </c>
      <c r="B69" s="102" t="s">
        <v>163</v>
      </c>
      <c r="C69" s="96">
        <f>SUMIF('ПО КОРИСНИЦИМА'!$G$6:$G$13997,"Функција 474:",'ПО КОРИСНИЦИМА'!$H$6:$H$13997)</f>
        <v>0</v>
      </c>
      <c r="D69" s="97">
        <f t="shared" si="0"/>
        <v>0</v>
      </c>
      <c r="E69" s="96">
        <f>SUMIF('ПО КОРИСНИЦИМА'!$G$6:$G$13997,"Функција 474:",'ПО КОРИСНИЦИМА'!$I$6:$I$13997)</f>
        <v>0</v>
      </c>
      <c r="F69" s="96">
        <f t="shared" si="1"/>
        <v>0</v>
      </c>
    </row>
    <row r="70" spans="1:6" hidden="1">
      <c r="A70" s="101" t="s">
        <v>3820</v>
      </c>
      <c r="B70" s="102" t="s">
        <v>3959</v>
      </c>
      <c r="C70" s="96">
        <f>SUMIF('ПО КОРИСНИЦИМА'!$G$6:$G$13997,"Функција 480:",'ПО КОРИСНИЦИМА'!$H$6:$H$13997)</f>
        <v>0</v>
      </c>
      <c r="D70" s="97">
        <f t="shared" ref="D70:D133" si="3">IFERROR(C70/$C$140,"-")</f>
        <v>0</v>
      </c>
      <c r="E70" s="96">
        <f>SUMIF('ПО КОРИСНИЦИМА'!$G$6:$G$13997,"Функција 480:",'ПО КОРИСНИЦИМА'!$I$6:$I$13997)</f>
        <v>0</v>
      </c>
      <c r="F70" s="96">
        <f t="shared" si="1"/>
        <v>0</v>
      </c>
    </row>
    <row r="71" spans="1:6" ht="23.25" hidden="1">
      <c r="A71" s="103" t="s">
        <v>3960</v>
      </c>
      <c r="B71" s="102" t="s">
        <v>165</v>
      </c>
      <c r="C71" s="96">
        <f>SUMIF('ПО КОРИСНИЦИМА'!$G$6:$G$13997,"Функција 481:",'ПО КОРИСНИЦИМА'!$H$6:$H$13997)</f>
        <v>0</v>
      </c>
      <c r="D71" s="97">
        <f t="shared" si="3"/>
        <v>0</v>
      </c>
      <c r="E71" s="96">
        <f>SUMIF('ПО КОРИСНИЦИМА'!$G$6:$G$13997,"Функција 481:",'ПО КОРИСНИЦИМА'!$I$6:$I$13997)</f>
        <v>0</v>
      </c>
      <c r="F71" s="96">
        <f t="shared" ref="F71:F134" si="4">SUM(E71,C71)</f>
        <v>0</v>
      </c>
    </row>
    <row r="72" spans="1:6" ht="23.25" hidden="1">
      <c r="A72" s="103" t="s">
        <v>3961</v>
      </c>
      <c r="B72" s="102" t="s">
        <v>166</v>
      </c>
      <c r="C72" s="96">
        <f>SUMIF('ПО КОРИСНИЦИМА'!$G$6:$G$13997,"Функција 482:",'ПО КОРИСНИЦИМА'!$H$6:$H$13997)</f>
        <v>0</v>
      </c>
      <c r="D72" s="97">
        <f t="shared" si="3"/>
        <v>0</v>
      </c>
      <c r="E72" s="96">
        <f>SUMIF('ПО КОРИСНИЦИМА'!$G$6:$G$13997,"Функција 482:",'ПО КОРИСНИЦИМА'!$I$6:$I$13997)</f>
        <v>0</v>
      </c>
      <c r="F72" s="96">
        <f t="shared" si="4"/>
        <v>0</v>
      </c>
    </row>
    <row r="73" spans="1:6" hidden="1">
      <c r="A73" s="103" t="s">
        <v>3962</v>
      </c>
      <c r="B73" s="102" t="s">
        <v>167</v>
      </c>
      <c r="C73" s="96">
        <f>SUMIF('ПО КОРИСНИЦИМА'!$G$6:$G$13997,"Функција 483:",'ПО КОРИСНИЦИМА'!$H$6:$H$13997)</f>
        <v>0</v>
      </c>
      <c r="D73" s="97">
        <f t="shared" si="3"/>
        <v>0</v>
      </c>
      <c r="E73" s="96">
        <f>SUMIF('ПО КОРИСНИЦИМА'!$G$6:$G$13997,"Функција 483:",'ПО КОРИСНИЦИМА'!$I$6:$I$13997)</f>
        <v>0</v>
      </c>
      <c r="F73" s="96">
        <f t="shared" si="4"/>
        <v>0</v>
      </c>
    </row>
    <row r="74" spans="1:6" hidden="1">
      <c r="A74" s="103" t="s">
        <v>3963</v>
      </c>
      <c r="B74" s="102" t="s">
        <v>168</v>
      </c>
      <c r="C74" s="96">
        <f>SUMIF('ПО КОРИСНИЦИМА'!$G$6:$G$13997,"Функција 484:",'ПО КОРИСНИЦИМА'!$H$6:$H$13997)</f>
        <v>0</v>
      </c>
      <c r="D74" s="97">
        <f t="shared" si="3"/>
        <v>0</v>
      </c>
      <c r="E74" s="96">
        <f>SUMIF('ПО КОРИСНИЦИМА'!$G$6:$G$13997,"Функција 484:",'ПО КОРИСНИЦИМА'!$I$6:$I$13997)</f>
        <v>0</v>
      </c>
      <c r="F74" s="96">
        <f t="shared" si="4"/>
        <v>0</v>
      </c>
    </row>
    <row r="75" spans="1:6" hidden="1">
      <c r="A75" s="103" t="s">
        <v>3964</v>
      </c>
      <c r="B75" s="102" t="s">
        <v>169</v>
      </c>
      <c r="C75" s="96">
        <f>SUMIF('ПО КОРИСНИЦИМА'!$G$6:$G$13997,"Функција 485:",'ПО КОРИСНИЦИМА'!$H$6:$H$13997)</f>
        <v>0</v>
      </c>
      <c r="D75" s="97">
        <f t="shared" si="3"/>
        <v>0</v>
      </c>
      <c r="E75" s="96">
        <f>SUMIF('ПО КОРИСНИЦИМА'!$G$6:$G$13997,"Функција 485:",'ПО КОРИСНИЦИМА'!$I$6:$I$13997)</f>
        <v>0</v>
      </c>
      <c r="F75" s="96">
        <f t="shared" si="4"/>
        <v>0</v>
      </c>
    </row>
    <row r="76" spans="1:6" hidden="1">
      <c r="A76" s="103" t="s">
        <v>3965</v>
      </c>
      <c r="B76" s="102" t="s">
        <v>170</v>
      </c>
      <c r="C76" s="96">
        <f>SUMIF('ПО КОРИСНИЦИМА'!$G$6:$G$13997,"Функција 486:",'ПО КОРИСНИЦИМА'!$H$6:$H$13997)</f>
        <v>0</v>
      </c>
      <c r="D76" s="97">
        <f t="shared" si="3"/>
        <v>0</v>
      </c>
      <c r="E76" s="96">
        <f>SUMIF('ПО КОРИСНИЦИМА'!$G$6:$G$13997,"Функција 486:",'ПО КОРИСНИЦИМА'!$I$6:$I$13997)</f>
        <v>0</v>
      </c>
      <c r="F76" s="96">
        <f t="shared" si="4"/>
        <v>0</v>
      </c>
    </row>
    <row r="77" spans="1:6" hidden="1">
      <c r="A77" s="103" t="s">
        <v>3966</v>
      </c>
      <c r="B77" s="102" t="s">
        <v>171</v>
      </c>
      <c r="C77" s="96">
        <f>SUMIF('ПО КОРИСНИЦИМА'!$G$6:$G$13997,"Функција 487:",'ПО КОРИСНИЦИМА'!$H$6:$H$13997)</f>
        <v>0</v>
      </c>
      <c r="D77" s="97">
        <f t="shared" si="3"/>
        <v>0</v>
      </c>
      <c r="E77" s="96">
        <f>SUMIF('ПО КОРИСНИЦИМА'!$G$6:$G$13997,"Функција 487:",'ПО КОРИСНИЦИМА'!$I$6:$I$13997)</f>
        <v>0</v>
      </c>
      <c r="F77" s="96">
        <f t="shared" si="4"/>
        <v>0</v>
      </c>
    </row>
    <row r="78" spans="1:6" hidden="1">
      <c r="A78" s="101" t="s">
        <v>3967</v>
      </c>
      <c r="B78" s="102" t="s">
        <v>172</v>
      </c>
      <c r="C78" s="96">
        <f>SUMIF('ПО КОРИСНИЦИМА'!$G$6:$G$13997,"Функција 490:",'ПО КОРИСНИЦИМА'!$H$6:$H$13997)</f>
        <v>0</v>
      </c>
      <c r="D78" s="97">
        <f t="shared" si="3"/>
        <v>0</v>
      </c>
      <c r="E78" s="96">
        <f>SUMIF('ПО КОРИСНИЦИМА'!$G$6:$G$13997,"Функција 490:",'ПО КОРИСНИЦИМА'!$I$6:$I$13997)</f>
        <v>0</v>
      </c>
      <c r="F78" s="96">
        <f t="shared" si="4"/>
        <v>0</v>
      </c>
    </row>
    <row r="79" spans="1:6">
      <c r="A79" s="98" t="s">
        <v>3968</v>
      </c>
      <c r="B79" s="104" t="s">
        <v>173</v>
      </c>
      <c r="C79" s="94">
        <f>SUM(C80:C85)</f>
        <v>32670000</v>
      </c>
      <c r="D79" s="100">
        <f t="shared" si="3"/>
        <v>6.8868273143333908E-2</v>
      </c>
      <c r="E79" s="94">
        <f>SUM(E80:E85)</f>
        <v>0</v>
      </c>
      <c r="F79" s="94">
        <f t="shared" ref="F79:F118" si="5">C79+E79</f>
        <v>32670000</v>
      </c>
    </row>
    <row r="80" spans="1:6">
      <c r="A80" s="101" t="s">
        <v>3832</v>
      </c>
      <c r="B80" s="102" t="s">
        <v>3969</v>
      </c>
      <c r="C80" s="96">
        <f>SUMIF('ПО КОРИСНИЦИМА'!$G$6:$G$13997,"Функција 510:",'ПО КОРИСНИЦИМА'!$H$6:$H$13997)</f>
        <v>30170000</v>
      </c>
      <c r="D80" s="97">
        <f t="shared" si="3"/>
        <v>6.3598279789849527E-2</v>
      </c>
      <c r="E80" s="96">
        <f>SUMIF('ПО КОРИСНИЦИМА'!$G$6:$G$13997,"Функција 510:",'ПО КОРИСНИЦИМА'!$I$6:$I$13997)</f>
        <v>0</v>
      </c>
      <c r="F80" s="96">
        <f t="shared" si="4"/>
        <v>30170000</v>
      </c>
    </row>
    <row r="81" spans="1:6" hidden="1">
      <c r="A81" s="101" t="s">
        <v>3839</v>
      </c>
      <c r="B81" s="102" t="s">
        <v>3970</v>
      </c>
      <c r="C81" s="96">
        <f>SUMIF('ПО КОРИСНИЦИМА'!$G$6:$G$13997,"Функција 520:",'ПО КОРИСНИЦИМА'!$H$6:$H$13997)</f>
        <v>0</v>
      </c>
      <c r="D81" s="97">
        <f t="shared" si="3"/>
        <v>0</v>
      </c>
      <c r="E81" s="96">
        <f>SUMIF('ПО КОРИСНИЦИМА'!$G$6:$G$13997,"Функција 520:",'ПО КОРИСНИЦИМА'!$I$6:$I$13997)</f>
        <v>0</v>
      </c>
      <c r="F81" s="96">
        <f t="shared" si="4"/>
        <v>0</v>
      </c>
    </row>
    <row r="82" spans="1:6" hidden="1">
      <c r="A82" s="101" t="s">
        <v>3971</v>
      </c>
      <c r="B82" s="102" t="s">
        <v>3972</v>
      </c>
      <c r="C82" s="96">
        <f>SUMIF('ПО КОРИСНИЦИМА'!$G$6:$G$13997,"Функција 530:",'ПО КОРИСНИЦИМА'!$H$6:$H$13997)</f>
        <v>0</v>
      </c>
      <c r="D82" s="97">
        <f t="shared" si="3"/>
        <v>0</v>
      </c>
      <c r="E82" s="96">
        <f>SUMIF('ПО КОРИСНИЦИМА'!$G$6:$G$13997,"Функција 530:",'ПО КОРИСНИЦИМА'!$I$6:$I$13997)</f>
        <v>0</v>
      </c>
      <c r="F82" s="96">
        <f t="shared" si="4"/>
        <v>0</v>
      </c>
    </row>
    <row r="83" spans="1:6" hidden="1">
      <c r="A83" s="101" t="s">
        <v>3844</v>
      </c>
      <c r="B83" s="102" t="s">
        <v>3973</v>
      </c>
      <c r="C83" s="96">
        <f>SUMIF('ПО КОРИСНИЦИМА'!$G$6:$G$13997,"Функција 540:",'ПО КОРИСНИЦИМА'!$H$6:$H$13997)</f>
        <v>0</v>
      </c>
      <c r="D83" s="97">
        <f t="shared" si="3"/>
        <v>0</v>
      </c>
      <c r="E83" s="96">
        <f>SUMIF('ПО КОРИСНИЦИМА'!$G$6:$G$13997,"Функција 540:",'ПО КОРИСНИЦИМА'!$I$6:$I$13997)</f>
        <v>0</v>
      </c>
      <c r="F83" s="96">
        <f t="shared" si="4"/>
        <v>0</v>
      </c>
    </row>
    <row r="84" spans="1:6" hidden="1">
      <c r="A84" s="101" t="s">
        <v>3974</v>
      </c>
      <c r="B84" s="102" t="s">
        <v>3975</v>
      </c>
      <c r="C84" s="96">
        <f>SUMIF('ПО КОРИСНИЦИМА'!$G$6:$G$13997,"Функција 550:",'ПО КОРИСНИЦИМА'!$H$6:$H$13997)</f>
        <v>0</v>
      </c>
      <c r="D84" s="97">
        <f t="shared" si="3"/>
        <v>0</v>
      </c>
      <c r="E84" s="96">
        <f>SUMIF('ПО КОРИСНИЦИМА'!$G$6:$G$13997,"Функција 550:",'ПО КОРИСНИЦИМА'!$I$6:$I$13997)</f>
        <v>0</v>
      </c>
      <c r="F84" s="96">
        <f t="shared" si="4"/>
        <v>0</v>
      </c>
    </row>
    <row r="85" spans="1:6">
      <c r="A85" s="101" t="s">
        <v>3976</v>
      </c>
      <c r="B85" s="102" t="s">
        <v>179</v>
      </c>
      <c r="C85" s="96">
        <f>SUMIF('ПО КОРИСНИЦИМА'!$G$6:$G$13997,"Функција 560:",'ПО КОРИСНИЦИМА'!$H$6:$H$13997)</f>
        <v>2500000</v>
      </c>
      <c r="D85" s="97">
        <f t="shared" si="3"/>
        <v>5.269993353484383E-3</v>
      </c>
      <c r="E85" s="96">
        <f>SUMIF('ПО КОРИСНИЦИМА'!$G$6:$G$13997,"Функција 560:",'ПО КОРИСНИЦИМА'!$I$6:$I$13997)</f>
        <v>0</v>
      </c>
      <c r="F85" s="96">
        <f t="shared" si="4"/>
        <v>2500000</v>
      </c>
    </row>
    <row r="86" spans="1:6">
      <c r="A86" s="107" t="s">
        <v>3977</v>
      </c>
      <c r="B86" s="108" t="s">
        <v>3978</v>
      </c>
      <c r="C86" s="109">
        <f>SUM(C87:C92)</f>
        <v>181720000</v>
      </c>
      <c r="D86" s="110">
        <f t="shared" si="3"/>
        <v>0.38306527687807279</v>
      </c>
      <c r="E86" s="109">
        <f>SUM(E87:E92)</f>
        <v>0</v>
      </c>
      <c r="F86" s="109">
        <f t="shared" si="5"/>
        <v>181720000</v>
      </c>
    </row>
    <row r="87" spans="1:6" hidden="1">
      <c r="A87" s="101" t="s">
        <v>3851</v>
      </c>
      <c r="B87" s="102" t="s">
        <v>3979</v>
      </c>
      <c r="C87" s="96">
        <f>SUMIF('ПО КОРИСНИЦИМА'!$G$6:$G$13997,"Функција 610:",'ПО КОРИСНИЦИМА'!$H$6:$H$13997)</f>
        <v>0</v>
      </c>
      <c r="D87" s="97">
        <f t="shared" si="3"/>
        <v>0</v>
      </c>
      <c r="E87" s="96">
        <f>SUMIF('ПО КОРИСНИЦИМА'!$G$6:$G$13997,"Функција 610:",'ПО КОРИСНИЦИМА'!$I$6:$I$13997)</f>
        <v>0</v>
      </c>
      <c r="F87" s="96">
        <f t="shared" si="4"/>
        <v>0</v>
      </c>
    </row>
    <row r="88" spans="1:6">
      <c r="A88" s="101" t="s">
        <v>3858</v>
      </c>
      <c r="B88" s="102" t="s">
        <v>3980</v>
      </c>
      <c r="C88" s="96">
        <f>SUMIF('ПО КОРИСНИЦИМА'!$G$6:$G$13997,"Функција 620:",'ПО КОРИСНИЦИМА'!$H$6:$H$13997)</f>
        <v>145660000</v>
      </c>
      <c r="D88" s="97">
        <f t="shared" si="3"/>
        <v>0.30705089274741404</v>
      </c>
      <c r="E88" s="96">
        <f>SUMIF('ПО КОРИСНИЦИМА'!$G$6:$G$13997,"Функција 620:",'ПО КОРИСНИЦИМА'!$I$6:$I$13997)</f>
        <v>0</v>
      </c>
      <c r="F88" s="96">
        <f t="shared" si="4"/>
        <v>145660000</v>
      </c>
    </row>
    <row r="89" spans="1:6">
      <c r="A89" s="101" t="s">
        <v>3981</v>
      </c>
      <c r="B89" s="102" t="s">
        <v>3982</v>
      </c>
      <c r="C89" s="96">
        <f>SUMIF('ПО КОРИСНИЦИМА'!$G$6:$G$13997,"Функција 630:",'ПО КОРИСНИЦИМА'!$H$6:$H$13997)</f>
        <v>12960000</v>
      </c>
      <c r="D89" s="97">
        <f t="shared" si="3"/>
        <v>2.7319645544463041E-2</v>
      </c>
      <c r="E89" s="96">
        <f>SUMIF('ПО КОРИСНИЦИМА'!$G$6:$G$13997,"Функција 630:",'ПО КОРИСНИЦИМА'!$I$6:$I$13997)</f>
        <v>0</v>
      </c>
      <c r="F89" s="96">
        <f t="shared" si="4"/>
        <v>12960000</v>
      </c>
    </row>
    <row r="90" spans="1:6">
      <c r="A90" s="101" t="s">
        <v>3983</v>
      </c>
      <c r="B90" s="102" t="s">
        <v>3984</v>
      </c>
      <c r="C90" s="96">
        <f>SUMIF('ПО КОРИСНИЦИМА'!$G$6:$G$13997,"Функција 640:",'ПО КОРИСНИЦИМА'!$H$6:$H$13997)</f>
        <v>9100000</v>
      </c>
      <c r="D90" s="97">
        <f t="shared" si="3"/>
        <v>1.9182775806683153E-2</v>
      </c>
      <c r="E90" s="96">
        <f>SUMIF('ПО КОРИСНИЦИМА'!$G$6:$G$13997,"Функција 640:",'ПО КОРИСНИЦИМА'!$I$6:$I$13997)</f>
        <v>0</v>
      </c>
      <c r="F90" s="96">
        <f t="shared" si="4"/>
        <v>9100000</v>
      </c>
    </row>
    <row r="91" spans="1:6" hidden="1">
      <c r="A91" s="101" t="s">
        <v>3985</v>
      </c>
      <c r="B91" s="102" t="s">
        <v>3986</v>
      </c>
      <c r="C91" s="96">
        <f>SUMIF('ПО КОРИСНИЦИМА'!$G$6:$G$13997,"Функција 650:",'ПО КОРИСНИЦИМА'!$H$6:$H$13997)</f>
        <v>0</v>
      </c>
      <c r="D91" s="97">
        <f t="shared" si="3"/>
        <v>0</v>
      </c>
      <c r="E91" s="96">
        <f>SUMIF('ПО КОРИСНИЦИМА'!$G$6:$G$13997,"Функција 650:",'ПО КОРИСНИЦИМА'!$I$6:$I$13997)</f>
        <v>0</v>
      </c>
      <c r="F91" s="96">
        <f t="shared" si="4"/>
        <v>0</v>
      </c>
    </row>
    <row r="92" spans="1:6" ht="18.75" customHeight="1">
      <c r="A92" s="101" t="s">
        <v>3987</v>
      </c>
      <c r="B92" s="102" t="s">
        <v>186</v>
      </c>
      <c r="C92" s="96">
        <f>SUMIF('ПО КОРИСНИЦИМА'!$G$6:$G$13997,"Функција 660:",'ПО КОРИСНИЦИМА'!$H$6:$H$13997)</f>
        <v>14000000</v>
      </c>
      <c r="D92" s="97">
        <f t="shared" si="3"/>
        <v>2.9511962779512544E-2</v>
      </c>
      <c r="E92" s="96">
        <f>SUMIF('ПО КОРИСНИЦИМА'!$G$6:$G$13997,"Функција 660:",'ПО КОРИСНИЦИМА'!$I$6:$I$13997)</f>
        <v>0</v>
      </c>
      <c r="F92" s="96">
        <f t="shared" si="4"/>
        <v>14000000</v>
      </c>
    </row>
    <row r="93" spans="1:6">
      <c r="A93" s="111">
        <v>700</v>
      </c>
      <c r="B93" s="112" t="s">
        <v>187</v>
      </c>
      <c r="C93" s="113">
        <f>SUM(C94:C110)</f>
        <v>4500000</v>
      </c>
      <c r="D93" s="114">
        <f t="shared" si="3"/>
        <v>9.485988036271889E-3</v>
      </c>
      <c r="E93" s="113">
        <f>SUM(E94:E110)</f>
        <v>0</v>
      </c>
      <c r="F93" s="113">
        <f t="shared" si="5"/>
        <v>4500000</v>
      </c>
    </row>
    <row r="94" spans="1:6" hidden="1">
      <c r="A94" s="101" t="s">
        <v>3988</v>
      </c>
      <c r="B94" s="102" t="s">
        <v>3989</v>
      </c>
      <c r="C94" s="96">
        <f>SUMIF('ПО КОРИСНИЦИМА'!$G$6:$G$13997,"Функција 710:",'ПО КОРИСНИЦИМА'!$H$6:$H$13997)</f>
        <v>0</v>
      </c>
      <c r="D94" s="97">
        <f t="shared" si="3"/>
        <v>0</v>
      </c>
      <c r="E94" s="96">
        <f>SUMIF('ПО КОРИСНИЦИМА'!$G$6:$G$13997,"Функција 710:",'ПО КОРИСНИЦИМА'!$I$6:$I$13997)</f>
        <v>0</v>
      </c>
      <c r="F94" s="96">
        <f t="shared" si="4"/>
        <v>0</v>
      </c>
    </row>
    <row r="95" spans="1:6" hidden="1">
      <c r="A95" s="103" t="s">
        <v>3990</v>
      </c>
      <c r="B95" s="102" t="s">
        <v>189</v>
      </c>
      <c r="C95" s="96">
        <f>SUMIF('ПО КОРИСНИЦИМА'!$G$6:$G$13997,"Функција 711:",'ПО КОРИСНИЦИМА'!$H$6:$H$13997)</f>
        <v>0</v>
      </c>
      <c r="D95" s="97">
        <f t="shared" si="3"/>
        <v>0</v>
      </c>
      <c r="E95" s="96">
        <f>SUMIF('ПО КОРИСНИЦИМА'!$G$6:$G$13997,"Функција 711:",'ПО КОРИСНИЦИМА'!$I$6:$I$13997)</f>
        <v>0</v>
      </c>
      <c r="F95" s="96">
        <f t="shared" si="4"/>
        <v>0</v>
      </c>
    </row>
    <row r="96" spans="1:6" hidden="1">
      <c r="A96" s="103" t="s">
        <v>3991</v>
      </c>
      <c r="B96" s="102" t="s">
        <v>190</v>
      </c>
      <c r="C96" s="96">
        <f>SUMIF('ПО КОРИСНИЦИМА'!$G$6:$G$13997,"Функција 712:",'ПО КОРИСНИЦИМА'!$H$6:$H$13997)</f>
        <v>0</v>
      </c>
      <c r="D96" s="97">
        <f t="shared" si="3"/>
        <v>0</v>
      </c>
      <c r="E96" s="96">
        <f>SUMIF('ПО КОРИСНИЦИМА'!$G$6:$G$13997,"Функција 712:",'ПО КОРИСНИЦИМА'!$I$6:$I$13997)</f>
        <v>0</v>
      </c>
      <c r="F96" s="96">
        <f t="shared" si="4"/>
        <v>0</v>
      </c>
    </row>
    <row r="97" spans="1:6" hidden="1">
      <c r="A97" s="103" t="s">
        <v>3992</v>
      </c>
      <c r="B97" s="102" t="s">
        <v>191</v>
      </c>
      <c r="C97" s="96">
        <f>SUMIF('ПО КОРИСНИЦИМА'!$G$6:$G$13997,"Функција 713:",'ПО КОРИСНИЦИМА'!$H$6:$H$13997)</f>
        <v>0</v>
      </c>
      <c r="D97" s="97">
        <f t="shared" si="3"/>
        <v>0</v>
      </c>
      <c r="E97" s="96">
        <f>SUMIF('ПО КОРИСНИЦИМА'!$G$6:$G$13997,"Функција 713:",'ПО КОРИСНИЦИМА'!$I$6:$I$13997)</f>
        <v>0</v>
      </c>
      <c r="F97" s="96">
        <f t="shared" si="4"/>
        <v>0</v>
      </c>
    </row>
    <row r="98" spans="1:6" hidden="1">
      <c r="A98" s="101" t="s">
        <v>3993</v>
      </c>
      <c r="B98" s="102" t="s">
        <v>3994</v>
      </c>
      <c r="C98" s="96">
        <f>SUMIF('ПО КОРИСНИЦИМА'!$G$6:$G$13997,"Функција 720:",'ПО КОРИСНИЦИМА'!$H$6:$H$13997)</f>
        <v>0</v>
      </c>
      <c r="D98" s="97">
        <f t="shared" si="3"/>
        <v>0</v>
      </c>
      <c r="E98" s="96">
        <f>SUMIF('ПО КОРИСНИЦИМА'!$G$6:$G$13997,"Функција 720:",'ПО КОРИСНИЦИМА'!$I$6:$I$13997)</f>
        <v>0</v>
      </c>
      <c r="F98" s="96">
        <f t="shared" si="4"/>
        <v>0</v>
      </c>
    </row>
    <row r="99" spans="1:6" hidden="1">
      <c r="A99" s="103" t="s">
        <v>3995</v>
      </c>
      <c r="B99" s="102" t="s">
        <v>193</v>
      </c>
      <c r="C99" s="96">
        <f>SUMIF('ПО КОРИСНИЦИМА'!$G$6:$G$13997,"Функција 721:",'ПО КОРИСНИЦИМА'!$H$6:$H$13997)</f>
        <v>0</v>
      </c>
      <c r="D99" s="97">
        <f t="shared" si="3"/>
        <v>0</v>
      </c>
      <c r="E99" s="96">
        <f>SUMIF('ПО КОРИСНИЦИМА'!$G$6:$G$13997,"Функција 721:",'ПО КОРИСНИЦИМА'!$I$6:$I$13997)</f>
        <v>0</v>
      </c>
      <c r="F99" s="96">
        <f t="shared" si="4"/>
        <v>0</v>
      </c>
    </row>
    <row r="100" spans="1:6" hidden="1">
      <c r="A100" s="103" t="s">
        <v>3996</v>
      </c>
      <c r="B100" s="102" t="s">
        <v>194</v>
      </c>
      <c r="C100" s="96">
        <f>SUMIF('ПО КОРИСНИЦИМА'!$G$6:$G$13997,"Функција 722:",'ПО КОРИСНИЦИМА'!$H$6:$H$13997)</f>
        <v>0</v>
      </c>
      <c r="D100" s="97">
        <f t="shared" si="3"/>
        <v>0</v>
      </c>
      <c r="E100" s="96">
        <f>SUMIF('ПО КОРИСНИЦИМА'!$G$6:$G$13997,"Функција 722:",'ПО КОРИСНИЦИМА'!$I$6:$I$13997)</f>
        <v>0</v>
      </c>
      <c r="F100" s="96">
        <f t="shared" si="4"/>
        <v>0</v>
      </c>
    </row>
    <row r="101" spans="1:6" hidden="1">
      <c r="A101" s="103" t="s">
        <v>3997</v>
      </c>
      <c r="B101" s="102" t="s">
        <v>195</v>
      </c>
      <c r="C101" s="96">
        <f>SUMIF('ПО КОРИСНИЦИМА'!$G$6:$G$13997,"Функција 723:",'ПО КОРИСНИЦИМА'!$H$6:$H$13997)</f>
        <v>0</v>
      </c>
      <c r="D101" s="97">
        <f t="shared" si="3"/>
        <v>0</v>
      </c>
      <c r="E101" s="96">
        <f>SUMIF('ПО КОРИСНИЦИМА'!$G$6:$G$13997,"Функција 723:",'ПО КОРИСНИЦИМА'!$I$6:$I$13997)</f>
        <v>0</v>
      </c>
      <c r="F101" s="96">
        <f t="shared" si="4"/>
        <v>0</v>
      </c>
    </row>
    <row r="102" spans="1:6" hidden="1">
      <c r="A102" s="103" t="s">
        <v>3998</v>
      </c>
      <c r="B102" s="102" t="s">
        <v>196</v>
      </c>
      <c r="C102" s="96">
        <f>SUMIF('ПО КОРИСНИЦИМА'!$G$6:$G$13997,"Функција 724:",'ПО КОРИСНИЦИМА'!$H$6:$H$13997)</f>
        <v>0</v>
      </c>
      <c r="D102" s="97">
        <f t="shared" si="3"/>
        <v>0</v>
      </c>
      <c r="E102" s="96">
        <f>SUMIF('ПО КОРИСНИЦИМА'!$G$6:$G$13997,"Функција 724:",'ПО КОРИСНИЦИМА'!$I$6:$I$13997)</f>
        <v>0</v>
      </c>
      <c r="F102" s="96">
        <f t="shared" si="4"/>
        <v>0</v>
      </c>
    </row>
    <row r="103" spans="1:6" hidden="1">
      <c r="A103" s="101" t="s">
        <v>3999</v>
      </c>
      <c r="B103" s="102" t="s">
        <v>4000</v>
      </c>
      <c r="C103" s="96">
        <f>SUMIF('ПО КОРИСНИЦИМА'!$G$6:$G$13997,"Функција 730:",'ПО КОРИСНИЦИМА'!$H$6:$H$13997)</f>
        <v>0</v>
      </c>
      <c r="D103" s="97">
        <f t="shared" si="3"/>
        <v>0</v>
      </c>
      <c r="E103" s="96">
        <f>SUMIF('ПО КОРИСНИЦИМА'!$G$6:$G$13997,"Функција 730:",'ПО КОРИСНИЦИМА'!$I$6:$I$13997)</f>
        <v>0</v>
      </c>
      <c r="F103" s="96">
        <f t="shared" si="4"/>
        <v>0</v>
      </c>
    </row>
    <row r="104" spans="1:6" hidden="1">
      <c r="A104" s="103" t="s">
        <v>4001</v>
      </c>
      <c r="B104" s="102" t="s">
        <v>198</v>
      </c>
      <c r="C104" s="96">
        <f>SUMIF('ПО КОРИСНИЦИМА'!$G$6:$G$13997,"Функција 731:",'ПО КОРИСНИЦИМА'!$H$6:$H$13997)</f>
        <v>0</v>
      </c>
      <c r="D104" s="97">
        <f t="shared" si="3"/>
        <v>0</v>
      </c>
      <c r="E104" s="96">
        <f>SUMIF('ПО КОРИСНИЦИМА'!$G$6:$G$13997,"Функција 731:",'ПО КОРИСНИЦИМА'!$I$6:$I$13997)</f>
        <v>0</v>
      </c>
      <c r="F104" s="96">
        <f t="shared" si="4"/>
        <v>0</v>
      </c>
    </row>
    <row r="105" spans="1:6" hidden="1">
      <c r="A105" s="103" t="s">
        <v>4002</v>
      </c>
      <c r="B105" s="102" t="s">
        <v>199</v>
      </c>
      <c r="C105" s="96">
        <f>SUMIF('ПО КОРИСНИЦИМА'!$G$6:$G$13997,"Функција 732:",'ПО КОРИСНИЦИМА'!$H$6:$H$13997)</f>
        <v>0</v>
      </c>
      <c r="D105" s="97">
        <f t="shared" si="3"/>
        <v>0</v>
      </c>
      <c r="E105" s="96">
        <f>SUMIF('ПО КОРИСНИЦИМА'!$G$6:$G$13997,"Функција 732:",'ПО КОРИСНИЦИМА'!$I$6:$I$13997)</f>
        <v>0</v>
      </c>
      <c r="F105" s="96">
        <f t="shared" si="4"/>
        <v>0</v>
      </c>
    </row>
    <row r="106" spans="1:6" hidden="1">
      <c r="A106" s="103" t="s">
        <v>4003</v>
      </c>
      <c r="B106" s="102" t="s">
        <v>200</v>
      </c>
      <c r="C106" s="96">
        <f>SUMIF('ПО КОРИСНИЦИМА'!$G$6:$G$13997,"Функција 733:",'ПО КОРИСНИЦИМА'!$H$6:$H$13997)</f>
        <v>0</v>
      </c>
      <c r="D106" s="97">
        <f t="shared" si="3"/>
        <v>0</v>
      </c>
      <c r="E106" s="96">
        <f>SUMIF('ПО КОРИСНИЦИМА'!$G$6:$G$13997,"Функција 733:",'ПО КОРИСНИЦИМА'!$I$6:$I$13997)</f>
        <v>0</v>
      </c>
      <c r="F106" s="96">
        <f t="shared" si="4"/>
        <v>0</v>
      </c>
    </row>
    <row r="107" spans="1:6" hidden="1">
      <c r="A107" s="103" t="s">
        <v>4004</v>
      </c>
      <c r="B107" s="102" t="s">
        <v>4005</v>
      </c>
      <c r="C107" s="96">
        <f>SUMIF('ПО КОРИСНИЦИМА'!$G$6:$G$13997,"Функција 734:",'ПО КОРИСНИЦИМА'!$H$6:$H$13997)</f>
        <v>0</v>
      </c>
      <c r="D107" s="97">
        <f t="shared" si="3"/>
        <v>0</v>
      </c>
      <c r="E107" s="96">
        <f>SUMIF('ПО КОРИСНИЦИМА'!$G$6:$G$13997,"Функција 734:",'ПО КОРИСНИЦИМА'!$I$6:$I$13997)</f>
        <v>0</v>
      </c>
      <c r="F107" s="96">
        <f t="shared" si="4"/>
        <v>0</v>
      </c>
    </row>
    <row r="108" spans="1:6">
      <c r="A108" s="101" t="s">
        <v>4006</v>
      </c>
      <c r="B108" s="102" t="s">
        <v>4007</v>
      </c>
      <c r="C108" s="96">
        <f>SUMIF('ПО КОРИСНИЦИМА'!$G$6:$G$13997,"Функција 740:",'ПО КОРИСНИЦИМА'!$H$6:$H$13997)</f>
        <v>4500000</v>
      </c>
      <c r="D108" s="97">
        <f t="shared" si="3"/>
        <v>9.485988036271889E-3</v>
      </c>
      <c r="E108" s="96">
        <f>SUMIF('ПО КОРИСНИЦИМА'!$G$6:$G$13997,"Функција 740:",'ПО КОРИСНИЦИМА'!$I$6:$I$13997)</f>
        <v>0</v>
      </c>
      <c r="F108" s="96">
        <f t="shared" si="4"/>
        <v>4500000</v>
      </c>
    </row>
    <row r="109" spans="1:6">
      <c r="A109" s="101" t="s">
        <v>4008</v>
      </c>
      <c r="B109" s="102" t="s">
        <v>4009</v>
      </c>
      <c r="C109" s="96">
        <f>SUMIF('ПО КОРИСНИЦИМА'!$G$6:$G$13997,"Функција 750:",'ПО КОРИСНИЦИМА'!$H$6:$H$13997)</f>
        <v>0</v>
      </c>
      <c r="D109" s="97">
        <f t="shared" si="3"/>
        <v>0</v>
      </c>
      <c r="E109" s="96">
        <f>SUMIF('ПО КОРИСНИЦИМА'!$G$6:$G$13997,"Функција 750:",'ПО КОРИСНИЦИМА'!$I$6:$I$13997)</f>
        <v>0</v>
      </c>
      <c r="F109" s="96">
        <f t="shared" si="4"/>
        <v>0</v>
      </c>
    </row>
    <row r="110" spans="1:6">
      <c r="A110" s="101" t="s">
        <v>4010</v>
      </c>
      <c r="B110" s="102" t="s">
        <v>4011</v>
      </c>
      <c r="C110" s="96">
        <f>SUMIF('ПО КОРИСНИЦИМА'!$G$6:$G$13997,"Функција 760:",'ПО КОРИСНИЦИМА'!$H$6:$H$13997)</f>
        <v>0</v>
      </c>
      <c r="D110" s="97">
        <f t="shared" si="3"/>
        <v>0</v>
      </c>
      <c r="E110" s="96">
        <f>SUMIF('ПО КОРИСНИЦИМА'!$G$6:$G$13997,"Функција 760:",'ПО КОРИСНИЦИМА'!$I$6:$I$13997)</f>
        <v>0</v>
      </c>
      <c r="F110" s="96">
        <f t="shared" si="4"/>
        <v>0</v>
      </c>
    </row>
    <row r="111" spans="1:6" ht="12" customHeight="1">
      <c r="A111" s="98" t="s">
        <v>4012</v>
      </c>
      <c r="B111" s="104" t="s">
        <v>205</v>
      </c>
      <c r="C111" s="94">
        <f>SUM(C112:C117)</f>
        <v>23189900</v>
      </c>
      <c r="D111" s="100">
        <f t="shared" si="3"/>
        <v>4.8884247547186996E-2</v>
      </c>
      <c r="E111" s="94">
        <f>SUM(E112:E117)</f>
        <v>719760</v>
      </c>
      <c r="F111" s="94">
        <f t="shared" si="5"/>
        <v>23909660</v>
      </c>
    </row>
    <row r="112" spans="1:6">
      <c r="A112" s="101" t="s">
        <v>4013</v>
      </c>
      <c r="B112" s="102" t="s">
        <v>4014</v>
      </c>
      <c r="C112" s="96">
        <f>SUMIF('ПО КОРИСНИЦИМА'!$G$6:$G$13997,"Функција 810:",'ПО КОРИСНИЦИМА'!$H$6:$H$13997)</f>
        <v>9000000</v>
      </c>
      <c r="D112" s="97">
        <f t="shared" si="3"/>
        <v>1.8971976072543778E-2</v>
      </c>
      <c r="E112" s="96">
        <f>SUMIF('ПО КОРИСНИЦИМА'!$G$6:$G$13997,"Функција 810:",'ПО КОРИСНИЦИМА'!$I$6:$I$13997)</f>
        <v>0</v>
      </c>
      <c r="F112" s="96">
        <f t="shared" si="4"/>
        <v>9000000</v>
      </c>
    </row>
    <row r="113" spans="1:6">
      <c r="A113" s="101" t="s">
        <v>4015</v>
      </c>
      <c r="B113" s="102" t="s">
        <v>4016</v>
      </c>
      <c r="C113" s="96">
        <f>SUMIF('ПО КОРИСНИЦИМА'!$G$6:$G$13997,"Функција 820:",'ПО КОРИСНИЦИМА'!$H$6:$H$13997)</f>
        <v>9889900</v>
      </c>
      <c r="D113" s="97">
        <f t="shared" si="3"/>
        <v>2.084788290665008E-2</v>
      </c>
      <c r="E113" s="96">
        <f>SUMIF('ПО КОРИСНИЦИМА'!$G$6:$G$13997,"Функција 820:",'ПО КОРИСНИЦИМА'!$I$6:$I$13997)</f>
        <v>719760</v>
      </c>
      <c r="F113" s="96">
        <f t="shared" si="4"/>
        <v>10609660</v>
      </c>
    </row>
    <row r="114" spans="1:6" hidden="1">
      <c r="A114" s="101" t="s">
        <v>4017</v>
      </c>
      <c r="B114" s="102" t="s">
        <v>4018</v>
      </c>
      <c r="C114" s="96">
        <f>SUMIF('ПО КОРИСНИЦИМА'!$G$6:$G$13997,"Функција 830:",'ПО КОРИСНИЦИМА'!$H$6:$H$13997)</f>
        <v>0</v>
      </c>
      <c r="D114" s="97">
        <f t="shared" si="3"/>
        <v>0</v>
      </c>
      <c r="E114" s="96">
        <f>SUMIF('ПО КОРИСНИЦИМА'!$G$6:$G$13997,"Функција 830:",'ПО КОРИСНИЦИМА'!$I$6:$I$13997)</f>
        <v>0</v>
      </c>
      <c r="F114" s="96">
        <f t="shared" si="4"/>
        <v>0</v>
      </c>
    </row>
    <row r="115" spans="1:6" hidden="1">
      <c r="A115" s="101" t="s">
        <v>4019</v>
      </c>
      <c r="B115" s="102" t="s">
        <v>4020</v>
      </c>
      <c r="C115" s="96">
        <f>SUMIF('ПО КОРИСНИЦИМА'!$G$6:$G$13997,"Функција 840:",'ПО КОРИСНИЦИМА'!$H$6:$H$13997)</f>
        <v>0</v>
      </c>
      <c r="D115" s="97">
        <f t="shared" si="3"/>
        <v>0</v>
      </c>
      <c r="E115" s="96">
        <f>SUMIF('ПО КОРИСНИЦИМА'!$G$6:$G$13997,"Функција 840:",'ПО КОРИСНИЦИМА'!$I$6:$I$13997)</f>
        <v>0</v>
      </c>
      <c r="F115" s="96">
        <f t="shared" si="4"/>
        <v>0</v>
      </c>
    </row>
    <row r="116" spans="1:6" hidden="1">
      <c r="A116" s="101" t="s">
        <v>4021</v>
      </c>
      <c r="B116" s="102" t="s">
        <v>4022</v>
      </c>
      <c r="C116" s="96">
        <f>SUMIF('ПО КОРИСНИЦИМА'!$G$6:$G$13997,"Функција 850:",'ПО КОРИСНИЦИМА'!$H$6:$H$13997)</f>
        <v>0</v>
      </c>
      <c r="D116" s="97">
        <f t="shared" si="3"/>
        <v>0</v>
      </c>
      <c r="E116" s="96">
        <f>SUMIF('ПО КОРИСНИЦИМА'!$G$6:$G$13997,"Функција 850:",'ПО КОРИСНИЦИМА'!$I$6:$I$13997)</f>
        <v>0</v>
      </c>
      <c r="F116" s="96">
        <f t="shared" si="4"/>
        <v>0</v>
      </c>
    </row>
    <row r="117" spans="1:6" ht="23.25">
      <c r="A117" s="101" t="s">
        <v>4023</v>
      </c>
      <c r="B117" s="102" t="s">
        <v>211</v>
      </c>
      <c r="C117" s="96">
        <f>SUMIF('ПО КОРИСНИЦИМА'!$G$6:$G$13997,"Функција 860:",'ПО КОРИСНИЦИМА'!$H$6:$H$13997)</f>
        <v>4300000</v>
      </c>
      <c r="D117" s="97">
        <f t="shared" si="3"/>
        <v>9.0643885679931382E-3</v>
      </c>
      <c r="E117" s="96">
        <f>SUMIF('ПО КОРИСНИЦИМА'!$G$6:$G$13997,"Функција 860:",'ПО КОРИСНИЦИМА'!$I$6:$I$13997)</f>
        <v>0</v>
      </c>
      <c r="F117" s="96">
        <f t="shared" si="4"/>
        <v>4300000</v>
      </c>
    </row>
    <row r="118" spans="1:6">
      <c r="A118" s="115" t="s">
        <v>4024</v>
      </c>
      <c r="B118" s="104" t="s">
        <v>212</v>
      </c>
      <c r="C118" s="94">
        <f>SUM(C119:C139)</f>
        <v>53144047</v>
      </c>
      <c r="D118" s="100">
        <f t="shared" si="3"/>
        <v>0.11202750978690465</v>
      </c>
      <c r="E118" s="94">
        <f>SUM(E119:E139)</f>
        <v>11754011</v>
      </c>
      <c r="F118" s="94">
        <f t="shared" si="5"/>
        <v>64898058</v>
      </c>
    </row>
    <row r="119" spans="1:6" hidden="1">
      <c r="A119" s="101" t="s">
        <v>4025</v>
      </c>
      <c r="B119" s="102" t="s">
        <v>4026</v>
      </c>
      <c r="C119" s="96">
        <f>SUMIF('ПО КОРИСНИЦИМА'!$G$6:$G$13997,"Функција 910:",'ПО КОРИСНИЦИМА'!$H$6:$H$13997)</f>
        <v>0</v>
      </c>
      <c r="D119" s="97">
        <f t="shared" si="3"/>
        <v>0</v>
      </c>
      <c r="E119" s="96">
        <f>SUMIF('ПО КОРИСНИЦИМА'!$G$6:$G$13997,"Функција 910:",'ПО КОРИСНИЦИМА'!$I$6:$I$13997)</f>
        <v>0</v>
      </c>
      <c r="F119" s="96">
        <f t="shared" si="4"/>
        <v>0</v>
      </c>
    </row>
    <row r="120" spans="1:6">
      <c r="A120" s="103" t="s">
        <v>4027</v>
      </c>
      <c r="B120" s="102" t="s">
        <v>214</v>
      </c>
      <c r="C120" s="96">
        <f>SUMIF('ПО КОРИСНИЦИМА'!$G$6:$G$13997,"Функција 911:",'ПО КОРИСНИЦИМА'!$H$6:$H$13997)</f>
        <v>18057207</v>
      </c>
      <c r="D120" s="97">
        <f t="shared" si="3"/>
        <v>3.8064544348996664E-2</v>
      </c>
      <c r="E120" s="96">
        <f>SUMIF('ПО КОРИСНИЦИМА'!$G$6:$G$13997,"Функција 911:",'ПО КОРИСНИЦИМА'!$I$6:$I$13997)</f>
        <v>11754011</v>
      </c>
      <c r="F120" s="96">
        <f t="shared" si="4"/>
        <v>29811218</v>
      </c>
    </row>
    <row r="121" spans="1:6">
      <c r="A121" s="103" t="s">
        <v>3748</v>
      </c>
      <c r="B121" s="102" t="s">
        <v>215</v>
      </c>
      <c r="C121" s="96">
        <f>SUMIF('ПО КОРИСНИЦИМА'!$G$6:$G$13997,"Функција 912:",'ПО КОРИСНИЦИМА'!$H$6:$H$13997)</f>
        <v>28950000</v>
      </c>
      <c r="D121" s="97">
        <f t="shared" si="3"/>
        <v>6.1026523033349149E-2</v>
      </c>
      <c r="E121" s="96">
        <f>SUMIF('ПО КОРИСНИЦИМА'!$G$6:$G$13997,"Функција 912:",'ПО КОРИСНИЦИМА'!$I$6:$I$13997)</f>
        <v>0</v>
      </c>
      <c r="F121" s="96">
        <f t="shared" si="4"/>
        <v>28950000</v>
      </c>
    </row>
    <row r="122" spans="1:6" hidden="1">
      <c r="A122" s="103" t="s">
        <v>4028</v>
      </c>
      <c r="B122" s="102" t="s">
        <v>216</v>
      </c>
      <c r="C122" s="96">
        <f>SUMIF('ПО КОРИСНИЦИМА'!$G$6:$G$13997,"Функција 913:",'ПО КОРИСНИЦИМА'!$H$6:$H$13997)</f>
        <v>0</v>
      </c>
      <c r="D122" s="97">
        <f t="shared" si="3"/>
        <v>0</v>
      </c>
      <c r="E122" s="96">
        <f>SUMIF('ПО КОРИСНИЦИМА'!$G$6:$G$13997,"Функција 913:",'ПО КОРИСНИЦИМА'!$I$6:$I$13997)</f>
        <v>0</v>
      </c>
      <c r="F122" s="96">
        <f t="shared" si="4"/>
        <v>0</v>
      </c>
    </row>
    <row r="123" spans="1:6" hidden="1">
      <c r="A123" s="103" t="s">
        <v>4029</v>
      </c>
      <c r="B123" s="102" t="s">
        <v>217</v>
      </c>
      <c r="C123" s="96">
        <f>SUMIF('ПО КОРИСНИЦИМА'!$G$6:$G$13997,"Функција 914:",'ПО КОРИСНИЦИМА'!$H$6:$H$13997)</f>
        <v>0</v>
      </c>
      <c r="D123" s="97">
        <f t="shared" si="3"/>
        <v>0</v>
      </c>
      <c r="E123" s="96">
        <f>SUMIF('ПО КОРИСНИЦИМА'!$G$6:$G$13997,"Функција 914:",'ПО КОРИСНИЦИМА'!$I$6:$I$13997)</f>
        <v>0</v>
      </c>
      <c r="F123" s="96">
        <f t="shared" si="4"/>
        <v>0</v>
      </c>
    </row>
    <row r="124" spans="1:6" hidden="1">
      <c r="A124" s="103" t="s">
        <v>4030</v>
      </c>
      <c r="B124" s="102" t="s">
        <v>218</v>
      </c>
      <c r="C124" s="96">
        <f>SUMIF('ПО КОРИСНИЦИМА'!$G$6:$G$13997,"Функција 915:",'ПО КОРИСНИЦИМА'!$H$6:$H$13997)</f>
        <v>0</v>
      </c>
      <c r="D124" s="97">
        <f t="shared" si="3"/>
        <v>0</v>
      </c>
      <c r="E124" s="96">
        <f>SUMIF('ПО КОРИСНИЦИМА'!$G$6:$G$13997,"Функција 915:",'ПО КОРИСНИЦИМА'!$I$6:$I$13997)</f>
        <v>0</v>
      </c>
      <c r="F124" s="96">
        <f t="shared" si="4"/>
        <v>0</v>
      </c>
    </row>
    <row r="125" spans="1:6" hidden="1">
      <c r="A125" s="103" t="s">
        <v>4031</v>
      </c>
      <c r="B125" s="102" t="s">
        <v>219</v>
      </c>
      <c r="C125" s="96">
        <f>SUMIF('ПО КОРИСНИЦИМА'!$G$6:$G$13997,"Функција 916:",'ПО КОРИСНИЦИМА'!$H$6:$H$13997)</f>
        <v>0</v>
      </c>
      <c r="D125" s="97">
        <f t="shared" si="3"/>
        <v>0</v>
      </c>
      <c r="E125" s="96">
        <f>SUMIF('ПО КОРИСНИЦИМА'!$G$6:$G$13997,"Функција 916:",'ПО КОРИСНИЦИМА'!$I$6:$I$13997)</f>
        <v>0</v>
      </c>
      <c r="F125" s="96">
        <f t="shared" si="4"/>
        <v>0</v>
      </c>
    </row>
    <row r="126" spans="1:6">
      <c r="A126" s="101" t="s">
        <v>4032</v>
      </c>
      <c r="B126" s="102" t="s">
        <v>4033</v>
      </c>
      <c r="C126" s="96">
        <f>SUMIF('ПО КОРИСНИЦИМА'!$G$6:$G$13997,"Функција 920:",'ПО КОРИСНИЦИМА'!$H$6:$H$13997)</f>
        <v>6136840</v>
      </c>
      <c r="D126" s="97">
        <f t="shared" si="3"/>
        <v>1.2936442404558839E-2</v>
      </c>
      <c r="E126" s="96">
        <f>SUMIF('ПО КОРИСНИЦИМА'!$G$6:$G$13997,"Функција 920:",'ПО КОРИСНИЦИМА'!$I$6:$I$13997)</f>
        <v>0</v>
      </c>
      <c r="F126" s="96">
        <f t="shared" si="4"/>
        <v>6136840</v>
      </c>
    </row>
    <row r="127" spans="1:6" hidden="1">
      <c r="A127" s="103" t="s">
        <v>4034</v>
      </c>
      <c r="B127" s="102" t="s">
        <v>221</v>
      </c>
      <c r="C127" s="96">
        <f>SUMIF('ПО КОРИСНИЦИМА'!$G$6:$G$13997,"Функција 921:",'ПО КОРИСНИЦИМА'!$H$6:$H$13997)</f>
        <v>0</v>
      </c>
      <c r="D127" s="97">
        <f t="shared" si="3"/>
        <v>0</v>
      </c>
      <c r="E127" s="96">
        <f>SUMIF('ПО КОРИСНИЦИМА'!$G$6:$G$13997,"Функција 921:",'ПО КОРИСНИЦИМА'!$I$6:$I$13997)</f>
        <v>0</v>
      </c>
      <c r="F127" s="96">
        <f t="shared" si="4"/>
        <v>0</v>
      </c>
    </row>
    <row r="128" spans="1:6" hidden="1">
      <c r="A128" s="103" t="s">
        <v>4035</v>
      </c>
      <c r="B128" s="102" t="s">
        <v>222</v>
      </c>
      <c r="C128" s="96">
        <f>SUMIF('ПО КОРИСНИЦИМА'!$G$6:$G$13997,"Функција 922:",'ПО КОРИСНИЦИМА'!$H$6:$H$13997)</f>
        <v>0</v>
      </c>
      <c r="D128" s="97">
        <f t="shared" si="3"/>
        <v>0</v>
      </c>
      <c r="E128" s="96">
        <f>SUMIF('ПО КОРИСНИЦИМА'!$G$6:$G$13997,"Функција 922:",'ПО КОРИСНИЦИМА'!$I$6:$I$13997)</f>
        <v>0</v>
      </c>
      <c r="F128" s="96">
        <f t="shared" si="4"/>
        <v>0</v>
      </c>
    </row>
    <row r="129" spans="1:6" hidden="1">
      <c r="A129" s="103" t="s">
        <v>4036</v>
      </c>
      <c r="B129" s="102" t="s">
        <v>223</v>
      </c>
      <c r="C129" s="96">
        <f>SUMIF('ПО КОРИСНИЦИМА'!$G$6:$G$13997,"Функција 923:",'ПО КОРИСНИЦИМА'!$H$6:$H$13997)</f>
        <v>0</v>
      </c>
      <c r="D129" s="97">
        <f t="shared" si="3"/>
        <v>0</v>
      </c>
      <c r="E129" s="96">
        <f>SUMIF('ПО КОРИСНИЦИМА'!$G$6:$G$13997,"Функција 923:",'ПО КОРИСНИЦИМА'!$I$6:$I$13997)</f>
        <v>0</v>
      </c>
      <c r="F129" s="96">
        <f t="shared" si="4"/>
        <v>0</v>
      </c>
    </row>
    <row r="130" spans="1:6" hidden="1">
      <c r="A130" s="101" t="s">
        <v>4037</v>
      </c>
      <c r="B130" s="102" t="s">
        <v>4038</v>
      </c>
      <c r="C130" s="96">
        <f>SUMIF('ПО КОРИСНИЦИМА'!$G$6:$G$13997,"Функција 930:",'ПО КОРИСНИЦИМА'!$H$6:$H$13997)</f>
        <v>0</v>
      </c>
      <c r="D130" s="97">
        <f t="shared" si="3"/>
        <v>0</v>
      </c>
      <c r="E130" s="96">
        <f>SUMIF('ПО КОРИСНИЦИМА'!$G$6:$G$13997,"Функција 930:",'ПО КОРИСНИЦИМА'!$I$6:$I$13997)</f>
        <v>0</v>
      </c>
      <c r="F130" s="96">
        <f t="shared" si="4"/>
        <v>0</v>
      </c>
    </row>
    <row r="131" spans="1:6" hidden="1">
      <c r="A131" s="103" t="s">
        <v>4039</v>
      </c>
      <c r="B131" s="102" t="s">
        <v>224</v>
      </c>
      <c r="C131" s="96">
        <f>SUMIF('ПО КОРИСНИЦИМА'!$G$6:$G$13997,"Функција 931:",'ПО КОРИСНИЦИМА'!$H$6:$H$13997)</f>
        <v>0</v>
      </c>
      <c r="D131" s="97">
        <f t="shared" si="3"/>
        <v>0</v>
      </c>
      <c r="E131" s="96">
        <f>SUMIF('ПО КОРИСНИЦИМА'!$G$6:$G$13997,"Функција 931:",'ПО КОРИСНИЦИМА'!$I$6:$I$13997)</f>
        <v>0</v>
      </c>
      <c r="F131" s="96">
        <f t="shared" si="4"/>
        <v>0</v>
      </c>
    </row>
    <row r="132" spans="1:6" hidden="1">
      <c r="A132" s="103" t="s">
        <v>4040</v>
      </c>
      <c r="B132" s="102" t="s">
        <v>225</v>
      </c>
      <c r="C132" s="96">
        <f>SUMIF('ПО КОРИСНИЦИМА'!$G$6:$G$13997,"Функција 932:",'ПО КОРИСНИЦИМА'!$H$6:$H$13997)</f>
        <v>0</v>
      </c>
      <c r="D132" s="97">
        <f t="shared" si="3"/>
        <v>0</v>
      </c>
      <c r="E132" s="96">
        <f>SUMIF('ПО КОРИСНИЦИМА'!$G$6:$G$13997,"Функција 932:",'ПО КОРИСНИЦИМА'!$I$6:$I$13997)</f>
        <v>0</v>
      </c>
      <c r="F132" s="96">
        <f t="shared" si="4"/>
        <v>0</v>
      </c>
    </row>
    <row r="133" spans="1:6" hidden="1">
      <c r="A133" s="101" t="s">
        <v>4041</v>
      </c>
      <c r="B133" s="102" t="s">
        <v>4042</v>
      </c>
      <c r="C133" s="96">
        <f>SUMIF('ПО КОРИСНИЦИМА'!$G$6:$G$13997,"Функција 940:",'ПО КОРИСНИЦИМА'!$H$6:$H$13997)</f>
        <v>0</v>
      </c>
      <c r="D133" s="97">
        <f t="shared" si="3"/>
        <v>0</v>
      </c>
      <c r="E133" s="96">
        <f>SUMIF('ПО КОРИСНИЦИМА'!$G$6:$G$13997,"Функција 940:",'ПО КОРИСНИЦИМА'!$I$6:$I$13997)</f>
        <v>0</v>
      </c>
      <c r="F133" s="96">
        <f t="shared" si="4"/>
        <v>0</v>
      </c>
    </row>
    <row r="134" spans="1:6" hidden="1">
      <c r="A134" s="103" t="s">
        <v>4043</v>
      </c>
      <c r="B134" s="102" t="s">
        <v>227</v>
      </c>
      <c r="C134" s="96">
        <f>SUMIF('ПО КОРИСНИЦИМА'!$G$6:$G$13997,"Функција 941:",'ПО КОРИСНИЦИМА'!$H$6:$H$13997)</f>
        <v>0</v>
      </c>
      <c r="D134" s="97">
        <f t="shared" ref="D134:D140" si="6">IFERROR(C134/$C$140,"-")</f>
        <v>0</v>
      </c>
      <c r="E134" s="96">
        <f>SUMIF('ПО КОРИСНИЦИМА'!$G$6:$G$13997,"Функција 941:",'ПО КОРИСНИЦИМА'!$I$6:$I$13997)</f>
        <v>0</v>
      </c>
      <c r="F134" s="96">
        <f t="shared" si="4"/>
        <v>0</v>
      </c>
    </row>
    <row r="135" spans="1:6" hidden="1">
      <c r="A135" s="103" t="s">
        <v>4044</v>
      </c>
      <c r="B135" s="102" t="s">
        <v>4045</v>
      </c>
      <c r="C135" s="96">
        <f>SUMIF('ПО КОРИСНИЦИМА'!$G$6:$G$13997,"Функција 942:",'ПО КОРИСНИЦИМА'!$H$6:$H$13997)</f>
        <v>0</v>
      </c>
      <c r="D135" s="97">
        <f t="shared" si="6"/>
        <v>0</v>
      </c>
      <c r="E135" s="96">
        <f>SUMIF('ПО КОРИСНИЦИМА'!$G$6:$G$13997,"Функција 942:",'ПО КОРИСНИЦИМА'!$I$6:$I$13997)</f>
        <v>0</v>
      </c>
      <c r="F135" s="96">
        <f t="shared" ref="F135:F139" si="7">SUM(E135,C135)</f>
        <v>0</v>
      </c>
    </row>
    <row r="136" spans="1:6" hidden="1">
      <c r="A136" s="101" t="s">
        <v>4046</v>
      </c>
      <c r="B136" s="102" t="s">
        <v>4047</v>
      </c>
      <c r="C136" s="96">
        <f>SUMIF('ПО КОРИСНИЦИМА'!$G$6:$G$13997,"Функција 950:",'ПО КОРИСНИЦИМА'!$H$6:$H$13997)</f>
        <v>0</v>
      </c>
      <c r="D136" s="97">
        <f t="shared" si="6"/>
        <v>0</v>
      </c>
      <c r="E136" s="96">
        <f>SUMIF('ПО КОРИСНИЦИМА'!$G$6:$G$13997,"Функција 950:",'ПО КОРИСНИЦИМА'!$I$6:$I$13997)</f>
        <v>0</v>
      </c>
      <c r="F136" s="96">
        <f t="shared" si="7"/>
        <v>0</v>
      </c>
    </row>
    <row r="137" spans="1:6" hidden="1">
      <c r="A137" s="101" t="s">
        <v>4048</v>
      </c>
      <c r="B137" s="102" t="s">
        <v>4049</v>
      </c>
      <c r="C137" s="96">
        <f>SUMIF('ПО КОРИСНИЦИМА'!$G$6:$G$13997,"Функција 960:",'ПО КОРИСНИЦИМА'!$H$6:$H$13997)</f>
        <v>0</v>
      </c>
      <c r="D137" s="97">
        <f t="shared" si="6"/>
        <v>0</v>
      </c>
      <c r="E137" s="96">
        <f>SUMIF('ПО КОРИСНИЦИМА'!$G$6:$G$13997,"Функција 960:",'ПО КОРИСНИЦИМА'!$I$6:$I$13997)</f>
        <v>0</v>
      </c>
      <c r="F137" s="96">
        <f t="shared" si="7"/>
        <v>0</v>
      </c>
    </row>
    <row r="138" spans="1:6" hidden="1">
      <c r="A138" s="116" t="s">
        <v>4050</v>
      </c>
      <c r="B138" s="95" t="s">
        <v>4051</v>
      </c>
      <c r="C138" s="96">
        <f>SUMIF('ПО КОРИСНИЦИМА'!$G$6:$G$13997,"Функција 970:",'ПО КОРИСНИЦИМА'!$H$6:$H$13997)</f>
        <v>0</v>
      </c>
      <c r="D138" s="97">
        <f t="shared" si="6"/>
        <v>0</v>
      </c>
      <c r="E138" s="96">
        <f>SUMIF('ПО КОРИСНИЦИМА'!$G$6:$G$13997,"Функција 970:",'ПО КОРИСНИЦИМА'!$I$6:$I$13997)</f>
        <v>0</v>
      </c>
      <c r="F138" s="96">
        <f t="shared" si="7"/>
        <v>0</v>
      </c>
    </row>
    <row r="139" spans="1:6" hidden="1">
      <c r="A139" s="101" t="s">
        <v>4052</v>
      </c>
      <c r="B139" s="102" t="s">
        <v>232</v>
      </c>
      <c r="C139" s="96">
        <f>SUMIF('ПО КОРИСНИЦИМА'!$G$6:$G$13997,"Функција 980:",'ПО КОРИСНИЦИМА'!$H$6:$H$13997)</f>
        <v>0</v>
      </c>
      <c r="D139" s="97">
        <f t="shared" si="6"/>
        <v>0</v>
      </c>
      <c r="E139" s="96">
        <f>SUMIF('ПО КОРИСНИЦИМА'!$G$6:$G$13997,"Функција 980:",'ПО КОРИСНИЦИМА'!$I$6:$I$13997)</f>
        <v>0</v>
      </c>
      <c r="F139" s="96">
        <f t="shared" si="7"/>
        <v>0</v>
      </c>
    </row>
    <row r="140" spans="1:6" ht="19.5" customHeight="1">
      <c r="A140" s="117"/>
      <c r="B140" s="118" t="s">
        <v>4053</v>
      </c>
      <c r="C140" s="119">
        <f>SUM(C5,C15,C32,C39,C79,C86,C93,C111,C118)</f>
        <v>474383900</v>
      </c>
      <c r="D140" s="120">
        <f t="shared" si="6"/>
        <v>1</v>
      </c>
      <c r="E140" s="119">
        <f>SUM(E5,E15,E32,E39,E79,E86,E93,E111,E118)</f>
        <v>13773771</v>
      </c>
      <c r="F140" s="119">
        <f>SUM(E140,C140)</f>
        <v>488157671</v>
      </c>
    </row>
    <row r="141" spans="1:6">
      <c r="A141" s="121"/>
      <c r="B141" s="122"/>
      <c r="C141" s="123">
        <f>C140-'По основ. нам.'!C87</f>
        <v>0</v>
      </c>
      <c r="D141" s="123"/>
      <c r="E141" s="123"/>
      <c r="F141" s="123"/>
    </row>
  </sheetData>
  <sheetProtection password="CA6E" sheet="1" objects="1" scenarios="1"/>
  <mergeCells count="2">
    <mergeCell ref="A2:F2"/>
    <mergeCell ref="B1:E1"/>
  </mergeCells>
  <conditionalFormatting sqref="C141 E141:F141">
    <cfRule type="cellIs" dxfId="0" priority="2" stopIfTrue="1" operator="notEqual">
      <formula>0</formula>
    </cfRule>
  </conditionalFormatting>
  <conditionalFormatting sqref="C141:F141">
    <cfRule type="cellIs" priority="1" operator="notEqual">
      <formula>0</formula>
    </cfRule>
  </conditionalFormatting>
  <pageMargins left="0.51181102362204722" right="0.31496062992125984" top="0.78740157480314965" bottom="0.39370078740157483" header="0.31496062992125984" footer="0.31496062992125984"/>
  <pageSetup orientation="portrait" r:id="rId1"/>
  <cellWatches>
    <cellWatch r="C141"/>
  </cellWatches>
</worksheet>
</file>

<file path=xl/worksheets/sheet8.xml><?xml version="1.0" encoding="utf-8"?>
<worksheet xmlns="http://schemas.openxmlformats.org/spreadsheetml/2006/main" xmlns:r="http://schemas.openxmlformats.org/officeDocument/2006/relationships">
  <sheetPr codeName="Sheet8">
    <tabColor theme="1"/>
  </sheetPr>
  <dimension ref="A1:Y14143"/>
  <sheetViews>
    <sheetView zoomScale="90" zoomScaleNormal="90" workbookViewId="0">
      <selection activeCell="B14008" sqref="B14008:J14008"/>
    </sheetView>
  </sheetViews>
  <sheetFormatPr defaultRowHeight="15"/>
  <cols>
    <col min="1" max="1" width="2.85546875" style="263" customWidth="1"/>
    <col min="2" max="2" width="3.42578125" style="263" customWidth="1"/>
    <col min="3" max="3" width="10.7109375" style="266" customWidth="1"/>
    <col min="4" max="4" width="5.28515625" style="263" customWidth="1"/>
    <col min="5" max="5" width="3.85546875" style="263" customWidth="1"/>
    <col min="6" max="6" width="5.85546875" style="263" customWidth="1"/>
    <col min="7" max="7" width="63.5703125" style="275" customWidth="1"/>
    <col min="8" max="8" width="12.28515625" style="634" customWidth="1"/>
    <col min="9" max="9" width="12" style="635" customWidth="1"/>
    <col min="10" max="10" width="13.28515625" style="635" customWidth="1"/>
    <col min="11" max="11" width="9.140625" style="330"/>
    <col min="12" max="14" width="9.85546875" style="330" bestFit="1" customWidth="1"/>
    <col min="15" max="25" width="9.140625" style="330"/>
    <col min="26" max="16384" width="9.140625" style="84"/>
  </cols>
  <sheetData>
    <row r="1" spans="1:25" ht="25.5" customHeight="1">
      <c r="G1" s="880" t="s">
        <v>5229</v>
      </c>
      <c r="H1" s="880"/>
      <c r="I1" s="880"/>
    </row>
    <row r="2" spans="1:25" ht="21.75" customHeight="1">
      <c r="A2" s="765"/>
      <c r="B2" s="765"/>
      <c r="C2" s="766"/>
      <c r="G2" s="765" t="s">
        <v>5163</v>
      </c>
    </row>
    <row r="3" spans="1:25" ht="35.25" customHeight="1">
      <c r="B3" s="879" t="s">
        <v>5397</v>
      </c>
      <c r="C3" s="879"/>
      <c r="D3" s="879"/>
      <c r="E3" s="879"/>
      <c r="F3" s="879"/>
      <c r="G3" s="879"/>
      <c r="H3" s="879"/>
      <c r="I3" s="879"/>
      <c r="J3" s="879"/>
    </row>
    <row r="4" spans="1:25" ht="54.75" customHeight="1">
      <c r="A4" s="257" t="s">
        <v>4159</v>
      </c>
      <c r="B4" s="258" t="s">
        <v>4160</v>
      </c>
      <c r="C4" s="260" t="s">
        <v>4164</v>
      </c>
      <c r="D4" s="257" t="s">
        <v>4161</v>
      </c>
      <c r="E4" s="257" t="s">
        <v>4162</v>
      </c>
      <c r="F4" s="258" t="s">
        <v>4165</v>
      </c>
      <c r="G4" s="259" t="s">
        <v>263</v>
      </c>
      <c r="H4" s="628" t="s">
        <v>24</v>
      </c>
      <c r="I4" s="628" t="s">
        <v>3760</v>
      </c>
      <c r="J4" s="629" t="s">
        <v>4163</v>
      </c>
      <c r="M4" s="881"/>
      <c r="N4" s="881"/>
      <c r="O4" s="881"/>
      <c r="P4" s="881"/>
      <c r="Q4" s="881"/>
      <c r="R4" s="881"/>
      <c r="S4" s="881"/>
      <c r="T4" s="881"/>
      <c r="U4" s="881"/>
      <c r="V4" s="881"/>
    </row>
    <row r="5" spans="1:25" ht="18.75" customHeight="1" thickBot="1">
      <c r="A5" s="347">
        <v>1</v>
      </c>
      <c r="B5" s="348">
        <v>2</v>
      </c>
      <c r="C5" s="349">
        <v>4</v>
      </c>
      <c r="D5" s="347">
        <v>3</v>
      </c>
      <c r="E5" s="347">
        <v>6</v>
      </c>
      <c r="F5" s="348">
        <v>7</v>
      </c>
      <c r="G5" s="347">
        <v>8</v>
      </c>
      <c r="H5" s="630">
        <v>9</v>
      </c>
      <c r="I5" s="630">
        <v>10</v>
      </c>
      <c r="J5" s="631">
        <v>11</v>
      </c>
    </row>
    <row r="6" spans="1:25" ht="15" customHeight="1">
      <c r="A6" s="289">
        <v>1</v>
      </c>
      <c r="B6" s="289">
        <v>1</v>
      </c>
      <c r="C6" s="265"/>
      <c r="D6" s="261"/>
      <c r="E6" s="261"/>
      <c r="F6" s="261"/>
      <c r="G6" s="277" t="s">
        <v>5164</v>
      </c>
      <c r="H6" s="632"/>
      <c r="I6" s="633"/>
      <c r="J6" s="633"/>
      <c r="M6" s="882"/>
      <c r="N6" s="882"/>
      <c r="O6" s="882"/>
      <c r="P6" s="882"/>
      <c r="Q6" s="882"/>
      <c r="R6" s="882"/>
      <c r="S6" s="882"/>
      <c r="T6" s="882"/>
      <c r="U6" s="882"/>
      <c r="V6" s="882"/>
      <c r="W6" s="882"/>
      <c r="X6" s="882"/>
      <c r="Y6" s="882"/>
    </row>
    <row r="7" spans="1:25">
      <c r="C7" s="273" t="s">
        <v>3600</v>
      </c>
      <c r="D7" s="264"/>
      <c r="G7" s="307" t="s">
        <v>4208</v>
      </c>
      <c r="M7" s="882"/>
      <c r="N7" s="882"/>
      <c r="O7" s="882"/>
      <c r="P7" s="882"/>
      <c r="Q7" s="882"/>
      <c r="R7" s="882"/>
      <c r="S7" s="882"/>
      <c r="T7" s="882"/>
      <c r="U7" s="882"/>
      <c r="V7" s="882"/>
      <c r="W7" s="882"/>
      <c r="X7" s="882"/>
      <c r="Y7" s="882"/>
    </row>
    <row r="8" spans="1:25">
      <c r="C8" s="273" t="s">
        <v>4138</v>
      </c>
      <c r="D8" s="264"/>
      <c r="G8" s="307" t="s">
        <v>4139</v>
      </c>
      <c r="M8" s="882"/>
      <c r="N8" s="882"/>
      <c r="O8" s="882"/>
      <c r="P8" s="882"/>
      <c r="Q8" s="882"/>
      <c r="R8" s="882"/>
      <c r="S8" s="882"/>
      <c r="T8" s="882"/>
      <c r="U8" s="882"/>
      <c r="V8" s="882"/>
      <c r="W8" s="882"/>
      <c r="X8" s="882"/>
      <c r="Y8" s="882"/>
    </row>
    <row r="9" spans="1:25" ht="13.5" customHeight="1">
      <c r="C9" s="273"/>
      <c r="D9" s="357">
        <v>110</v>
      </c>
      <c r="E9" s="357"/>
      <c r="F9" s="357"/>
      <c r="G9" s="358" t="s">
        <v>105</v>
      </c>
    </row>
    <row r="10" spans="1:25">
      <c r="E10" s="781">
        <v>1</v>
      </c>
      <c r="F10" s="269">
        <v>411</v>
      </c>
      <c r="G10" s="340" t="s">
        <v>4173</v>
      </c>
      <c r="H10" s="634">
        <v>1042000</v>
      </c>
      <c r="J10" s="635">
        <f>SUM(H10:I10)</f>
        <v>1042000</v>
      </c>
      <c r="M10" s="882"/>
      <c r="N10" s="882"/>
      <c r="O10" s="882"/>
      <c r="P10" s="882"/>
      <c r="Q10" s="882"/>
      <c r="R10" s="882"/>
      <c r="S10" s="882"/>
      <c r="T10" s="882"/>
      <c r="U10" s="882"/>
      <c r="V10" s="882"/>
      <c r="W10" s="882"/>
      <c r="X10" s="882"/>
      <c r="Y10" s="882"/>
    </row>
    <row r="11" spans="1:25">
      <c r="E11" s="781">
        <v>2</v>
      </c>
      <c r="F11" s="269">
        <v>412</v>
      </c>
      <c r="G11" s="337" t="s">
        <v>3770</v>
      </c>
      <c r="H11" s="634">
        <v>186500</v>
      </c>
      <c r="J11" s="635">
        <f t="shared" ref="J11:J70" si="0">SUM(H11:I11)</f>
        <v>186500</v>
      </c>
      <c r="M11" s="882"/>
      <c r="N11" s="882"/>
      <c r="O11" s="882"/>
      <c r="P11" s="882"/>
      <c r="Q11" s="882"/>
      <c r="R11" s="882"/>
      <c r="S11" s="882"/>
      <c r="T11" s="882"/>
      <c r="U11" s="882"/>
      <c r="V11" s="882"/>
      <c r="W11" s="882"/>
      <c r="X11" s="882"/>
      <c r="Y11" s="882"/>
    </row>
    <row r="12" spans="1:25" ht="15" hidden="1" customHeight="1">
      <c r="E12" s="781"/>
      <c r="F12" s="269">
        <v>413</v>
      </c>
      <c r="G12" s="340" t="s">
        <v>4174</v>
      </c>
      <c r="J12" s="635">
        <f t="shared" si="0"/>
        <v>0</v>
      </c>
      <c r="M12" s="882"/>
      <c r="N12" s="882"/>
      <c r="O12" s="882"/>
      <c r="P12" s="882"/>
      <c r="Q12" s="882"/>
      <c r="R12" s="882"/>
      <c r="S12" s="882"/>
      <c r="T12" s="882"/>
      <c r="U12" s="882"/>
      <c r="V12" s="882"/>
      <c r="W12" s="882"/>
      <c r="X12" s="882"/>
      <c r="Y12" s="882"/>
    </row>
    <row r="13" spans="1:25" hidden="1">
      <c r="E13" s="781"/>
      <c r="F13" s="269">
        <v>414</v>
      </c>
      <c r="G13" s="340" t="s">
        <v>3773</v>
      </c>
      <c r="J13" s="635">
        <f t="shared" si="0"/>
        <v>0</v>
      </c>
      <c r="M13" s="882"/>
      <c r="N13" s="882"/>
      <c r="O13" s="882"/>
      <c r="P13" s="882"/>
      <c r="Q13" s="882"/>
      <c r="R13" s="882"/>
      <c r="S13" s="882"/>
      <c r="T13" s="882"/>
      <c r="U13" s="882"/>
      <c r="V13" s="882"/>
      <c r="W13" s="882"/>
      <c r="X13" s="882"/>
      <c r="Y13" s="882"/>
    </row>
    <row r="14" spans="1:25" hidden="1">
      <c r="E14" s="781"/>
      <c r="F14" s="269">
        <v>415</v>
      </c>
      <c r="G14" s="340" t="s">
        <v>4183</v>
      </c>
      <c r="J14" s="635">
        <f t="shared" si="0"/>
        <v>0</v>
      </c>
    </row>
    <row r="15" spans="1:25">
      <c r="E15" s="781">
        <v>3</v>
      </c>
      <c r="F15" s="269">
        <v>416</v>
      </c>
      <c r="G15" s="340" t="s">
        <v>4184</v>
      </c>
      <c r="H15" s="634">
        <v>70000</v>
      </c>
      <c r="J15" s="635">
        <f t="shared" si="0"/>
        <v>70000</v>
      </c>
    </row>
    <row r="16" spans="1:25" hidden="1">
      <c r="E16" s="781">
        <v>3</v>
      </c>
      <c r="F16" s="269">
        <v>417</v>
      </c>
      <c r="G16" s="340" t="s">
        <v>4185</v>
      </c>
      <c r="J16" s="635">
        <f t="shared" si="0"/>
        <v>0</v>
      </c>
    </row>
    <row r="17" spans="5:10" hidden="1">
      <c r="E17" s="781">
        <v>3</v>
      </c>
      <c r="F17" s="269">
        <v>418</v>
      </c>
      <c r="G17" s="340" t="s">
        <v>3779</v>
      </c>
      <c r="J17" s="635">
        <f t="shared" si="0"/>
        <v>0</v>
      </c>
    </row>
    <row r="18" spans="5:10" hidden="1">
      <c r="E18" s="781">
        <v>3</v>
      </c>
      <c r="F18" s="269">
        <v>421</v>
      </c>
      <c r="G18" s="340" t="s">
        <v>3783</v>
      </c>
      <c r="J18" s="635">
        <f t="shared" si="0"/>
        <v>0</v>
      </c>
    </row>
    <row r="19" spans="5:10">
      <c r="E19" s="781">
        <v>4</v>
      </c>
      <c r="F19" s="269">
        <v>422</v>
      </c>
      <c r="G19" s="340" t="s">
        <v>3784</v>
      </c>
      <c r="H19" s="634">
        <v>20000</v>
      </c>
      <c r="J19" s="635">
        <f t="shared" si="0"/>
        <v>20000</v>
      </c>
    </row>
    <row r="20" spans="5:10">
      <c r="E20" s="781">
        <v>5</v>
      </c>
      <c r="F20" s="269">
        <v>423</v>
      </c>
      <c r="G20" s="340" t="s">
        <v>3785</v>
      </c>
      <c r="H20" s="634">
        <v>2950000</v>
      </c>
      <c r="J20" s="635">
        <f t="shared" si="0"/>
        <v>2950000</v>
      </c>
    </row>
    <row r="21" spans="5:10" hidden="1">
      <c r="E21" s="781">
        <v>3</v>
      </c>
      <c r="F21" s="569"/>
      <c r="G21" s="562"/>
    </row>
    <row r="22" spans="5:10" hidden="1">
      <c r="E22" s="781">
        <v>3</v>
      </c>
      <c r="F22" s="269">
        <v>424</v>
      </c>
      <c r="G22" s="340" t="s">
        <v>3787</v>
      </c>
      <c r="J22" s="635">
        <f t="shared" si="0"/>
        <v>0</v>
      </c>
    </row>
    <row r="23" spans="5:10" hidden="1">
      <c r="E23" s="781">
        <v>3</v>
      </c>
      <c r="F23" s="269">
        <v>425</v>
      </c>
      <c r="G23" s="340" t="s">
        <v>4186</v>
      </c>
      <c r="J23" s="635">
        <f t="shared" si="0"/>
        <v>0</v>
      </c>
    </row>
    <row r="24" spans="5:10">
      <c r="E24" s="781" t="s">
        <v>5211</v>
      </c>
      <c r="F24" s="269">
        <v>465</v>
      </c>
      <c r="G24" s="562" t="s">
        <v>4176</v>
      </c>
      <c r="H24" s="634">
        <v>150000</v>
      </c>
      <c r="J24" s="635">
        <f t="shared" si="0"/>
        <v>150000</v>
      </c>
    </row>
    <row r="25" spans="5:10" hidden="1">
      <c r="E25" s="781">
        <v>3</v>
      </c>
      <c r="F25" s="269">
        <v>431</v>
      </c>
      <c r="G25" s="340" t="s">
        <v>4187</v>
      </c>
      <c r="J25" s="635">
        <f t="shared" si="0"/>
        <v>0</v>
      </c>
    </row>
    <row r="26" spans="5:10" hidden="1">
      <c r="E26" s="781">
        <v>3</v>
      </c>
      <c r="F26" s="269">
        <v>432</v>
      </c>
      <c r="G26" s="340" t="s">
        <v>4188</v>
      </c>
      <c r="J26" s="635">
        <f t="shared" si="0"/>
        <v>0</v>
      </c>
    </row>
    <row r="27" spans="5:10" hidden="1">
      <c r="E27" s="781">
        <v>3</v>
      </c>
      <c r="F27" s="269">
        <v>433</v>
      </c>
      <c r="G27" s="340" t="s">
        <v>4189</v>
      </c>
      <c r="J27" s="635">
        <f t="shared" si="0"/>
        <v>0</v>
      </c>
    </row>
    <row r="28" spans="5:10" hidden="1">
      <c r="E28" s="781">
        <v>3</v>
      </c>
      <c r="F28" s="269">
        <v>434</v>
      </c>
      <c r="G28" s="340" t="s">
        <v>4190</v>
      </c>
      <c r="J28" s="635">
        <f t="shared" si="0"/>
        <v>0</v>
      </c>
    </row>
    <row r="29" spans="5:10" hidden="1">
      <c r="E29" s="781">
        <v>3</v>
      </c>
      <c r="F29" s="269">
        <v>435</v>
      </c>
      <c r="G29" s="340" t="s">
        <v>3798</v>
      </c>
      <c r="J29" s="635">
        <f t="shared" si="0"/>
        <v>0</v>
      </c>
    </row>
    <row r="30" spans="5:10" hidden="1">
      <c r="E30" s="781">
        <v>3</v>
      </c>
      <c r="F30" s="269">
        <v>441</v>
      </c>
      <c r="G30" s="340" t="s">
        <v>4191</v>
      </c>
      <c r="J30" s="635">
        <f t="shared" si="0"/>
        <v>0</v>
      </c>
    </row>
    <row r="31" spans="5:10" hidden="1">
      <c r="E31" s="781">
        <v>3</v>
      </c>
      <c r="F31" s="269">
        <v>442</v>
      </c>
      <c r="G31" s="340" t="s">
        <v>4192</v>
      </c>
      <c r="J31" s="635">
        <f t="shared" si="0"/>
        <v>0</v>
      </c>
    </row>
    <row r="32" spans="5:10" hidden="1">
      <c r="E32" s="781">
        <v>3</v>
      </c>
      <c r="F32" s="269">
        <v>443</v>
      </c>
      <c r="G32" s="340" t="s">
        <v>3803</v>
      </c>
      <c r="J32" s="635">
        <f t="shared" si="0"/>
        <v>0</v>
      </c>
    </row>
    <row r="33" spans="5:10" hidden="1">
      <c r="E33" s="781">
        <v>3</v>
      </c>
      <c r="F33" s="269">
        <v>444</v>
      </c>
      <c r="G33" s="340" t="s">
        <v>3804</v>
      </c>
      <c r="J33" s="635">
        <f t="shared" si="0"/>
        <v>0</v>
      </c>
    </row>
    <row r="34" spans="5:10" ht="30" hidden="1">
      <c r="E34" s="781">
        <v>3</v>
      </c>
      <c r="F34" s="269">
        <v>4511</v>
      </c>
      <c r="G34" s="268" t="s">
        <v>1690</v>
      </c>
      <c r="J34" s="635">
        <f t="shared" si="0"/>
        <v>0</v>
      </c>
    </row>
    <row r="35" spans="5:10" ht="19.5" hidden="1" customHeight="1">
      <c r="E35" s="781">
        <v>3</v>
      </c>
      <c r="F35" s="269">
        <v>4512</v>
      </c>
      <c r="G35" s="268" t="s">
        <v>1699</v>
      </c>
      <c r="J35" s="635">
        <f t="shared" si="0"/>
        <v>0</v>
      </c>
    </row>
    <row r="36" spans="5:10" hidden="1">
      <c r="E36" s="781">
        <v>3</v>
      </c>
      <c r="F36" s="269">
        <v>452</v>
      </c>
      <c r="G36" s="340" t="s">
        <v>4193</v>
      </c>
      <c r="J36" s="635">
        <f t="shared" si="0"/>
        <v>0</v>
      </c>
    </row>
    <row r="37" spans="5:10" hidden="1">
      <c r="E37" s="781">
        <v>3</v>
      </c>
      <c r="F37" s="269">
        <v>453</v>
      </c>
      <c r="G37" s="340" t="s">
        <v>4194</v>
      </c>
      <c r="J37" s="635">
        <f t="shared" si="0"/>
        <v>0</v>
      </c>
    </row>
    <row r="38" spans="5:10" hidden="1">
      <c r="E38" s="781">
        <v>3</v>
      </c>
      <c r="F38" s="269">
        <v>454</v>
      </c>
      <c r="G38" s="340" t="s">
        <v>3809</v>
      </c>
      <c r="J38" s="635">
        <f t="shared" si="0"/>
        <v>0</v>
      </c>
    </row>
    <row r="39" spans="5:10" hidden="1">
      <c r="E39" s="781">
        <v>3</v>
      </c>
      <c r="F39" s="269">
        <v>461</v>
      </c>
      <c r="G39" s="340" t="s">
        <v>4175</v>
      </c>
      <c r="J39" s="635">
        <f t="shared" si="0"/>
        <v>0</v>
      </c>
    </row>
    <row r="40" spans="5:10" hidden="1">
      <c r="E40" s="781">
        <v>3</v>
      </c>
      <c r="F40" s="269">
        <v>462</v>
      </c>
      <c r="G40" s="340" t="s">
        <v>3812</v>
      </c>
      <c r="J40" s="635">
        <f t="shared" si="0"/>
        <v>0</v>
      </c>
    </row>
    <row r="41" spans="5:10" hidden="1">
      <c r="E41" s="781">
        <v>3</v>
      </c>
      <c r="F41" s="269">
        <v>4631</v>
      </c>
      <c r="G41" s="340" t="s">
        <v>3813</v>
      </c>
      <c r="J41" s="635">
        <f t="shared" si="0"/>
        <v>0</v>
      </c>
    </row>
    <row r="42" spans="5:10" hidden="1">
      <c r="E42" s="781">
        <v>3</v>
      </c>
      <c r="F42" s="269">
        <v>4632</v>
      </c>
      <c r="G42" s="340" t="s">
        <v>3814</v>
      </c>
      <c r="J42" s="635">
        <f t="shared" si="0"/>
        <v>0</v>
      </c>
    </row>
    <row r="43" spans="5:10" hidden="1">
      <c r="E43" s="781">
        <v>3</v>
      </c>
      <c r="F43" s="269">
        <v>464</v>
      </c>
      <c r="G43" s="340" t="s">
        <v>3815</v>
      </c>
      <c r="J43" s="635">
        <f t="shared" si="0"/>
        <v>0</v>
      </c>
    </row>
    <row r="44" spans="5:10" hidden="1">
      <c r="E44" s="781">
        <v>3</v>
      </c>
      <c r="F44" s="269">
        <v>465</v>
      </c>
      <c r="G44" s="340" t="s">
        <v>4176</v>
      </c>
      <c r="J44" s="635">
        <f t="shared" si="0"/>
        <v>0</v>
      </c>
    </row>
    <row r="45" spans="5:10" hidden="1">
      <c r="E45" s="781">
        <v>3</v>
      </c>
      <c r="F45" s="269">
        <v>472</v>
      </c>
      <c r="G45" s="340" t="s">
        <v>3819</v>
      </c>
      <c r="J45" s="635">
        <f t="shared" si="0"/>
        <v>0</v>
      </c>
    </row>
    <row r="46" spans="5:10" ht="15.75" thickBot="1">
      <c r="E46" s="781" t="s">
        <v>5274</v>
      </c>
      <c r="F46" s="269">
        <v>481</v>
      </c>
      <c r="G46" s="340" t="s">
        <v>4195</v>
      </c>
      <c r="H46" s="634">
        <v>352500</v>
      </c>
      <c r="J46" s="635">
        <f t="shared" si="0"/>
        <v>352500</v>
      </c>
    </row>
    <row r="47" spans="5:10" ht="15.75" hidden="1" thickBot="1">
      <c r="F47" s="269">
        <v>482</v>
      </c>
      <c r="G47" s="340" t="s">
        <v>4196</v>
      </c>
      <c r="J47" s="635">
        <f t="shared" si="0"/>
        <v>0</v>
      </c>
    </row>
    <row r="48" spans="5:10" ht="15.75" hidden="1" thickBot="1">
      <c r="F48" s="269">
        <v>483</v>
      </c>
      <c r="G48" s="343" t="s">
        <v>4197</v>
      </c>
      <c r="J48" s="635">
        <f t="shared" si="0"/>
        <v>0</v>
      </c>
    </row>
    <row r="49" spans="6:10" ht="30.75" hidden="1" thickBot="1">
      <c r="F49" s="269">
        <v>484</v>
      </c>
      <c r="G49" s="340" t="s">
        <v>4198</v>
      </c>
      <c r="J49" s="635">
        <f t="shared" si="0"/>
        <v>0</v>
      </c>
    </row>
    <row r="50" spans="6:10" ht="30.75" hidden="1" thickBot="1">
      <c r="F50" s="269">
        <v>485</v>
      </c>
      <c r="G50" s="340" t="s">
        <v>4199</v>
      </c>
      <c r="J50" s="635">
        <f t="shared" si="0"/>
        <v>0</v>
      </c>
    </row>
    <row r="51" spans="6:10" ht="30.75" hidden="1" thickBot="1">
      <c r="F51" s="269">
        <v>489</v>
      </c>
      <c r="G51" s="340" t="s">
        <v>3827</v>
      </c>
      <c r="J51" s="635">
        <f t="shared" si="0"/>
        <v>0</v>
      </c>
    </row>
    <row r="52" spans="6:10" ht="15.75" hidden="1" thickBot="1">
      <c r="F52" s="269">
        <v>494</v>
      </c>
      <c r="G52" s="340" t="s">
        <v>4177</v>
      </c>
      <c r="J52" s="635">
        <f t="shared" si="0"/>
        <v>0</v>
      </c>
    </row>
    <row r="53" spans="6:10" ht="30.75" hidden="1" thickBot="1">
      <c r="F53" s="269">
        <v>495</v>
      </c>
      <c r="G53" s="340" t="s">
        <v>4178</v>
      </c>
      <c r="J53" s="635">
        <f t="shared" si="0"/>
        <v>0</v>
      </c>
    </row>
    <row r="54" spans="6:10" ht="30.75" hidden="1" thickBot="1">
      <c r="F54" s="269">
        <v>496</v>
      </c>
      <c r="G54" s="340" t="s">
        <v>4179</v>
      </c>
      <c r="J54" s="635">
        <f t="shared" si="0"/>
        <v>0</v>
      </c>
    </row>
    <row r="55" spans="6:10" ht="15.75" hidden="1" thickBot="1">
      <c r="F55" s="269">
        <v>499</v>
      </c>
      <c r="G55" s="340" t="s">
        <v>4180</v>
      </c>
      <c r="J55" s="635">
        <f t="shared" si="0"/>
        <v>0</v>
      </c>
    </row>
    <row r="56" spans="6:10" ht="15.75" hidden="1" thickBot="1">
      <c r="F56" s="269">
        <v>511</v>
      </c>
      <c r="G56" s="343" t="s">
        <v>4200</v>
      </c>
      <c r="J56" s="635">
        <f t="shared" si="0"/>
        <v>0</v>
      </c>
    </row>
    <row r="57" spans="6:10" ht="15.75" hidden="1" thickBot="1">
      <c r="F57" s="269">
        <v>512</v>
      </c>
      <c r="G57" s="343" t="s">
        <v>4201</v>
      </c>
      <c r="J57" s="635">
        <f t="shared" si="0"/>
        <v>0</v>
      </c>
    </row>
    <row r="58" spans="6:10" ht="15.75" hidden="1" thickBot="1">
      <c r="F58" s="269">
        <v>513</v>
      </c>
      <c r="G58" s="343" t="s">
        <v>4202</v>
      </c>
      <c r="J58" s="635">
        <f t="shared" si="0"/>
        <v>0</v>
      </c>
    </row>
    <row r="59" spans="6:10" ht="15.75" hidden="1" thickBot="1">
      <c r="F59" s="269">
        <v>514</v>
      </c>
      <c r="G59" s="340" t="s">
        <v>4203</v>
      </c>
      <c r="J59" s="635">
        <f t="shared" si="0"/>
        <v>0</v>
      </c>
    </row>
    <row r="60" spans="6:10" ht="15.75" hidden="1" thickBot="1">
      <c r="F60" s="269">
        <v>515</v>
      </c>
      <c r="G60" s="340" t="s">
        <v>3838</v>
      </c>
      <c r="J60" s="635">
        <f t="shared" si="0"/>
        <v>0</v>
      </c>
    </row>
    <row r="61" spans="6:10" ht="15.75" hidden="1" thickBot="1">
      <c r="F61" s="269">
        <v>521</v>
      </c>
      <c r="G61" s="340" t="s">
        <v>4204</v>
      </c>
      <c r="J61" s="635">
        <f t="shared" si="0"/>
        <v>0</v>
      </c>
    </row>
    <row r="62" spans="6:10" ht="15.75" hidden="1" thickBot="1">
      <c r="F62" s="269">
        <v>522</v>
      </c>
      <c r="G62" s="340" t="s">
        <v>4205</v>
      </c>
      <c r="J62" s="635">
        <f t="shared" si="0"/>
        <v>0</v>
      </c>
    </row>
    <row r="63" spans="6:10" ht="15.75" hidden="1" thickBot="1">
      <c r="F63" s="269">
        <v>523</v>
      </c>
      <c r="G63" s="340" t="s">
        <v>3843</v>
      </c>
      <c r="J63" s="635">
        <f t="shared" si="0"/>
        <v>0</v>
      </c>
    </row>
    <row r="64" spans="6:10" ht="15.75" hidden="1" thickBot="1">
      <c r="F64" s="269">
        <v>531</v>
      </c>
      <c r="G64" s="337" t="s">
        <v>4181</v>
      </c>
      <c r="J64" s="635">
        <f t="shared" si="0"/>
        <v>0</v>
      </c>
    </row>
    <row r="65" spans="5:10" ht="15.75" hidden="1" thickBot="1">
      <c r="F65" s="269">
        <v>541</v>
      </c>
      <c r="G65" s="340" t="s">
        <v>4206</v>
      </c>
      <c r="J65" s="635">
        <f t="shared" si="0"/>
        <v>0</v>
      </c>
    </row>
    <row r="66" spans="5:10" ht="15.75" hidden="1" thickBot="1">
      <c r="F66" s="269">
        <v>542</v>
      </c>
      <c r="G66" s="340" t="s">
        <v>4207</v>
      </c>
      <c r="J66" s="635">
        <f t="shared" si="0"/>
        <v>0</v>
      </c>
    </row>
    <row r="67" spans="5:10" ht="15.75" hidden="1" thickBot="1">
      <c r="F67" s="269">
        <v>543</v>
      </c>
      <c r="G67" s="340" t="s">
        <v>3848</v>
      </c>
      <c r="J67" s="635">
        <f t="shared" si="0"/>
        <v>0</v>
      </c>
    </row>
    <row r="68" spans="5:10" ht="30.75" hidden="1" thickBot="1">
      <c r="F68" s="269">
        <v>551</v>
      </c>
      <c r="G68" s="340" t="s">
        <v>4182</v>
      </c>
      <c r="J68" s="635">
        <f t="shared" si="0"/>
        <v>0</v>
      </c>
    </row>
    <row r="69" spans="5:10" ht="15.75" hidden="1" thickBot="1">
      <c r="F69" s="270">
        <v>611</v>
      </c>
      <c r="G69" s="344" t="s">
        <v>3854</v>
      </c>
      <c r="J69" s="635">
        <f t="shared" si="0"/>
        <v>0</v>
      </c>
    </row>
    <row r="70" spans="5:10" ht="15.75" hidden="1" thickBot="1">
      <c r="F70" s="270">
        <v>620</v>
      </c>
      <c r="G70" s="344" t="s">
        <v>88</v>
      </c>
      <c r="J70" s="635">
        <f t="shared" si="0"/>
        <v>0</v>
      </c>
    </row>
    <row r="71" spans="5:10">
      <c r="E71" s="338"/>
      <c r="F71" s="346"/>
      <c r="G71" s="372" t="s">
        <v>4348</v>
      </c>
      <c r="H71" s="636"/>
      <c r="I71" s="662"/>
      <c r="J71" s="637"/>
    </row>
    <row r="72" spans="5:10" ht="17.25" customHeight="1" thickBot="1">
      <c r="E72" s="267"/>
      <c r="F72" s="294" t="s">
        <v>234</v>
      </c>
      <c r="G72" s="297" t="s">
        <v>235</v>
      </c>
      <c r="H72" s="638">
        <f>SUM(H10:H46)</f>
        <v>4771000</v>
      </c>
      <c r="I72" s="639"/>
      <c r="J72" s="639">
        <f t="shared" ref="J72:J87" si="1">SUM(H72:I72)</f>
        <v>4771000</v>
      </c>
    </row>
    <row r="73" spans="5:10" ht="15.75" hidden="1" thickBot="1">
      <c r="F73" s="294" t="s">
        <v>236</v>
      </c>
      <c r="G73" s="297" t="s">
        <v>237</v>
      </c>
      <c r="J73" s="639">
        <f t="shared" si="1"/>
        <v>0</v>
      </c>
    </row>
    <row r="74" spans="5:10" ht="15.75" hidden="1" thickBot="1">
      <c r="F74" s="294" t="s">
        <v>238</v>
      </c>
      <c r="G74" s="297" t="s">
        <v>239</v>
      </c>
      <c r="J74" s="639">
        <f t="shared" si="1"/>
        <v>0</v>
      </c>
    </row>
    <row r="75" spans="5:10" ht="15.75" hidden="1" thickBot="1">
      <c r="F75" s="294" t="s">
        <v>240</v>
      </c>
      <c r="G75" s="297" t="s">
        <v>241</v>
      </c>
      <c r="J75" s="639">
        <f t="shared" si="1"/>
        <v>0</v>
      </c>
    </row>
    <row r="76" spans="5:10" ht="15.75" hidden="1" thickBot="1">
      <c r="F76" s="294" t="s">
        <v>242</v>
      </c>
      <c r="G76" s="683" t="s">
        <v>243</v>
      </c>
      <c r="J76" s="639">
        <f t="shared" si="1"/>
        <v>0</v>
      </c>
    </row>
    <row r="77" spans="5:10" ht="15.75" hidden="1" thickBot="1">
      <c r="F77" s="294" t="s">
        <v>244</v>
      </c>
      <c r="G77" s="297" t="s">
        <v>245</v>
      </c>
      <c r="J77" s="639">
        <f t="shared" si="1"/>
        <v>0</v>
      </c>
    </row>
    <row r="78" spans="5:10" ht="15.75" hidden="1" thickBot="1">
      <c r="F78" s="294" t="s">
        <v>246</v>
      </c>
      <c r="G78" s="683" t="s">
        <v>5121</v>
      </c>
      <c r="J78" s="639">
        <f t="shared" si="1"/>
        <v>0</v>
      </c>
    </row>
    <row r="79" spans="5:10" ht="15.75" hidden="1" thickBot="1">
      <c r="F79" s="294" t="s">
        <v>247</v>
      </c>
      <c r="G79" s="683" t="s">
        <v>5120</v>
      </c>
      <c r="J79" s="639">
        <f t="shared" si="1"/>
        <v>0</v>
      </c>
    </row>
    <row r="80" spans="5:10" ht="15.75" hidden="1" thickBot="1">
      <c r="F80" s="294" t="s">
        <v>248</v>
      </c>
      <c r="G80" s="297" t="s">
        <v>57</v>
      </c>
      <c r="J80" s="639">
        <f t="shared" si="1"/>
        <v>0</v>
      </c>
    </row>
    <row r="81" spans="5:10" ht="15.75" hidden="1" thickBot="1">
      <c r="F81" s="294" t="s">
        <v>249</v>
      </c>
      <c r="G81" s="297" t="s">
        <v>250</v>
      </c>
      <c r="J81" s="639">
        <f t="shared" si="1"/>
        <v>0</v>
      </c>
    </row>
    <row r="82" spans="5:10" ht="15.75" hidden="1" thickBot="1">
      <c r="F82" s="294" t="s">
        <v>251</v>
      </c>
      <c r="G82" s="297" t="s">
        <v>252</v>
      </c>
      <c r="J82" s="639">
        <f t="shared" si="1"/>
        <v>0</v>
      </c>
    </row>
    <row r="83" spans="5:10" ht="15.75" hidden="1" thickBot="1">
      <c r="F83" s="294" t="s">
        <v>253</v>
      </c>
      <c r="G83" s="297" t="s">
        <v>254</v>
      </c>
      <c r="J83" s="639">
        <f t="shared" si="1"/>
        <v>0</v>
      </c>
    </row>
    <row r="84" spans="5:10" ht="15.75" hidden="1" thickBot="1">
      <c r="F84" s="294" t="s">
        <v>255</v>
      </c>
      <c r="G84" s="297" t="s">
        <v>256</v>
      </c>
      <c r="J84" s="639">
        <f t="shared" si="1"/>
        <v>0</v>
      </c>
    </row>
    <row r="85" spans="5:10" ht="15.75" hidden="1" thickBot="1">
      <c r="F85" s="294" t="s">
        <v>257</v>
      </c>
      <c r="G85" s="297" t="s">
        <v>258</v>
      </c>
      <c r="J85" s="639">
        <f t="shared" si="1"/>
        <v>0</v>
      </c>
    </row>
    <row r="86" spans="5:10" ht="15.75" hidden="1" thickBot="1">
      <c r="F86" s="294" t="s">
        <v>259</v>
      </c>
      <c r="G86" s="297" t="s">
        <v>260</v>
      </c>
      <c r="J86" s="639">
        <f t="shared" si="1"/>
        <v>0</v>
      </c>
    </row>
    <row r="87" spans="5:10" ht="15.75" hidden="1" thickBot="1">
      <c r="F87" s="294" t="s">
        <v>261</v>
      </c>
      <c r="G87" s="297" t="s">
        <v>262</v>
      </c>
      <c r="H87" s="638"/>
      <c r="I87" s="639"/>
      <c r="J87" s="639">
        <f t="shared" si="1"/>
        <v>0</v>
      </c>
    </row>
    <row r="88" spans="5:10" ht="15.75" thickBot="1">
      <c r="G88" s="274" t="s">
        <v>4286</v>
      </c>
      <c r="H88" s="640">
        <f>SUM(H72:H87)</f>
        <v>4771000</v>
      </c>
      <c r="I88" s="641">
        <f>SUM(I73:I87)</f>
        <v>0</v>
      </c>
      <c r="J88" s="641">
        <f>SUM(J72:J87)</f>
        <v>4771000</v>
      </c>
    </row>
    <row r="89" spans="5:10" collapsed="1">
      <c r="E89" s="271"/>
      <c r="F89" s="272"/>
      <c r="G89" s="276" t="s">
        <v>4288</v>
      </c>
      <c r="H89" s="642"/>
      <c r="I89" s="663"/>
      <c r="J89" s="643"/>
    </row>
    <row r="90" spans="5:10" ht="15.75" thickBot="1">
      <c r="E90" s="267"/>
      <c r="F90" s="278" t="s">
        <v>234</v>
      </c>
      <c r="G90" s="297" t="s">
        <v>235</v>
      </c>
      <c r="H90" s="638">
        <f>SUM(H10:H70)</f>
        <v>4771000</v>
      </c>
      <c r="I90" s="639"/>
      <c r="J90" s="639">
        <f>SUM(H90:I90)</f>
        <v>4771000</v>
      </c>
    </row>
    <row r="91" spans="5:10" ht="15.75" hidden="1" thickBot="1">
      <c r="F91" s="278" t="s">
        <v>236</v>
      </c>
      <c r="G91" s="297" t="s">
        <v>237</v>
      </c>
      <c r="J91" s="639">
        <f t="shared" ref="J91:J105" si="2">SUM(H91:I91)</f>
        <v>0</v>
      </c>
    </row>
    <row r="92" spans="5:10" ht="15.75" hidden="1" thickBot="1">
      <c r="F92" s="278" t="s">
        <v>238</v>
      </c>
      <c r="G92" s="297" t="s">
        <v>239</v>
      </c>
      <c r="J92" s="639">
        <f t="shared" si="2"/>
        <v>0</v>
      </c>
    </row>
    <row r="93" spans="5:10" ht="15.75" hidden="1" thickBot="1">
      <c r="F93" s="278" t="s">
        <v>240</v>
      </c>
      <c r="G93" s="297" t="s">
        <v>241</v>
      </c>
      <c r="J93" s="639">
        <f t="shared" si="2"/>
        <v>0</v>
      </c>
    </row>
    <row r="94" spans="5:10" ht="15.75" hidden="1" thickBot="1">
      <c r="F94" s="278" t="s">
        <v>242</v>
      </c>
      <c r="G94" s="297" t="s">
        <v>243</v>
      </c>
      <c r="J94" s="639">
        <f t="shared" si="2"/>
        <v>0</v>
      </c>
    </row>
    <row r="95" spans="5:10" ht="15.75" hidden="1" thickBot="1">
      <c r="F95" s="278" t="s">
        <v>244</v>
      </c>
      <c r="G95" s="297" t="s">
        <v>245</v>
      </c>
      <c r="J95" s="639">
        <f t="shared" si="2"/>
        <v>0</v>
      </c>
    </row>
    <row r="96" spans="5:10" ht="15.75" hidden="1" thickBot="1">
      <c r="F96" s="278" t="s">
        <v>246</v>
      </c>
      <c r="G96" s="683" t="s">
        <v>5121</v>
      </c>
      <c r="J96" s="639">
        <f t="shared" si="2"/>
        <v>0</v>
      </c>
    </row>
    <row r="97" spans="3:10" ht="15.75" hidden="1" thickBot="1">
      <c r="F97" s="278" t="s">
        <v>247</v>
      </c>
      <c r="G97" s="683" t="s">
        <v>5120</v>
      </c>
      <c r="J97" s="639">
        <f t="shared" si="2"/>
        <v>0</v>
      </c>
    </row>
    <row r="98" spans="3:10" ht="15.75" hidden="1" thickBot="1">
      <c r="F98" s="278" t="s">
        <v>248</v>
      </c>
      <c r="G98" s="297" t="s">
        <v>57</v>
      </c>
      <c r="J98" s="639">
        <f t="shared" si="2"/>
        <v>0</v>
      </c>
    </row>
    <row r="99" spans="3:10" ht="15.75" hidden="1" thickBot="1">
      <c r="F99" s="278" t="s">
        <v>249</v>
      </c>
      <c r="G99" s="297" t="s">
        <v>250</v>
      </c>
      <c r="J99" s="639">
        <f t="shared" si="2"/>
        <v>0</v>
      </c>
    </row>
    <row r="100" spans="3:10" ht="15.75" hidden="1" thickBot="1">
      <c r="F100" s="278" t="s">
        <v>251</v>
      </c>
      <c r="G100" s="297" t="s">
        <v>252</v>
      </c>
      <c r="J100" s="639">
        <f t="shared" si="2"/>
        <v>0</v>
      </c>
    </row>
    <row r="101" spans="3:10" ht="15.75" hidden="1" thickBot="1">
      <c r="F101" s="278" t="s">
        <v>253</v>
      </c>
      <c r="G101" s="297" t="s">
        <v>254</v>
      </c>
      <c r="J101" s="639">
        <f t="shared" si="2"/>
        <v>0</v>
      </c>
    </row>
    <row r="102" spans="3:10" ht="15.75" hidden="1" thickBot="1">
      <c r="F102" s="278" t="s">
        <v>255</v>
      </c>
      <c r="G102" s="297" t="s">
        <v>256</v>
      </c>
      <c r="J102" s="639">
        <f t="shared" si="2"/>
        <v>0</v>
      </c>
    </row>
    <row r="103" spans="3:10" ht="15.75" hidden="1" thickBot="1">
      <c r="F103" s="278" t="s">
        <v>257</v>
      </c>
      <c r="G103" s="297" t="s">
        <v>258</v>
      </c>
      <c r="J103" s="639">
        <f t="shared" si="2"/>
        <v>0</v>
      </c>
    </row>
    <row r="104" spans="3:10" ht="15.75" hidden="1" thickBot="1">
      <c r="F104" s="278" t="s">
        <v>259</v>
      </c>
      <c r="G104" s="297" t="s">
        <v>260</v>
      </c>
      <c r="J104" s="639">
        <f t="shared" si="2"/>
        <v>0</v>
      </c>
    </row>
    <row r="105" spans="3:10" ht="15.75" hidden="1" thickBot="1">
      <c r="F105" s="278" t="s">
        <v>261</v>
      </c>
      <c r="G105" s="297" t="s">
        <v>262</v>
      </c>
      <c r="H105" s="638"/>
      <c r="I105" s="639"/>
      <c r="J105" s="639">
        <f t="shared" si="2"/>
        <v>0</v>
      </c>
    </row>
    <row r="106" spans="3:10" ht="15.75" collapsed="1" thickBot="1">
      <c r="G106" s="274" t="s">
        <v>4287</v>
      </c>
      <c r="H106" s="640">
        <f>SUM(H90:H105)</f>
        <v>4771000</v>
      </c>
      <c r="I106" s="641">
        <f>SUM(I91:I105)</f>
        <v>0</v>
      </c>
      <c r="J106" s="641">
        <f>SUM(J90:J105)</f>
        <v>4771000</v>
      </c>
    </row>
    <row r="107" spans="3:10" hidden="1" collapsed="1"/>
    <row r="108" spans="3:10" hidden="1">
      <c r="C108" s="273" t="s">
        <v>4938</v>
      </c>
      <c r="D108" s="264"/>
      <c r="G108" s="563" t="s">
        <v>5074</v>
      </c>
    </row>
    <row r="109" spans="3:10" ht="30" hidden="1">
      <c r="C109" s="273"/>
      <c r="D109" s="357">
        <v>110</v>
      </c>
      <c r="E109" s="357"/>
      <c r="F109" s="357"/>
      <c r="G109" s="358" t="s">
        <v>105</v>
      </c>
    </row>
    <row r="110" spans="3:10" hidden="1">
      <c r="F110" s="280">
        <v>411</v>
      </c>
      <c r="G110" s="340" t="s">
        <v>4173</v>
      </c>
      <c r="J110" s="635">
        <f>SUM(H110:I110)</f>
        <v>0</v>
      </c>
    </row>
    <row r="111" spans="3:10" hidden="1">
      <c r="F111" s="280">
        <v>412</v>
      </c>
      <c r="G111" s="337" t="s">
        <v>3770</v>
      </c>
      <c r="J111" s="635">
        <f t="shared" ref="J111:J169" si="3">SUM(H111:I111)</f>
        <v>0</v>
      </c>
    </row>
    <row r="112" spans="3:10" hidden="1">
      <c r="F112" s="280">
        <v>413</v>
      </c>
      <c r="G112" s="340" t="s">
        <v>4174</v>
      </c>
      <c r="J112" s="635">
        <f t="shared" si="3"/>
        <v>0</v>
      </c>
    </row>
    <row r="113" spans="6:10" hidden="1">
      <c r="F113" s="280">
        <v>414</v>
      </c>
      <c r="G113" s="340" t="s">
        <v>3773</v>
      </c>
      <c r="J113" s="635">
        <f t="shared" si="3"/>
        <v>0</v>
      </c>
    </row>
    <row r="114" spans="6:10" hidden="1">
      <c r="F114" s="280">
        <v>415</v>
      </c>
      <c r="G114" s="340" t="s">
        <v>4183</v>
      </c>
      <c r="J114" s="635">
        <f t="shared" si="3"/>
        <v>0</v>
      </c>
    </row>
    <row r="115" spans="6:10" hidden="1">
      <c r="F115" s="280">
        <v>416</v>
      </c>
      <c r="G115" s="340" t="s">
        <v>4184</v>
      </c>
      <c r="J115" s="635">
        <f t="shared" si="3"/>
        <v>0</v>
      </c>
    </row>
    <row r="116" spans="6:10" hidden="1">
      <c r="F116" s="280">
        <v>417</v>
      </c>
      <c r="G116" s="340" t="s">
        <v>4185</v>
      </c>
      <c r="J116" s="635">
        <f t="shared" si="3"/>
        <v>0</v>
      </c>
    </row>
    <row r="117" spans="6:10" hidden="1">
      <c r="F117" s="280">
        <v>418</v>
      </c>
      <c r="G117" s="340" t="s">
        <v>3779</v>
      </c>
      <c r="J117" s="635">
        <f t="shared" si="3"/>
        <v>0</v>
      </c>
    </row>
    <row r="118" spans="6:10" hidden="1">
      <c r="F118" s="280">
        <v>421</v>
      </c>
      <c r="G118" s="340" t="s">
        <v>3783</v>
      </c>
      <c r="J118" s="635">
        <f t="shared" si="3"/>
        <v>0</v>
      </c>
    </row>
    <row r="119" spans="6:10" hidden="1">
      <c r="F119" s="280">
        <v>422</v>
      </c>
      <c r="G119" s="340" t="s">
        <v>3784</v>
      </c>
      <c r="J119" s="635">
        <f t="shared" si="3"/>
        <v>0</v>
      </c>
    </row>
    <row r="120" spans="6:10" hidden="1">
      <c r="F120" s="280">
        <v>423</v>
      </c>
      <c r="G120" s="340" t="s">
        <v>3785</v>
      </c>
      <c r="J120" s="635">
        <f t="shared" si="3"/>
        <v>0</v>
      </c>
    </row>
    <row r="121" spans="6:10" hidden="1">
      <c r="F121" s="280">
        <v>424</v>
      </c>
      <c r="G121" s="340" t="s">
        <v>3787</v>
      </c>
      <c r="J121" s="635">
        <f t="shared" si="3"/>
        <v>0</v>
      </c>
    </row>
    <row r="122" spans="6:10" hidden="1">
      <c r="F122" s="280">
        <v>425</v>
      </c>
      <c r="G122" s="340" t="s">
        <v>4186</v>
      </c>
      <c r="J122" s="635">
        <f t="shared" si="3"/>
        <v>0</v>
      </c>
    </row>
    <row r="123" spans="6:10" ht="15.75" hidden="1" thickBot="1">
      <c r="F123" s="280">
        <v>426</v>
      </c>
      <c r="G123" s="340" t="s">
        <v>3791</v>
      </c>
      <c r="J123" s="635">
        <f t="shared" si="3"/>
        <v>0</v>
      </c>
    </row>
    <row r="124" spans="6:10" hidden="1">
      <c r="F124" s="280">
        <v>431</v>
      </c>
      <c r="G124" s="340" t="s">
        <v>4187</v>
      </c>
      <c r="J124" s="635">
        <f t="shared" si="3"/>
        <v>0</v>
      </c>
    </row>
    <row r="125" spans="6:10" hidden="1">
      <c r="F125" s="280">
        <v>432</v>
      </c>
      <c r="G125" s="340" t="s">
        <v>4188</v>
      </c>
      <c r="J125" s="635">
        <f t="shared" si="3"/>
        <v>0</v>
      </c>
    </row>
    <row r="126" spans="6:10" hidden="1">
      <c r="F126" s="280">
        <v>433</v>
      </c>
      <c r="G126" s="340" t="s">
        <v>4189</v>
      </c>
      <c r="J126" s="635">
        <f t="shared" si="3"/>
        <v>0</v>
      </c>
    </row>
    <row r="127" spans="6:10" hidden="1">
      <c r="F127" s="280">
        <v>434</v>
      </c>
      <c r="G127" s="340" t="s">
        <v>4190</v>
      </c>
      <c r="J127" s="635">
        <f t="shared" si="3"/>
        <v>0</v>
      </c>
    </row>
    <row r="128" spans="6:10" hidden="1">
      <c r="F128" s="280">
        <v>435</v>
      </c>
      <c r="G128" s="340" t="s">
        <v>3798</v>
      </c>
      <c r="J128" s="635">
        <f t="shared" si="3"/>
        <v>0</v>
      </c>
    </row>
    <row r="129" spans="6:10" hidden="1">
      <c r="F129" s="280">
        <v>441</v>
      </c>
      <c r="G129" s="340" t="s">
        <v>4191</v>
      </c>
      <c r="J129" s="635">
        <f t="shared" si="3"/>
        <v>0</v>
      </c>
    </row>
    <row r="130" spans="6:10" hidden="1">
      <c r="F130" s="280">
        <v>442</v>
      </c>
      <c r="G130" s="340" t="s">
        <v>4192</v>
      </c>
      <c r="J130" s="635">
        <f t="shared" si="3"/>
        <v>0</v>
      </c>
    </row>
    <row r="131" spans="6:10" hidden="1">
      <c r="F131" s="280">
        <v>443</v>
      </c>
      <c r="G131" s="340" t="s">
        <v>3803</v>
      </c>
      <c r="J131" s="635">
        <f t="shared" si="3"/>
        <v>0</v>
      </c>
    </row>
    <row r="132" spans="6:10" hidden="1">
      <c r="F132" s="280">
        <v>444</v>
      </c>
      <c r="G132" s="340" t="s">
        <v>3804</v>
      </c>
      <c r="J132" s="635">
        <f t="shared" si="3"/>
        <v>0</v>
      </c>
    </row>
    <row r="133" spans="6:10" ht="30" hidden="1">
      <c r="F133" s="280">
        <v>4511</v>
      </c>
      <c r="G133" s="268" t="s">
        <v>1690</v>
      </c>
      <c r="J133" s="635">
        <f t="shared" si="3"/>
        <v>0</v>
      </c>
    </row>
    <row r="134" spans="6:10" ht="30" hidden="1">
      <c r="F134" s="280">
        <v>4512</v>
      </c>
      <c r="G134" s="268" t="s">
        <v>1699</v>
      </c>
      <c r="J134" s="635">
        <f t="shared" si="3"/>
        <v>0</v>
      </c>
    </row>
    <row r="135" spans="6:10" hidden="1">
      <c r="F135" s="280">
        <v>452</v>
      </c>
      <c r="G135" s="340" t="s">
        <v>4193</v>
      </c>
      <c r="J135" s="635">
        <f t="shared" si="3"/>
        <v>0</v>
      </c>
    </row>
    <row r="136" spans="6:10" hidden="1">
      <c r="F136" s="280">
        <v>453</v>
      </c>
      <c r="G136" s="340" t="s">
        <v>4194</v>
      </c>
      <c r="J136" s="635">
        <f t="shared" si="3"/>
        <v>0</v>
      </c>
    </row>
    <row r="137" spans="6:10" hidden="1">
      <c r="F137" s="280">
        <v>454</v>
      </c>
      <c r="G137" s="340" t="s">
        <v>3809</v>
      </c>
      <c r="J137" s="635">
        <f t="shared" si="3"/>
        <v>0</v>
      </c>
    </row>
    <row r="138" spans="6:10" hidden="1">
      <c r="F138" s="280">
        <v>461</v>
      </c>
      <c r="G138" s="340" t="s">
        <v>4175</v>
      </c>
      <c r="J138" s="635">
        <f t="shared" si="3"/>
        <v>0</v>
      </c>
    </row>
    <row r="139" spans="6:10" hidden="1">
      <c r="F139" s="280">
        <v>462</v>
      </c>
      <c r="G139" s="340" t="s">
        <v>3812</v>
      </c>
      <c r="J139" s="635">
        <f t="shared" si="3"/>
        <v>0</v>
      </c>
    </row>
    <row r="140" spans="6:10" hidden="1">
      <c r="F140" s="280">
        <v>4631</v>
      </c>
      <c r="G140" s="340" t="s">
        <v>3813</v>
      </c>
      <c r="J140" s="635">
        <f t="shared" si="3"/>
        <v>0</v>
      </c>
    </row>
    <row r="141" spans="6:10" hidden="1">
      <c r="F141" s="280">
        <v>4632</v>
      </c>
      <c r="G141" s="340" t="s">
        <v>3814</v>
      </c>
      <c r="J141" s="635">
        <f t="shared" si="3"/>
        <v>0</v>
      </c>
    </row>
    <row r="142" spans="6:10" hidden="1">
      <c r="F142" s="280">
        <v>464</v>
      </c>
      <c r="G142" s="340" t="s">
        <v>3815</v>
      </c>
      <c r="J142" s="635">
        <f t="shared" si="3"/>
        <v>0</v>
      </c>
    </row>
    <row r="143" spans="6:10" hidden="1">
      <c r="F143" s="280">
        <v>465</v>
      </c>
      <c r="G143" s="340" t="s">
        <v>4176</v>
      </c>
      <c r="J143" s="635">
        <f t="shared" si="3"/>
        <v>0</v>
      </c>
    </row>
    <row r="144" spans="6:10" hidden="1">
      <c r="F144" s="280">
        <v>472</v>
      </c>
      <c r="G144" s="340" t="s">
        <v>3819</v>
      </c>
      <c r="J144" s="635">
        <f t="shared" si="3"/>
        <v>0</v>
      </c>
    </row>
    <row r="145" spans="6:10" hidden="1">
      <c r="F145" s="280">
        <v>481</v>
      </c>
      <c r="G145" s="340" t="s">
        <v>4195</v>
      </c>
      <c r="J145" s="635">
        <f t="shared" si="3"/>
        <v>0</v>
      </c>
    </row>
    <row r="146" spans="6:10" hidden="1">
      <c r="F146" s="280">
        <v>482</v>
      </c>
      <c r="G146" s="340" t="s">
        <v>4196</v>
      </c>
      <c r="J146" s="635">
        <f t="shared" si="3"/>
        <v>0</v>
      </c>
    </row>
    <row r="147" spans="6:10" hidden="1">
      <c r="F147" s="280">
        <v>483</v>
      </c>
      <c r="G147" s="343" t="s">
        <v>4197</v>
      </c>
      <c r="J147" s="635">
        <f t="shared" si="3"/>
        <v>0</v>
      </c>
    </row>
    <row r="148" spans="6:10" ht="30" hidden="1">
      <c r="F148" s="280">
        <v>484</v>
      </c>
      <c r="G148" s="340" t="s">
        <v>4198</v>
      </c>
      <c r="J148" s="635">
        <f t="shared" si="3"/>
        <v>0</v>
      </c>
    </row>
    <row r="149" spans="6:10" ht="30" hidden="1">
      <c r="F149" s="280">
        <v>485</v>
      </c>
      <c r="G149" s="340" t="s">
        <v>4199</v>
      </c>
      <c r="J149" s="635">
        <f t="shared" si="3"/>
        <v>0</v>
      </c>
    </row>
    <row r="150" spans="6:10" ht="30" hidden="1">
      <c r="F150" s="280">
        <v>489</v>
      </c>
      <c r="G150" s="340" t="s">
        <v>3827</v>
      </c>
      <c r="J150" s="635">
        <f t="shared" si="3"/>
        <v>0</v>
      </c>
    </row>
    <row r="151" spans="6:10" hidden="1">
      <c r="F151" s="280">
        <v>494</v>
      </c>
      <c r="G151" s="340" t="s">
        <v>4177</v>
      </c>
      <c r="J151" s="635">
        <f t="shared" si="3"/>
        <v>0</v>
      </c>
    </row>
    <row r="152" spans="6:10" ht="30" hidden="1">
      <c r="F152" s="280">
        <v>495</v>
      </c>
      <c r="G152" s="340" t="s">
        <v>4178</v>
      </c>
      <c r="J152" s="635">
        <f t="shared" si="3"/>
        <v>0</v>
      </c>
    </row>
    <row r="153" spans="6:10" ht="30" hidden="1">
      <c r="F153" s="280">
        <v>496</v>
      </c>
      <c r="G153" s="340" t="s">
        <v>4179</v>
      </c>
      <c r="J153" s="635">
        <f t="shared" si="3"/>
        <v>0</v>
      </c>
    </row>
    <row r="154" spans="6:10" hidden="1">
      <c r="F154" s="280">
        <v>499</v>
      </c>
      <c r="G154" s="340" t="s">
        <v>4180</v>
      </c>
      <c r="J154" s="635">
        <f t="shared" si="3"/>
        <v>0</v>
      </c>
    </row>
    <row r="155" spans="6:10" hidden="1">
      <c r="F155" s="280">
        <v>511</v>
      </c>
      <c r="G155" s="343" t="s">
        <v>4200</v>
      </c>
      <c r="J155" s="635">
        <f t="shared" si="3"/>
        <v>0</v>
      </c>
    </row>
    <row r="156" spans="6:10" hidden="1">
      <c r="F156" s="280">
        <v>512</v>
      </c>
      <c r="G156" s="343" t="s">
        <v>4201</v>
      </c>
      <c r="J156" s="635">
        <f t="shared" si="3"/>
        <v>0</v>
      </c>
    </row>
    <row r="157" spans="6:10" hidden="1">
      <c r="F157" s="280">
        <v>513</v>
      </c>
      <c r="G157" s="343" t="s">
        <v>4202</v>
      </c>
      <c r="J157" s="635">
        <f t="shared" si="3"/>
        <v>0</v>
      </c>
    </row>
    <row r="158" spans="6:10" hidden="1">
      <c r="F158" s="280">
        <v>514</v>
      </c>
      <c r="G158" s="340" t="s">
        <v>4203</v>
      </c>
      <c r="J158" s="635">
        <f t="shared" si="3"/>
        <v>0</v>
      </c>
    </row>
    <row r="159" spans="6:10" hidden="1">
      <c r="F159" s="280">
        <v>515</v>
      </c>
      <c r="G159" s="340" t="s">
        <v>3838</v>
      </c>
      <c r="J159" s="635">
        <f t="shared" si="3"/>
        <v>0</v>
      </c>
    </row>
    <row r="160" spans="6:10" hidden="1">
      <c r="F160" s="280">
        <v>521</v>
      </c>
      <c r="G160" s="340" t="s">
        <v>4204</v>
      </c>
      <c r="J160" s="635">
        <f t="shared" si="3"/>
        <v>0</v>
      </c>
    </row>
    <row r="161" spans="5:10" hidden="1">
      <c r="F161" s="280">
        <v>522</v>
      </c>
      <c r="G161" s="340" t="s">
        <v>4205</v>
      </c>
      <c r="J161" s="635">
        <f t="shared" si="3"/>
        <v>0</v>
      </c>
    </row>
    <row r="162" spans="5:10" hidden="1">
      <c r="F162" s="280">
        <v>523</v>
      </c>
      <c r="G162" s="340" t="s">
        <v>3843</v>
      </c>
      <c r="J162" s="635">
        <f t="shared" si="3"/>
        <v>0</v>
      </c>
    </row>
    <row r="163" spans="5:10" hidden="1">
      <c r="F163" s="280">
        <v>531</v>
      </c>
      <c r="G163" s="337" t="s">
        <v>4181</v>
      </c>
      <c r="J163" s="635">
        <f t="shared" si="3"/>
        <v>0</v>
      </c>
    </row>
    <row r="164" spans="5:10" hidden="1">
      <c r="F164" s="280">
        <v>541</v>
      </c>
      <c r="G164" s="340" t="s">
        <v>4206</v>
      </c>
      <c r="J164" s="635">
        <f t="shared" si="3"/>
        <v>0</v>
      </c>
    </row>
    <row r="165" spans="5:10" hidden="1">
      <c r="F165" s="280">
        <v>542</v>
      </c>
      <c r="G165" s="340" t="s">
        <v>4207</v>
      </c>
      <c r="J165" s="635">
        <f t="shared" si="3"/>
        <v>0</v>
      </c>
    </row>
    <row r="166" spans="5:10" hidden="1">
      <c r="F166" s="280">
        <v>543</v>
      </c>
      <c r="G166" s="340" t="s">
        <v>3848</v>
      </c>
      <c r="J166" s="635">
        <f t="shared" si="3"/>
        <v>0</v>
      </c>
    </row>
    <row r="167" spans="5:10" ht="30" hidden="1">
      <c r="F167" s="280">
        <v>551</v>
      </c>
      <c r="G167" s="340" t="s">
        <v>4182</v>
      </c>
      <c r="J167" s="635">
        <f t="shared" si="3"/>
        <v>0</v>
      </c>
    </row>
    <row r="168" spans="5:10" hidden="1">
      <c r="F168" s="281">
        <v>611</v>
      </c>
      <c r="G168" s="344" t="s">
        <v>3854</v>
      </c>
      <c r="J168" s="635">
        <f t="shared" si="3"/>
        <v>0</v>
      </c>
    </row>
    <row r="169" spans="5:10" ht="15.75" hidden="1" thickBot="1">
      <c r="F169" s="281">
        <v>620</v>
      </c>
      <c r="G169" s="344" t="s">
        <v>88</v>
      </c>
      <c r="J169" s="635">
        <f t="shared" si="3"/>
        <v>0</v>
      </c>
    </row>
    <row r="170" spans="5:10" hidden="1">
      <c r="E170" s="279"/>
      <c r="F170" s="281"/>
      <c r="G170" s="371" t="s">
        <v>4348</v>
      </c>
      <c r="H170" s="636"/>
      <c r="I170" s="662"/>
      <c r="J170" s="637"/>
    </row>
    <row r="171" spans="5:10" ht="15.75" hidden="1" thickBot="1">
      <c r="E171" s="267"/>
      <c r="F171" s="278" t="s">
        <v>234</v>
      </c>
      <c r="G171" s="297" t="s">
        <v>235</v>
      </c>
      <c r="H171" s="638">
        <f>SUM(H110:H169)</f>
        <v>0</v>
      </c>
      <c r="I171" s="639"/>
      <c r="J171" s="639">
        <f>SUM(H171:I171)</f>
        <v>0</v>
      </c>
    </row>
    <row r="172" spans="5:10" hidden="1">
      <c r="F172" s="278" t="s">
        <v>236</v>
      </c>
      <c r="G172" s="297" t="s">
        <v>237</v>
      </c>
      <c r="J172" s="639">
        <f t="shared" ref="J172:J186" si="4">SUM(H172:I172)</f>
        <v>0</v>
      </c>
    </row>
    <row r="173" spans="5:10" hidden="1">
      <c r="F173" s="278" t="s">
        <v>238</v>
      </c>
      <c r="G173" s="297" t="s">
        <v>239</v>
      </c>
      <c r="J173" s="639">
        <f t="shared" si="4"/>
        <v>0</v>
      </c>
    </row>
    <row r="174" spans="5:10" hidden="1">
      <c r="F174" s="278" t="s">
        <v>240</v>
      </c>
      <c r="G174" s="297" t="s">
        <v>241</v>
      </c>
      <c r="J174" s="639">
        <f t="shared" si="4"/>
        <v>0</v>
      </c>
    </row>
    <row r="175" spans="5:10" hidden="1">
      <c r="F175" s="278" t="s">
        <v>242</v>
      </c>
      <c r="G175" s="297" t="s">
        <v>243</v>
      </c>
      <c r="J175" s="639">
        <f t="shared" si="4"/>
        <v>0</v>
      </c>
    </row>
    <row r="176" spans="5:10" hidden="1">
      <c r="F176" s="278" t="s">
        <v>244</v>
      </c>
      <c r="G176" s="297" t="s">
        <v>245</v>
      </c>
      <c r="J176" s="639">
        <f t="shared" si="4"/>
        <v>0</v>
      </c>
    </row>
    <row r="177" spans="5:10" hidden="1">
      <c r="F177" s="278" t="s">
        <v>246</v>
      </c>
      <c r="G177" s="683" t="s">
        <v>5121</v>
      </c>
      <c r="J177" s="639">
        <f t="shared" si="4"/>
        <v>0</v>
      </c>
    </row>
    <row r="178" spans="5:10" hidden="1">
      <c r="F178" s="278" t="s">
        <v>247</v>
      </c>
      <c r="G178" s="683" t="s">
        <v>5120</v>
      </c>
      <c r="J178" s="639">
        <f t="shared" si="4"/>
        <v>0</v>
      </c>
    </row>
    <row r="179" spans="5:10" hidden="1">
      <c r="F179" s="278" t="s">
        <v>248</v>
      </c>
      <c r="G179" s="297" t="s">
        <v>57</v>
      </c>
      <c r="J179" s="639">
        <f t="shared" si="4"/>
        <v>0</v>
      </c>
    </row>
    <row r="180" spans="5:10" hidden="1">
      <c r="F180" s="278" t="s">
        <v>249</v>
      </c>
      <c r="G180" s="297" t="s">
        <v>250</v>
      </c>
      <c r="J180" s="639">
        <f t="shared" si="4"/>
        <v>0</v>
      </c>
    </row>
    <row r="181" spans="5:10" hidden="1">
      <c r="F181" s="278" t="s">
        <v>251</v>
      </c>
      <c r="G181" s="297" t="s">
        <v>252</v>
      </c>
      <c r="J181" s="639">
        <f t="shared" si="4"/>
        <v>0</v>
      </c>
    </row>
    <row r="182" spans="5:10" hidden="1">
      <c r="F182" s="278" t="s">
        <v>253</v>
      </c>
      <c r="G182" s="297" t="s">
        <v>254</v>
      </c>
      <c r="J182" s="639">
        <f t="shared" si="4"/>
        <v>0</v>
      </c>
    </row>
    <row r="183" spans="5:10" hidden="1">
      <c r="F183" s="278" t="s">
        <v>255</v>
      </c>
      <c r="G183" s="297" t="s">
        <v>256</v>
      </c>
      <c r="J183" s="639">
        <f t="shared" si="4"/>
        <v>0</v>
      </c>
    </row>
    <row r="184" spans="5:10" hidden="1">
      <c r="F184" s="278" t="s">
        <v>257</v>
      </c>
      <c r="G184" s="297" t="s">
        <v>258</v>
      </c>
      <c r="J184" s="639">
        <f t="shared" si="4"/>
        <v>0</v>
      </c>
    </row>
    <row r="185" spans="5:10" hidden="1">
      <c r="F185" s="278" t="s">
        <v>259</v>
      </c>
      <c r="G185" s="297" t="s">
        <v>260</v>
      </c>
      <c r="J185" s="639">
        <f t="shared" si="4"/>
        <v>0</v>
      </c>
    </row>
    <row r="186" spans="5:10" ht="15.75" hidden="1" thickBot="1">
      <c r="F186" s="278" t="s">
        <v>261</v>
      </c>
      <c r="G186" s="297" t="s">
        <v>262</v>
      </c>
      <c r="H186" s="638"/>
      <c r="I186" s="639"/>
      <c r="J186" s="639">
        <f t="shared" si="4"/>
        <v>0</v>
      </c>
    </row>
    <row r="187" spans="5:10" ht="15.75" hidden="1" thickBot="1">
      <c r="G187" s="274" t="s">
        <v>4286</v>
      </c>
      <c r="H187" s="640">
        <f>SUM(H171:H186)</f>
        <v>0</v>
      </c>
      <c r="I187" s="641">
        <f>SUM(I172:I186)</f>
        <v>0</v>
      </c>
      <c r="J187" s="641">
        <f>SUM(J171:J186)</f>
        <v>0</v>
      </c>
    </row>
    <row r="188" spans="5:10" hidden="1" collapsed="1">
      <c r="E188" s="338"/>
      <c r="F188" s="346"/>
      <c r="G188" s="276" t="s">
        <v>5048</v>
      </c>
      <c r="H188" s="642"/>
      <c r="I188" s="663"/>
      <c r="J188" s="643"/>
    </row>
    <row r="189" spans="5:10" ht="15.75" hidden="1" thickBot="1">
      <c r="E189" s="267"/>
      <c r="F189" s="294" t="s">
        <v>234</v>
      </c>
      <c r="G189" s="297" t="s">
        <v>235</v>
      </c>
      <c r="H189" s="638">
        <f>SUM(H110:H169)</f>
        <v>0</v>
      </c>
      <c r="I189" s="639"/>
      <c r="J189" s="639">
        <f>SUM(H189:I189)</f>
        <v>0</v>
      </c>
    </row>
    <row r="190" spans="5:10" hidden="1">
      <c r="F190" s="294" t="s">
        <v>236</v>
      </c>
      <c r="G190" s="297" t="s">
        <v>237</v>
      </c>
      <c r="J190" s="639">
        <f t="shared" ref="J190:J204" si="5">SUM(H190:I190)</f>
        <v>0</v>
      </c>
    </row>
    <row r="191" spans="5:10" hidden="1">
      <c r="F191" s="294" t="s">
        <v>238</v>
      </c>
      <c r="G191" s="297" t="s">
        <v>239</v>
      </c>
      <c r="J191" s="639">
        <f t="shared" si="5"/>
        <v>0</v>
      </c>
    </row>
    <row r="192" spans="5:10" hidden="1">
      <c r="F192" s="294" t="s">
        <v>240</v>
      </c>
      <c r="G192" s="297" t="s">
        <v>241</v>
      </c>
      <c r="J192" s="639">
        <f t="shared" si="5"/>
        <v>0</v>
      </c>
    </row>
    <row r="193" spans="3:10" hidden="1">
      <c r="F193" s="294" t="s">
        <v>242</v>
      </c>
      <c r="G193" s="297" t="s">
        <v>243</v>
      </c>
      <c r="J193" s="639">
        <f t="shared" si="5"/>
        <v>0</v>
      </c>
    </row>
    <row r="194" spans="3:10" hidden="1">
      <c r="F194" s="294" t="s">
        <v>244</v>
      </c>
      <c r="G194" s="297" t="s">
        <v>245</v>
      </c>
      <c r="J194" s="639">
        <f t="shared" si="5"/>
        <v>0</v>
      </c>
    </row>
    <row r="195" spans="3:10" hidden="1">
      <c r="F195" s="294" t="s">
        <v>246</v>
      </c>
      <c r="G195" s="683" t="s">
        <v>5121</v>
      </c>
      <c r="J195" s="639">
        <f t="shared" si="5"/>
        <v>0</v>
      </c>
    </row>
    <row r="196" spans="3:10" hidden="1">
      <c r="F196" s="294" t="s">
        <v>247</v>
      </c>
      <c r="G196" s="683" t="s">
        <v>5120</v>
      </c>
      <c r="J196" s="639">
        <f t="shared" si="5"/>
        <v>0</v>
      </c>
    </row>
    <row r="197" spans="3:10" hidden="1">
      <c r="F197" s="294" t="s">
        <v>248</v>
      </c>
      <c r="G197" s="297" t="s">
        <v>57</v>
      </c>
      <c r="J197" s="639">
        <f t="shared" si="5"/>
        <v>0</v>
      </c>
    </row>
    <row r="198" spans="3:10" hidden="1">
      <c r="F198" s="294" t="s">
        <v>249</v>
      </c>
      <c r="G198" s="297" t="s">
        <v>250</v>
      </c>
      <c r="J198" s="639">
        <f t="shared" si="5"/>
        <v>0</v>
      </c>
    </row>
    <row r="199" spans="3:10" hidden="1">
      <c r="F199" s="294" t="s">
        <v>251</v>
      </c>
      <c r="G199" s="297" t="s">
        <v>252</v>
      </c>
      <c r="J199" s="639">
        <f t="shared" si="5"/>
        <v>0</v>
      </c>
    </row>
    <row r="200" spans="3:10" hidden="1">
      <c r="F200" s="294" t="s">
        <v>253</v>
      </c>
      <c r="G200" s="297" t="s">
        <v>254</v>
      </c>
      <c r="J200" s="639">
        <f t="shared" si="5"/>
        <v>0</v>
      </c>
    </row>
    <row r="201" spans="3:10" hidden="1">
      <c r="F201" s="294" t="s">
        <v>255</v>
      </c>
      <c r="G201" s="297" t="s">
        <v>256</v>
      </c>
      <c r="J201" s="639">
        <f t="shared" si="5"/>
        <v>0</v>
      </c>
    </row>
    <row r="202" spans="3:10" hidden="1">
      <c r="F202" s="294" t="s">
        <v>257</v>
      </c>
      <c r="G202" s="297" t="s">
        <v>258</v>
      </c>
      <c r="J202" s="639">
        <f t="shared" si="5"/>
        <v>0</v>
      </c>
    </row>
    <row r="203" spans="3:10" hidden="1">
      <c r="F203" s="294" t="s">
        <v>259</v>
      </c>
      <c r="G203" s="297" t="s">
        <v>260</v>
      </c>
      <c r="J203" s="639">
        <f t="shared" si="5"/>
        <v>0</v>
      </c>
    </row>
    <row r="204" spans="3:10" ht="15.75" hidden="1" thickBot="1">
      <c r="F204" s="294" t="s">
        <v>261</v>
      </c>
      <c r="G204" s="297" t="s">
        <v>262</v>
      </c>
      <c r="H204" s="638"/>
      <c r="I204" s="639"/>
      <c r="J204" s="639">
        <f t="shared" si="5"/>
        <v>0</v>
      </c>
    </row>
    <row r="205" spans="3:10" ht="15.75" hidden="1" thickBot="1">
      <c r="G205" s="274" t="s">
        <v>5008</v>
      </c>
      <c r="H205" s="640">
        <f>SUM(H172:H187)</f>
        <v>0</v>
      </c>
      <c r="I205" s="641">
        <f>SUM(I173:I187)</f>
        <v>0</v>
      </c>
      <c r="J205" s="641">
        <f>SUM(J172:J187)</f>
        <v>0</v>
      </c>
    </row>
    <row r="206" spans="3:10" hidden="1"/>
    <row r="207" spans="3:10" hidden="1">
      <c r="C207" s="273" t="s">
        <v>4939</v>
      </c>
      <c r="D207" s="264"/>
      <c r="G207" s="341" t="s">
        <v>5075</v>
      </c>
    </row>
    <row r="208" spans="3:10" ht="30" hidden="1">
      <c r="C208" s="273"/>
      <c r="D208" s="357">
        <v>110</v>
      </c>
      <c r="E208" s="357"/>
      <c r="F208" s="357"/>
      <c r="G208" s="358" t="s">
        <v>105</v>
      </c>
    </row>
    <row r="209" spans="6:10" hidden="1">
      <c r="F209" s="284">
        <v>411</v>
      </c>
      <c r="G209" s="340" t="s">
        <v>4173</v>
      </c>
      <c r="J209" s="635">
        <f>SUM(H209:I209)</f>
        <v>0</v>
      </c>
    </row>
    <row r="210" spans="6:10" hidden="1">
      <c r="F210" s="284">
        <v>412</v>
      </c>
      <c r="G210" s="337" t="s">
        <v>3770</v>
      </c>
      <c r="J210" s="635">
        <f t="shared" ref="J210:J268" si="6">SUM(H210:I210)</f>
        <v>0</v>
      </c>
    </row>
    <row r="211" spans="6:10" hidden="1">
      <c r="F211" s="284">
        <v>413</v>
      </c>
      <c r="G211" s="340" t="s">
        <v>4174</v>
      </c>
      <c r="J211" s="635">
        <f t="shared" si="6"/>
        <v>0</v>
      </c>
    </row>
    <row r="212" spans="6:10" hidden="1">
      <c r="F212" s="284">
        <v>414</v>
      </c>
      <c r="G212" s="340" t="s">
        <v>3773</v>
      </c>
      <c r="J212" s="635">
        <f t="shared" si="6"/>
        <v>0</v>
      </c>
    </row>
    <row r="213" spans="6:10" hidden="1">
      <c r="F213" s="284">
        <v>415</v>
      </c>
      <c r="G213" s="340" t="s">
        <v>4183</v>
      </c>
      <c r="J213" s="635">
        <f t="shared" si="6"/>
        <v>0</v>
      </c>
    </row>
    <row r="214" spans="6:10" hidden="1">
      <c r="F214" s="284">
        <v>416</v>
      </c>
      <c r="G214" s="340" t="s">
        <v>4184</v>
      </c>
      <c r="J214" s="635">
        <f t="shared" si="6"/>
        <v>0</v>
      </c>
    </row>
    <row r="215" spans="6:10" hidden="1">
      <c r="F215" s="284">
        <v>417</v>
      </c>
      <c r="G215" s="340" t="s">
        <v>4185</v>
      </c>
      <c r="J215" s="635">
        <f t="shared" si="6"/>
        <v>0</v>
      </c>
    </row>
    <row r="216" spans="6:10" hidden="1">
      <c r="F216" s="284">
        <v>418</v>
      </c>
      <c r="G216" s="340" t="s">
        <v>3779</v>
      </c>
      <c r="J216" s="635">
        <f t="shared" si="6"/>
        <v>0</v>
      </c>
    </row>
    <row r="217" spans="6:10" hidden="1">
      <c r="F217" s="284">
        <v>421</v>
      </c>
      <c r="G217" s="340" t="s">
        <v>3783</v>
      </c>
      <c r="J217" s="635">
        <f t="shared" si="6"/>
        <v>0</v>
      </c>
    </row>
    <row r="218" spans="6:10" hidden="1">
      <c r="F218" s="284">
        <v>422</v>
      </c>
      <c r="G218" s="340" t="s">
        <v>3784</v>
      </c>
      <c r="J218" s="635">
        <f t="shared" si="6"/>
        <v>0</v>
      </c>
    </row>
    <row r="219" spans="6:10" hidden="1">
      <c r="F219" s="284">
        <v>423</v>
      </c>
      <c r="G219" s="340" t="s">
        <v>3785</v>
      </c>
      <c r="J219" s="635">
        <f t="shared" si="6"/>
        <v>0</v>
      </c>
    </row>
    <row r="220" spans="6:10" hidden="1">
      <c r="F220" s="284">
        <v>424</v>
      </c>
      <c r="G220" s="340" t="s">
        <v>3787</v>
      </c>
      <c r="J220" s="635">
        <f t="shared" si="6"/>
        <v>0</v>
      </c>
    </row>
    <row r="221" spans="6:10" hidden="1">
      <c r="F221" s="284">
        <v>425</v>
      </c>
      <c r="G221" s="340" t="s">
        <v>4186</v>
      </c>
      <c r="J221" s="635">
        <f t="shared" si="6"/>
        <v>0</v>
      </c>
    </row>
    <row r="222" spans="6:10" ht="15.75" hidden="1" thickBot="1">
      <c r="F222" s="284">
        <v>426</v>
      </c>
      <c r="G222" s="340" t="s">
        <v>3791</v>
      </c>
      <c r="J222" s="635">
        <f t="shared" si="6"/>
        <v>0</v>
      </c>
    </row>
    <row r="223" spans="6:10" hidden="1">
      <c r="F223" s="284">
        <v>431</v>
      </c>
      <c r="G223" s="340" t="s">
        <v>4187</v>
      </c>
      <c r="J223" s="635">
        <f t="shared" si="6"/>
        <v>0</v>
      </c>
    </row>
    <row r="224" spans="6:10" hidden="1">
      <c r="F224" s="284">
        <v>432</v>
      </c>
      <c r="G224" s="340" t="s">
        <v>4188</v>
      </c>
      <c r="J224" s="635">
        <f t="shared" si="6"/>
        <v>0</v>
      </c>
    </row>
    <row r="225" spans="6:10" hidden="1">
      <c r="F225" s="284">
        <v>433</v>
      </c>
      <c r="G225" s="340" t="s">
        <v>4189</v>
      </c>
      <c r="J225" s="635">
        <f t="shared" si="6"/>
        <v>0</v>
      </c>
    </row>
    <row r="226" spans="6:10" hidden="1">
      <c r="F226" s="284">
        <v>434</v>
      </c>
      <c r="G226" s="340" t="s">
        <v>4190</v>
      </c>
      <c r="J226" s="635">
        <f t="shared" si="6"/>
        <v>0</v>
      </c>
    </row>
    <row r="227" spans="6:10" hidden="1">
      <c r="F227" s="284">
        <v>435</v>
      </c>
      <c r="G227" s="340" t="s">
        <v>3798</v>
      </c>
      <c r="J227" s="635">
        <f t="shared" si="6"/>
        <v>0</v>
      </c>
    </row>
    <row r="228" spans="6:10" hidden="1">
      <c r="F228" s="284">
        <v>441</v>
      </c>
      <c r="G228" s="340" t="s">
        <v>4191</v>
      </c>
      <c r="J228" s="635">
        <f t="shared" si="6"/>
        <v>0</v>
      </c>
    </row>
    <row r="229" spans="6:10" hidden="1">
      <c r="F229" s="284">
        <v>442</v>
      </c>
      <c r="G229" s="340" t="s">
        <v>4192</v>
      </c>
      <c r="J229" s="635">
        <f t="shared" si="6"/>
        <v>0</v>
      </c>
    </row>
    <row r="230" spans="6:10" hidden="1">
      <c r="F230" s="284">
        <v>443</v>
      </c>
      <c r="G230" s="340" t="s">
        <v>3803</v>
      </c>
      <c r="J230" s="635">
        <f t="shared" si="6"/>
        <v>0</v>
      </c>
    </row>
    <row r="231" spans="6:10" hidden="1">
      <c r="F231" s="284">
        <v>444</v>
      </c>
      <c r="G231" s="340" t="s">
        <v>3804</v>
      </c>
      <c r="J231" s="635">
        <f t="shared" si="6"/>
        <v>0</v>
      </c>
    </row>
    <row r="232" spans="6:10" ht="30" hidden="1">
      <c r="F232" s="284">
        <v>4511</v>
      </c>
      <c r="G232" s="268" t="s">
        <v>1690</v>
      </c>
      <c r="J232" s="635">
        <f t="shared" si="6"/>
        <v>0</v>
      </c>
    </row>
    <row r="233" spans="6:10" ht="30" hidden="1">
      <c r="F233" s="284">
        <v>4512</v>
      </c>
      <c r="G233" s="268" t="s">
        <v>1699</v>
      </c>
      <c r="J233" s="635">
        <f t="shared" si="6"/>
        <v>0</v>
      </c>
    </row>
    <row r="234" spans="6:10" hidden="1">
      <c r="F234" s="284">
        <v>452</v>
      </c>
      <c r="G234" s="340" t="s">
        <v>4193</v>
      </c>
      <c r="J234" s="635">
        <f t="shared" si="6"/>
        <v>0</v>
      </c>
    </row>
    <row r="235" spans="6:10" hidden="1">
      <c r="F235" s="284">
        <v>453</v>
      </c>
      <c r="G235" s="340" t="s">
        <v>4194</v>
      </c>
      <c r="J235" s="635">
        <f t="shared" si="6"/>
        <v>0</v>
      </c>
    </row>
    <row r="236" spans="6:10" hidden="1">
      <c r="F236" s="284">
        <v>454</v>
      </c>
      <c r="G236" s="340" t="s">
        <v>3809</v>
      </c>
      <c r="J236" s="635">
        <f t="shared" si="6"/>
        <v>0</v>
      </c>
    </row>
    <row r="237" spans="6:10" hidden="1">
      <c r="F237" s="284">
        <v>461</v>
      </c>
      <c r="G237" s="340" t="s">
        <v>4175</v>
      </c>
      <c r="J237" s="635">
        <f t="shared" si="6"/>
        <v>0</v>
      </c>
    </row>
    <row r="238" spans="6:10" hidden="1">
      <c r="F238" s="284">
        <v>462</v>
      </c>
      <c r="G238" s="340" t="s">
        <v>3812</v>
      </c>
      <c r="J238" s="635">
        <f t="shared" si="6"/>
        <v>0</v>
      </c>
    </row>
    <row r="239" spans="6:10" hidden="1">
      <c r="F239" s="284">
        <v>4631</v>
      </c>
      <c r="G239" s="340" t="s">
        <v>3813</v>
      </c>
      <c r="J239" s="635">
        <f t="shared" si="6"/>
        <v>0</v>
      </c>
    </row>
    <row r="240" spans="6:10" hidden="1">
      <c r="F240" s="284">
        <v>4632</v>
      </c>
      <c r="G240" s="340" t="s">
        <v>3814</v>
      </c>
      <c r="J240" s="635">
        <f t="shared" si="6"/>
        <v>0</v>
      </c>
    </row>
    <row r="241" spans="6:10" hidden="1">
      <c r="F241" s="284">
        <v>464</v>
      </c>
      <c r="G241" s="340" t="s">
        <v>3815</v>
      </c>
      <c r="J241" s="635">
        <f t="shared" si="6"/>
        <v>0</v>
      </c>
    </row>
    <row r="242" spans="6:10" hidden="1">
      <c r="F242" s="284">
        <v>465</v>
      </c>
      <c r="G242" s="340" t="s">
        <v>4176</v>
      </c>
      <c r="J242" s="635">
        <f t="shared" si="6"/>
        <v>0</v>
      </c>
    </row>
    <row r="243" spans="6:10" hidden="1">
      <c r="F243" s="284">
        <v>472</v>
      </c>
      <c r="G243" s="340" t="s">
        <v>3819</v>
      </c>
      <c r="J243" s="635">
        <f t="shared" si="6"/>
        <v>0</v>
      </c>
    </row>
    <row r="244" spans="6:10" hidden="1">
      <c r="F244" s="284">
        <v>481</v>
      </c>
      <c r="G244" s="340" t="s">
        <v>4195</v>
      </c>
      <c r="J244" s="635">
        <f t="shared" si="6"/>
        <v>0</v>
      </c>
    </row>
    <row r="245" spans="6:10" hidden="1">
      <c r="F245" s="284">
        <v>482</v>
      </c>
      <c r="G245" s="340" t="s">
        <v>4196</v>
      </c>
      <c r="J245" s="635">
        <f t="shared" si="6"/>
        <v>0</v>
      </c>
    </row>
    <row r="246" spans="6:10" hidden="1">
      <c r="F246" s="284">
        <v>483</v>
      </c>
      <c r="G246" s="343" t="s">
        <v>4197</v>
      </c>
      <c r="J246" s="635">
        <f t="shared" si="6"/>
        <v>0</v>
      </c>
    </row>
    <row r="247" spans="6:10" ht="30" hidden="1">
      <c r="F247" s="284">
        <v>484</v>
      </c>
      <c r="G247" s="340" t="s">
        <v>4198</v>
      </c>
      <c r="J247" s="635">
        <f t="shared" si="6"/>
        <v>0</v>
      </c>
    </row>
    <row r="248" spans="6:10" ht="30" hidden="1">
      <c r="F248" s="284">
        <v>485</v>
      </c>
      <c r="G248" s="340" t="s">
        <v>4199</v>
      </c>
      <c r="J248" s="635">
        <f t="shared" si="6"/>
        <v>0</v>
      </c>
    </row>
    <row r="249" spans="6:10" ht="30" hidden="1">
      <c r="F249" s="284">
        <v>489</v>
      </c>
      <c r="G249" s="340" t="s">
        <v>3827</v>
      </c>
      <c r="J249" s="635">
        <f t="shared" si="6"/>
        <v>0</v>
      </c>
    </row>
    <row r="250" spans="6:10" hidden="1">
      <c r="F250" s="284">
        <v>494</v>
      </c>
      <c r="G250" s="340" t="s">
        <v>4177</v>
      </c>
      <c r="J250" s="635">
        <f t="shared" si="6"/>
        <v>0</v>
      </c>
    </row>
    <row r="251" spans="6:10" ht="30" hidden="1">
      <c r="F251" s="284">
        <v>495</v>
      </c>
      <c r="G251" s="340" t="s">
        <v>4178</v>
      </c>
      <c r="J251" s="635">
        <f t="shared" si="6"/>
        <v>0</v>
      </c>
    </row>
    <row r="252" spans="6:10" ht="30" hidden="1">
      <c r="F252" s="284">
        <v>496</v>
      </c>
      <c r="G252" s="340" t="s">
        <v>4179</v>
      </c>
      <c r="J252" s="635">
        <f t="shared" si="6"/>
        <v>0</v>
      </c>
    </row>
    <row r="253" spans="6:10" hidden="1">
      <c r="F253" s="284">
        <v>499</v>
      </c>
      <c r="G253" s="340" t="s">
        <v>4180</v>
      </c>
      <c r="J253" s="635">
        <f t="shared" si="6"/>
        <v>0</v>
      </c>
    </row>
    <row r="254" spans="6:10" hidden="1">
      <c r="F254" s="284">
        <v>511</v>
      </c>
      <c r="G254" s="343" t="s">
        <v>4200</v>
      </c>
      <c r="J254" s="635">
        <f t="shared" si="6"/>
        <v>0</v>
      </c>
    </row>
    <row r="255" spans="6:10" hidden="1">
      <c r="F255" s="284">
        <v>512</v>
      </c>
      <c r="G255" s="343" t="s">
        <v>4201</v>
      </c>
      <c r="J255" s="635">
        <f t="shared" si="6"/>
        <v>0</v>
      </c>
    </row>
    <row r="256" spans="6:10" hidden="1">
      <c r="F256" s="284">
        <v>513</v>
      </c>
      <c r="G256" s="343" t="s">
        <v>4202</v>
      </c>
      <c r="J256" s="635">
        <f t="shared" si="6"/>
        <v>0</v>
      </c>
    </row>
    <row r="257" spans="5:10" hidden="1">
      <c r="F257" s="284">
        <v>514</v>
      </c>
      <c r="G257" s="340" t="s">
        <v>4203</v>
      </c>
      <c r="J257" s="635">
        <f t="shared" si="6"/>
        <v>0</v>
      </c>
    </row>
    <row r="258" spans="5:10" hidden="1">
      <c r="F258" s="284">
        <v>515</v>
      </c>
      <c r="G258" s="340" t="s">
        <v>3838</v>
      </c>
      <c r="J258" s="635">
        <f t="shared" si="6"/>
        <v>0</v>
      </c>
    </row>
    <row r="259" spans="5:10" hidden="1">
      <c r="F259" s="284">
        <v>521</v>
      </c>
      <c r="G259" s="340" t="s">
        <v>4204</v>
      </c>
      <c r="J259" s="635">
        <f t="shared" si="6"/>
        <v>0</v>
      </c>
    </row>
    <row r="260" spans="5:10" hidden="1">
      <c r="F260" s="284">
        <v>522</v>
      </c>
      <c r="G260" s="340" t="s">
        <v>4205</v>
      </c>
      <c r="J260" s="635">
        <f t="shared" si="6"/>
        <v>0</v>
      </c>
    </row>
    <row r="261" spans="5:10" hidden="1">
      <c r="F261" s="284">
        <v>523</v>
      </c>
      <c r="G261" s="340" t="s">
        <v>3843</v>
      </c>
      <c r="J261" s="635">
        <f t="shared" si="6"/>
        <v>0</v>
      </c>
    </row>
    <row r="262" spans="5:10" hidden="1">
      <c r="F262" s="284">
        <v>531</v>
      </c>
      <c r="G262" s="337" t="s">
        <v>4181</v>
      </c>
      <c r="J262" s="635">
        <f t="shared" si="6"/>
        <v>0</v>
      </c>
    </row>
    <row r="263" spans="5:10" hidden="1">
      <c r="F263" s="284">
        <v>541</v>
      </c>
      <c r="G263" s="340" t="s">
        <v>4206</v>
      </c>
      <c r="J263" s="635">
        <f t="shared" si="6"/>
        <v>0</v>
      </c>
    </row>
    <row r="264" spans="5:10" hidden="1">
      <c r="F264" s="284">
        <v>542</v>
      </c>
      <c r="G264" s="340" t="s">
        <v>4207</v>
      </c>
      <c r="J264" s="635">
        <f t="shared" si="6"/>
        <v>0</v>
      </c>
    </row>
    <row r="265" spans="5:10" hidden="1">
      <c r="F265" s="284">
        <v>543</v>
      </c>
      <c r="G265" s="340" t="s">
        <v>3848</v>
      </c>
      <c r="J265" s="635">
        <f t="shared" si="6"/>
        <v>0</v>
      </c>
    </row>
    <row r="266" spans="5:10" ht="30" hidden="1">
      <c r="F266" s="284">
        <v>551</v>
      </c>
      <c r="G266" s="340" t="s">
        <v>4182</v>
      </c>
      <c r="J266" s="635">
        <f t="shared" si="6"/>
        <v>0</v>
      </c>
    </row>
    <row r="267" spans="5:10" hidden="1">
      <c r="F267" s="285">
        <v>611</v>
      </c>
      <c r="G267" s="344" t="s">
        <v>3854</v>
      </c>
      <c r="J267" s="635">
        <f t="shared" si="6"/>
        <v>0</v>
      </c>
    </row>
    <row r="268" spans="5:10" ht="15.75" hidden="1" thickBot="1">
      <c r="F268" s="285">
        <v>620</v>
      </c>
      <c r="G268" s="344" t="s">
        <v>88</v>
      </c>
      <c r="J268" s="635">
        <f t="shared" si="6"/>
        <v>0</v>
      </c>
    </row>
    <row r="269" spans="5:10" hidden="1">
      <c r="E269" s="283"/>
      <c r="F269" s="285"/>
      <c r="G269" s="371" t="s">
        <v>4348</v>
      </c>
      <c r="H269" s="636"/>
      <c r="I269" s="662"/>
      <c r="J269" s="637"/>
    </row>
    <row r="270" spans="5:10" ht="15.75" hidden="1" thickBot="1">
      <c r="E270" s="267"/>
      <c r="F270" s="278" t="s">
        <v>234</v>
      </c>
      <c r="G270" s="297" t="s">
        <v>235</v>
      </c>
      <c r="H270" s="638">
        <f>SUM(H209:H268)</f>
        <v>0</v>
      </c>
      <c r="I270" s="639"/>
      <c r="J270" s="639">
        <f>SUM(H270:I270)</f>
        <v>0</v>
      </c>
    </row>
    <row r="271" spans="5:10" hidden="1">
      <c r="F271" s="278" t="s">
        <v>236</v>
      </c>
      <c r="G271" s="297" t="s">
        <v>237</v>
      </c>
      <c r="J271" s="639">
        <f t="shared" ref="J271:J285" si="7">SUM(H271:I271)</f>
        <v>0</v>
      </c>
    </row>
    <row r="272" spans="5:10" hidden="1">
      <c r="F272" s="278" t="s">
        <v>238</v>
      </c>
      <c r="G272" s="297" t="s">
        <v>239</v>
      </c>
      <c r="J272" s="639">
        <f t="shared" si="7"/>
        <v>0</v>
      </c>
    </row>
    <row r="273" spans="5:10" hidden="1">
      <c r="F273" s="278" t="s">
        <v>240</v>
      </c>
      <c r="G273" s="297" t="s">
        <v>241</v>
      </c>
      <c r="J273" s="639">
        <f t="shared" si="7"/>
        <v>0</v>
      </c>
    </row>
    <row r="274" spans="5:10" hidden="1">
      <c r="F274" s="278" t="s">
        <v>242</v>
      </c>
      <c r="G274" s="297" t="s">
        <v>243</v>
      </c>
      <c r="J274" s="639">
        <f t="shared" si="7"/>
        <v>0</v>
      </c>
    </row>
    <row r="275" spans="5:10" hidden="1">
      <c r="F275" s="278" t="s">
        <v>244</v>
      </c>
      <c r="G275" s="297" t="s">
        <v>245</v>
      </c>
      <c r="J275" s="639">
        <f t="shared" si="7"/>
        <v>0</v>
      </c>
    </row>
    <row r="276" spans="5:10" hidden="1">
      <c r="F276" s="278" t="s">
        <v>246</v>
      </c>
      <c r="G276" s="683" t="s">
        <v>5121</v>
      </c>
      <c r="J276" s="639">
        <f t="shared" si="7"/>
        <v>0</v>
      </c>
    </row>
    <row r="277" spans="5:10" hidden="1">
      <c r="F277" s="278" t="s">
        <v>247</v>
      </c>
      <c r="G277" s="683" t="s">
        <v>5120</v>
      </c>
      <c r="J277" s="639">
        <f t="shared" si="7"/>
        <v>0</v>
      </c>
    </row>
    <row r="278" spans="5:10" hidden="1">
      <c r="F278" s="278" t="s">
        <v>248</v>
      </c>
      <c r="G278" s="297" t="s">
        <v>57</v>
      </c>
      <c r="J278" s="639">
        <f t="shared" si="7"/>
        <v>0</v>
      </c>
    </row>
    <row r="279" spans="5:10" hidden="1">
      <c r="F279" s="278" t="s">
        <v>249</v>
      </c>
      <c r="G279" s="297" t="s">
        <v>250</v>
      </c>
      <c r="J279" s="639">
        <f t="shared" si="7"/>
        <v>0</v>
      </c>
    </row>
    <row r="280" spans="5:10" hidden="1">
      <c r="F280" s="278" t="s">
        <v>251</v>
      </c>
      <c r="G280" s="297" t="s">
        <v>252</v>
      </c>
      <c r="J280" s="639">
        <f t="shared" si="7"/>
        <v>0</v>
      </c>
    </row>
    <row r="281" spans="5:10" hidden="1">
      <c r="F281" s="278" t="s">
        <v>253</v>
      </c>
      <c r="G281" s="297" t="s">
        <v>254</v>
      </c>
      <c r="J281" s="639">
        <f t="shared" si="7"/>
        <v>0</v>
      </c>
    </row>
    <row r="282" spans="5:10" hidden="1">
      <c r="F282" s="278" t="s">
        <v>255</v>
      </c>
      <c r="G282" s="297" t="s">
        <v>256</v>
      </c>
      <c r="J282" s="639">
        <f t="shared" si="7"/>
        <v>0</v>
      </c>
    </row>
    <row r="283" spans="5:10" hidden="1">
      <c r="F283" s="278" t="s">
        <v>257</v>
      </c>
      <c r="G283" s="297" t="s">
        <v>258</v>
      </c>
      <c r="J283" s="639">
        <f t="shared" si="7"/>
        <v>0</v>
      </c>
    </row>
    <row r="284" spans="5:10" hidden="1">
      <c r="F284" s="278" t="s">
        <v>259</v>
      </c>
      <c r="G284" s="297" t="s">
        <v>260</v>
      </c>
      <c r="J284" s="639">
        <f t="shared" si="7"/>
        <v>0</v>
      </c>
    </row>
    <row r="285" spans="5:10" ht="15.75" hidden="1" thickBot="1">
      <c r="F285" s="278" t="s">
        <v>261</v>
      </c>
      <c r="G285" s="297" t="s">
        <v>262</v>
      </c>
      <c r="H285" s="638"/>
      <c r="I285" s="639"/>
      <c r="J285" s="639">
        <f t="shared" si="7"/>
        <v>0</v>
      </c>
    </row>
    <row r="286" spans="5:10" ht="15.75" hidden="1" thickBot="1">
      <c r="G286" s="274" t="s">
        <v>4286</v>
      </c>
      <c r="H286" s="640">
        <f>SUM(H270:H285)</f>
        <v>0</v>
      </c>
      <c r="I286" s="641">
        <f>SUM(I271:I285)</f>
        <v>0</v>
      </c>
      <c r="J286" s="641">
        <f>SUM(J270:J285)</f>
        <v>0</v>
      </c>
    </row>
    <row r="287" spans="5:10" hidden="1" collapsed="1">
      <c r="E287" s="338"/>
      <c r="F287" s="346"/>
      <c r="G287" s="276" t="s">
        <v>5049</v>
      </c>
      <c r="H287" s="642"/>
      <c r="I287" s="663"/>
      <c r="J287" s="643"/>
    </row>
    <row r="288" spans="5:10" ht="15.75" hidden="1" thickBot="1">
      <c r="E288" s="267"/>
      <c r="F288" s="294" t="s">
        <v>234</v>
      </c>
      <c r="G288" s="297" t="s">
        <v>235</v>
      </c>
      <c r="H288" s="638">
        <f>SUM(H209:H268)</f>
        <v>0</v>
      </c>
      <c r="I288" s="639"/>
      <c r="J288" s="639">
        <f>SUM(H288:I288)</f>
        <v>0</v>
      </c>
    </row>
    <row r="289" spans="6:10" hidden="1">
      <c r="F289" s="294" t="s">
        <v>236</v>
      </c>
      <c r="G289" s="297" t="s">
        <v>237</v>
      </c>
      <c r="J289" s="639">
        <f t="shared" ref="J289:J303" si="8">SUM(H289:I289)</f>
        <v>0</v>
      </c>
    </row>
    <row r="290" spans="6:10" hidden="1">
      <c r="F290" s="294" t="s">
        <v>238</v>
      </c>
      <c r="G290" s="297" t="s">
        <v>239</v>
      </c>
      <c r="J290" s="639">
        <f t="shared" si="8"/>
        <v>0</v>
      </c>
    </row>
    <row r="291" spans="6:10" hidden="1">
      <c r="F291" s="294" t="s">
        <v>240</v>
      </c>
      <c r="G291" s="297" t="s">
        <v>241</v>
      </c>
      <c r="J291" s="639">
        <f t="shared" si="8"/>
        <v>0</v>
      </c>
    </row>
    <row r="292" spans="6:10" hidden="1">
      <c r="F292" s="294" t="s">
        <v>242</v>
      </c>
      <c r="G292" s="297" t="s">
        <v>243</v>
      </c>
      <c r="J292" s="639">
        <f t="shared" si="8"/>
        <v>0</v>
      </c>
    </row>
    <row r="293" spans="6:10" hidden="1">
      <c r="F293" s="294" t="s">
        <v>244</v>
      </c>
      <c r="G293" s="297" t="s">
        <v>245</v>
      </c>
      <c r="J293" s="639">
        <f t="shared" si="8"/>
        <v>0</v>
      </c>
    </row>
    <row r="294" spans="6:10" hidden="1">
      <c r="F294" s="294" t="s">
        <v>246</v>
      </c>
      <c r="G294" s="683" t="s">
        <v>5121</v>
      </c>
      <c r="J294" s="639">
        <f t="shared" si="8"/>
        <v>0</v>
      </c>
    </row>
    <row r="295" spans="6:10" hidden="1">
      <c r="F295" s="294" t="s">
        <v>247</v>
      </c>
      <c r="G295" s="683" t="s">
        <v>5120</v>
      </c>
      <c r="J295" s="639">
        <f t="shared" si="8"/>
        <v>0</v>
      </c>
    </row>
    <row r="296" spans="6:10" hidden="1">
      <c r="F296" s="294" t="s">
        <v>248</v>
      </c>
      <c r="G296" s="297" t="s">
        <v>57</v>
      </c>
      <c r="J296" s="639">
        <f t="shared" si="8"/>
        <v>0</v>
      </c>
    </row>
    <row r="297" spans="6:10" hidden="1">
      <c r="F297" s="294" t="s">
        <v>249</v>
      </c>
      <c r="G297" s="297" t="s">
        <v>250</v>
      </c>
      <c r="J297" s="639">
        <f t="shared" si="8"/>
        <v>0</v>
      </c>
    </row>
    <row r="298" spans="6:10" hidden="1">
      <c r="F298" s="294" t="s">
        <v>251</v>
      </c>
      <c r="G298" s="297" t="s">
        <v>252</v>
      </c>
      <c r="J298" s="639">
        <f t="shared" si="8"/>
        <v>0</v>
      </c>
    </row>
    <row r="299" spans="6:10" hidden="1">
      <c r="F299" s="294" t="s">
        <v>253</v>
      </c>
      <c r="G299" s="297" t="s">
        <v>254</v>
      </c>
      <c r="J299" s="639">
        <f t="shared" si="8"/>
        <v>0</v>
      </c>
    </row>
    <row r="300" spans="6:10" hidden="1">
      <c r="F300" s="294" t="s">
        <v>255</v>
      </c>
      <c r="G300" s="297" t="s">
        <v>256</v>
      </c>
      <c r="J300" s="639">
        <f t="shared" si="8"/>
        <v>0</v>
      </c>
    </row>
    <row r="301" spans="6:10" hidden="1">
      <c r="F301" s="294" t="s">
        <v>257</v>
      </c>
      <c r="G301" s="297" t="s">
        <v>258</v>
      </c>
      <c r="J301" s="639">
        <f t="shared" si="8"/>
        <v>0</v>
      </c>
    </row>
    <row r="302" spans="6:10" hidden="1">
      <c r="F302" s="294" t="s">
        <v>259</v>
      </c>
      <c r="G302" s="297" t="s">
        <v>260</v>
      </c>
      <c r="J302" s="639">
        <f t="shared" si="8"/>
        <v>0</v>
      </c>
    </row>
    <row r="303" spans="6:10" ht="15.75" hidden="1" thickBot="1">
      <c r="F303" s="294" t="s">
        <v>261</v>
      </c>
      <c r="G303" s="297" t="s">
        <v>262</v>
      </c>
      <c r="H303" s="638"/>
      <c r="I303" s="639"/>
      <c r="J303" s="639">
        <f t="shared" si="8"/>
        <v>0</v>
      </c>
    </row>
    <row r="304" spans="6:10" ht="15.75" hidden="1" thickBot="1">
      <c r="G304" s="274" t="s">
        <v>5009</v>
      </c>
      <c r="H304" s="640">
        <f>SUM(H271:H286)</f>
        <v>0</v>
      </c>
      <c r="I304" s="641">
        <f>SUM(I272:I286)</f>
        <v>0</v>
      </c>
      <c r="J304" s="641">
        <f>SUM(J271:J286)</f>
        <v>0</v>
      </c>
    </row>
    <row r="305" spans="5:10" hidden="1">
      <c r="G305" s="331"/>
      <c r="H305" s="644"/>
      <c r="I305" s="645"/>
      <c r="J305" s="645"/>
    </row>
    <row r="306" spans="5:10">
      <c r="E306" s="283"/>
      <c r="F306" s="285"/>
      <c r="G306" s="295" t="s">
        <v>4209</v>
      </c>
      <c r="H306" s="646"/>
      <c r="I306" s="664"/>
      <c r="J306" s="647"/>
    </row>
    <row r="307" spans="5:10" ht="15.75" thickBot="1">
      <c r="E307" s="267"/>
      <c r="F307" s="278" t="s">
        <v>234</v>
      </c>
      <c r="G307" s="297" t="s">
        <v>235</v>
      </c>
      <c r="H307" s="638">
        <f>SUM(H288,H189,H90)</f>
        <v>4771000</v>
      </c>
      <c r="I307" s="639"/>
      <c r="J307" s="639">
        <f>SUM(H307:I307)</f>
        <v>4771000</v>
      </c>
    </row>
    <row r="308" spans="5:10" ht="15.75" hidden="1" thickBot="1">
      <c r="F308" s="278" t="s">
        <v>236</v>
      </c>
      <c r="G308" s="297" t="s">
        <v>237</v>
      </c>
      <c r="J308" s="639">
        <f t="shared" ref="J308:J322" si="9">SUM(H308:I308)</f>
        <v>0</v>
      </c>
    </row>
    <row r="309" spans="5:10" ht="15.75" hidden="1" thickBot="1">
      <c r="F309" s="278" t="s">
        <v>238</v>
      </c>
      <c r="G309" s="297" t="s">
        <v>239</v>
      </c>
      <c r="J309" s="639">
        <f t="shared" si="9"/>
        <v>0</v>
      </c>
    </row>
    <row r="310" spans="5:10" ht="15.75" hidden="1" thickBot="1">
      <c r="F310" s="278" t="s">
        <v>240</v>
      </c>
      <c r="G310" s="297" t="s">
        <v>241</v>
      </c>
      <c r="I310" s="635">
        <f>SUM(I75)</f>
        <v>0</v>
      </c>
      <c r="J310" s="639">
        <f t="shared" si="9"/>
        <v>0</v>
      </c>
    </row>
    <row r="311" spans="5:10" ht="15.75" hidden="1" thickBot="1">
      <c r="F311" s="278" t="s">
        <v>242</v>
      </c>
      <c r="G311" s="297" t="s">
        <v>243</v>
      </c>
      <c r="J311" s="639">
        <f t="shared" si="9"/>
        <v>0</v>
      </c>
    </row>
    <row r="312" spans="5:10" ht="15.75" hidden="1" thickBot="1">
      <c r="F312" s="278" t="s">
        <v>244</v>
      </c>
      <c r="G312" s="297" t="s">
        <v>245</v>
      </c>
      <c r="J312" s="639">
        <f t="shared" si="9"/>
        <v>0</v>
      </c>
    </row>
    <row r="313" spans="5:10" ht="15.75" hidden="1" thickBot="1">
      <c r="F313" s="278" t="s">
        <v>246</v>
      </c>
      <c r="G313" s="683" t="s">
        <v>5121</v>
      </c>
      <c r="J313" s="639">
        <f t="shared" si="9"/>
        <v>0</v>
      </c>
    </row>
    <row r="314" spans="5:10" ht="15.75" hidden="1" thickBot="1">
      <c r="F314" s="278" t="s">
        <v>247</v>
      </c>
      <c r="G314" s="683" t="s">
        <v>5120</v>
      </c>
      <c r="J314" s="639">
        <f t="shared" si="9"/>
        <v>0</v>
      </c>
    </row>
    <row r="315" spans="5:10" ht="15.75" hidden="1" thickBot="1">
      <c r="F315" s="278" t="s">
        <v>248</v>
      </c>
      <c r="G315" s="297" t="s">
        <v>57</v>
      </c>
      <c r="J315" s="639">
        <f t="shared" si="9"/>
        <v>0</v>
      </c>
    </row>
    <row r="316" spans="5:10" ht="15.75" hidden="1" thickBot="1">
      <c r="F316" s="278" t="s">
        <v>249</v>
      </c>
      <c r="G316" s="297" t="s">
        <v>250</v>
      </c>
      <c r="J316" s="639">
        <f t="shared" si="9"/>
        <v>0</v>
      </c>
    </row>
    <row r="317" spans="5:10" ht="15.75" hidden="1" thickBot="1">
      <c r="F317" s="278" t="s">
        <v>251</v>
      </c>
      <c r="G317" s="297" t="s">
        <v>252</v>
      </c>
      <c r="J317" s="639">
        <f t="shared" si="9"/>
        <v>0</v>
      </c>
    </row>
    <row r="318" spans="5:10" ht="15.75" hidden="1" thickBot="1">
      <c r="F318" s="278" t="s">
        <v>253</v>
      </c>
      <c r="G318" s="297" t="s">
        <v>254</v>
      </c>
      <c r="J318" s="639">
        <f t="shared" si="9"/>
        <v>0</v>
      </c>
    </row>
    <row r="319" spans="5:10" ht="15.75" hidden="1" thickBot="1">
      <c r="F319" s="278" t="s">
        <v>255</v>
      </c>
      <c r="G319" s="297" t="s">
        <v>256</v>
      </c>
      <c r="J319" s="639">
        <f t="shared" si="9"/>
        <v>0</v>
      </c>
    </row>
    <row r="320" spans="5:10" ht="15.75" hidden="1" thickBot="1">
      <c r="F320" s="278" t="s">
        <v>257</v>
      </c>
      <c r="G320" s="297" t="s">
        <v>258</v>
      </c>
      <c r="J320" s="639">
        <f t="shared" si="9"/>
        <v>0</v>
      </c>
    </row>
    <row r="321" spans="5:10" ht="15.75" hidden="1" thickBot="1">
      <c r="F321" s="278" t="s">
        <v>259</v>
      </c>
      <c r="G321" s="297" t="s">
        <v>260</v>
      </c>
      <c r="J321" s="639">
        <f t="shared" si="9"/>
        <v>0</v>
      </c>
    </row>
    <row r="322" spans="5:10" ht="15.75" hidden="1" thickBot="1">
      <c r="F322" s="278" t="s">
        <v>261</v>
      </c>
      <c r="G322" s="297" t="s">
        <v>262</v>
      </c>
      <c r="H322" s="638"/>
      <c r="I322" s="639"/>
      <c r="J322" s="639">
        <f t="shared" si="9"/>
        <v>0</v>
      </c>
    </row>
    <row r="323" spans="5:10" ht="15.75" thickBot="1">
      <c r="G323" s="274" t="s">
        <v>4210</v>
      </c>
      <c r="H323" s="640">
        <f>SUM(H307:H322)</f>
        <v>4771000</v>
      </c>
      <c r="I323" s="641">
        <f>SUM(I308:I322)</f>
        <v>0</v>
      </c>
      <c r="J323" s="641">
        <f>SUM(J307:J322)</f>
        <v>4771000</v>
      </c>
    </row>
    <row r="324" spans="5:10" ht="15" customHeight="1"/>
    <row r="325" spans="5:10">
      <c r="E325" s="283"/>
      <c r="F325" s="285"/>
      <c r="G325" s="295" t="s">
        <v>4212</v>
      </c>
      <c r="H325" s="646"/>
      <c r="I325" s="664"/>
      <c r="J325" s="647"/>
    </row>
    <row r="326" spans="5:10" ht="15.75" thickBot="1">
      <c r="E326" s="267"/>
      <c r="F326" s="278" t="s">
        <v>234</v>
      </c>
      <c r="G326" s="297" t="s">
        <v>235</v>
      </c>
      <c r="H326" s="638">
        <f>SUM(H106,H205,H304)</f>
        <v>4771000</v>
      </c>
      <c r="I326" s="639"/>
      <c r="J326" s="639">
        <f>SUM(H326:I326)</f>
        <v>4771000</v>
      </c>
    </row>
    <row r="327" spans="5:10" ht="15.75" hidden="1" thickBot="1">
      <c r="F327" s="278" t="s">
        <v>236</v>
      </c>
      <c r="G327" s="297" t="s">
        <v>237</v>
      </c>
      <c r="J327" s="639">
        <f t="shared" ref="J327:J341" si="10">SUM(H327:I327)</f>
        <v>0</v>
      </c>
    </row>
    <row r="328" spans="5:10" ht="15.75" hidden="1" thickBot="1">
      <c r="F328" s="278" t="s">
        <v>238</v>
      </c>
      <c r="G328" s="297" t="s">
        <v>239</v>
      </c>
      <c r="J328" s="639">
        <f t="shared" si="10"/>
        <v>0</v>
      </c>
    </row>
    <row r="329" spans="5:10" ht="15.75" hidden="1" thickBot="1">
      <c r="F329" s="278" t="s">
        <v>240</v>
      </c>
      <c r="G329" s="297" t="s">
        <v>241</v>
      </c>
      <c r="J329" s="639">
        <f t="shared" si="10"/>
        <v>0</v>
      </c>
    </row>
    <row r="330" spans="5:10" ht="15.75" hidden="1" thickBot="1">
      <c r="F330" s="278" t="s">
        <v>242</v>
      </c>
      <c r="G330" s="297" t="s">
        <v>243</v>
      </c>
      <c r="J330" s="639">
        <f t="shared" si="10"/>
        <v>0</v>
      </c>
    </row>
    <row r="331" spans="5:10" ht="15.75" hidden="1" thickBot="1">
      <c r="F331" s="278" t="s">
        <v>244</v>
      </c>
      <c r="G331" s="297" t="s">
        <v>245</v>
      </c>
      <c r="J331" s="639">
        <f t="shared" si="10"/>
        <v>0</v>
      </c>
    </row>
    <row r="332" spans="5:10" ht="15.75" hidden="1" thickBot="1">
      <c r="F332" s="278" t="s">
        <v>246</v>
      </c>
      <c r="G332" s="683" t="s">
        <v>5121</v>
      </c>
      <c r="J332" s="639">
        <f t="shared" si="10"/>
        <v>0</v>
      </c>
    </row>
    <row r="333" spans="5:10" ht="15.75" hidden="1" thickBot="1">
      <c r="F333" s="278" t="s">
        <v>247</v>
      </c>
      <c r="G333" s="683" t="s">
        <v>5120</v>
      </c>
      <c r="J333" s="639">
        <f t="shared" si="10"/>
        <v>0</v>
      </c>
    </row>
    <row r="334" spans="5:10" ht="15.75" hidden="1" thickBot="1">
      <c r="F334" s="278" t="s">
        <v>248</v>
      </c>
      <c r="G334" s="297" t="s">
        <v>57</v>
      </c>
      <c r="J334" s="639">
        <f t="shared" si="10"/>
        <v>0</v>
      </c>
    </row>
    <row r="335" spans="5:10" ht="15.75" hidden="1" thickBot="1">
      <c r="F335" s="278" t="s">
        <v>249</v>
      </c>
      <c r="G335" s="297" t="s">
        <v>250</v>
      </c>
      <c r="J335" s="639">
        <f t="shared" si="10"/>
        <v>0</v>
      </c>
    </row>
    <row r="336" spans="5:10" ht="15.75" hidden="1" thickBot="1">
      <c r="F336" s="278" t="s">
        <v>251</v>
      </c>
      <c r="G336" s="297" t="s">
        <v>252</v>
      </c>
      <c r="J336" s="639">
        <f t="shared" si="10"/>
        <v>0</v>
      </c>
    </row>
    <row r="337" spans="5:10" ht="15.75" hidden="1" thickBot="1">
      <c r="F337" s="278" t="s">
        <v>253</v>
      </c>
      <c r="G337" s="297" t="s">
        <v>254</v>
      </c>
      <c r="J337" s="639">
        <f t="shared" si="10"/>
        <v>0</v>
      </c>
    </row>
    <row r="338" spans="5:10" ht="15.75" hidden="1" thickBot="1">
      <c r="F338" s="278" t="s">
        <v>255</v>
      </c>
      <c r="G338" s="297" t="s">
        <v>256</v>
      </c>
      <c r="J338" s="639">
        <f t="shared" si="10"/>
        <v>0</v>
      </c>
    </row>
    <row r="339" spans="5:10" ht="15.75" hidden="1" thickBot="1">
      <c r="F339" s="278" t="s">
        <v>257</v>
      </c>
      <c r="G339" s="297" t="s">
        <v>258</v>
      </c>
      <c r="J339" s="639">
        <f t="shared" si="10"/>
        <v>0</v>
      </c>
    </row>
    <row r="340" spans="5:10" ht="15.75" hidden="1" thickBot="1">
      <c r="F340" s="278" t="s">
        <v>259</v>
      </c>
      <c r="G340" s="297" t="s">
        <v>260</v>
      </c>
      <c r="J340" s="639">
        <f t="shared" si="10"/>
        <v>0</v>
      </c>
    </row>
    <row r="341" spans="5:10" ht="15.75" hidden="1" thickBot="1">
      <c r="F341" s="278" t="s">
        <v>261</v>
      </c>
      <c r="G341" s="297" t="s">
        <v>262</v>
      </c>
      <c r="H341" s="638"/>
      <c r="I341" s="639"/>
      <c r="J341" s="639">
        <f t="shared" si="10"/>
        <v>0</v>
      </c>
    </row>
    <row r="342" spans="5:10" ht="16.5" customHeight="1" thickBot="1">
      <c r="G342" s="274" t="s">
        <v>4213</v>
      </c>
      <c r="H342" s="640">
        <f>SUM(H326:H341)</f>
        <v>4771000</v>
      </c>
      <c r="I342" s="641">
        <f>SUM(I327:I341)</f>
        <v>0</v>
      </c>
      <c r="J342" s="641">
        <f>SUM(J326:J341)</f>
        <v>4771000</v>
      </c>
    </row>
    <row r="343" spans="5:10" ht="16.5" customHeight="1"/>
    <row r="344" spans="5:10">
      <c r="E344" s="283"/>
      <c r="F344" s="285"/>
      <c r="G344" s="295" t="s">
        <v>4211</v>
      </c>
      <c r="H344" s="646"/>
      <c r="I344" s="664"/>
      <c r="J344" s="647"/>
    </row>
    <row r="345" spans="5:10" ht="15.75" thickBot="1">
      <c r="E345" s="267"/>
      <c r="F345" s="278" t="s">
        <v>234</v>
      </c>
      <c r="G345" s="297" t="s">
        <v>235</v>
      </c>
      <c r="H345" s="638">
        <f>SUM(H326)</f>
        <v>4771000</v>
      </c>
      <c r="I345" s="639"/>
      <c r="J345" s="639">
        <f>SUM(H345:I345)</f>
        <v>4771000</v>
      </c>
    </row>
    <row r="346" spans="5:10" ht="15.75" hidden="1" thickBot="1">
      <c r="F346" s="278" t="s">
        <v>236</v>
      </c>
      <c r="G346" s="297" t="s">
        <v>237</v>
      </c>
      <c r="J346" s="639">
        <f t="shared" ref="J346:J360" si="11">SUM(H346:I346)</f>
        <v>0</v>
      </c>
    </row>
    <row r="347" spans="5:10" ht="15.75" hidden="1" thickBot="1">
      <c r="F347" s="278" t="s">
        <v>238</v>
      </c>
      <c r="G347" s="297" t="s">
        <v>239</v>
      </c>
      <c r="J347" s="639">
        <f t="shared" si="11"/>
        <v>0</v>
      </c>
    </row>
    <row r="348" spans="5:10" ht="15.75" hidden="1" thickBot="1">
      <c r="F348" s="278" t="s">
        <v>240</v>
      </c>
      <c r="G348" s="297" t="s">
        <v>241</v>
      </c>
      <c r="J348" s="639">
        <f t="shared" si="11"/>
        <v>0</v>
      </c>
    </row>
    <row r="349" spans="5:10" ht="15.75" hidden="1" thickBot="1">
      <c r="F349" s="278" t="s">
        <v>242</v>
      </c>
      <c r="G349" s="297" t="s">
        <v>243</v>
      </c>
      <c r="J349" s="639">
        <f t="shared" si="11"/>
        <v>0</v>
      </c>
    </row>
    <row r="350" spans="5:10" ht="15.75" hidden="1" thickBot="1">
      <c r="F350" s="278" t="s">
        <v>244</v>
      </c>
      <c r="G350" s="297" t="s">
        <v>245</v>
      </c>
      <c r="J350" s="639">
        <f t="shared" si="11"/>
        <v>0</v>
      </c>
    </row>
    <row r="351" spans="5:10" ht="15.75" hidden="1" thickBot="1">
      <c r="F351" s="278" t="s">
        <v>246</v>
      </c>
      <c r="G351" s="683" t="s">
        <v>5121</v>
      </c>
      <c r="J351" s="639">
        <f t="shared" si="11"/>
        <v>0</v>
      </c>
    </row>
    <row r="352" spans="5:10" ht="15.75" hidden="1" thickBot="1">
      <c r="F352" s="278" t="s">
        <v>247</v>
      </c>
      <c r="G352" s="683" t="s">
        <v>5120</v>
      </c>
      <c r="J352" s="639">
        <f t="shared" si="11"/>
        <v>0</v>
      </c>
    </row>
    <row r="353" spans="1:10" ht="15.75" hidden="1" thickBot="1">
      <c r="F353" s="278" t="s">
        <v>248</v>
      </c>
      <c r="G353" s="297" t="s">
        <v>57</v>
      </c>
      <c r="J353" s="639">
        <f t="shared" si="11"/>
        <v>0</v>
      </c>
    </row>
    <row r="354" spans="1:10" ht="15.75" hidden="1" thickBot="1">
      <c r="F354" s="278" t="s">
        <v>249</v>
      </c>
      <c r="G354" s="297" t="s">
        <v>250</v>
      </c>
      <c r="J354" s="639">
        <f t="shared" si="11"/>
        <v>0</v>
      </c>
    </row>
    <row r="355" spans="1:10" ht="15.75" hidden="1" thickBot="1">
      <c r="F355" s="278" t="s">
        <v>251</v>
      </c>
      <c r="G355" s="297" t="s">
        <v>252</v>
      </c>
      <c r="J355" s="639">
        <f t="shared" si="11"/>
        <v>0</v>
      </c>
    </row>
    <row r="356" spans="1:10" ht="15.75" hidden="1" thickBot="1">
      <c r="F356" s="278" t="s">
        <v>253</v>
      </c>
      <c r="G356" s="297" t="s">
        <v>254</v>
      </c>
      <c r="J356" s="639">
        <f t="shared" si="11"/>
        <v>0</v>
      </c>
    </row>
    <row r="357" spans="1:10" ht="15.75" hidden="1" thickBot="1">
      <c r="F357" s="278" t="s">
        <v>255</v>
      </c>
      <c r="G357" s="297" t="s">
        <v>256</v>
      </c>
      <c r="J357" s="639">
        <f t="shared" si="11"/>
        <v>0</v>
      </c>
    </row>
    <row r="358" spans="1:10" ht="15.75" hidden="1" thickBot="1">
      <c r="F358" s="278" t="s">
        <v>257</v>
      </c>
      <c r="G358" s="297" t="s">
        <v>258</v>
      </c>
      <c r="J358" s="639">
        <f t="shared" si="11"/>
        <v>0</v>
      </c>
    </row>
    <row r="359" spans="1:10" ht="15.75" hidden="1" thickBot="1">
      <c r="F359" s="278" t="s">
        <v>259</v>
      </c>
      <c r="G359" s="297" t="s">
        <v>260</v>
      </c>
      <c r="J359" s="639">
        <f t="shared" si="11"/>
        <v>0</v>
      </c>
    </row>
    <row r="360" spans="1:10" ht="15.75" hidden="1" thickBot="1">
      <c r="F360" s="278" t="s">
        <v>261</v>
      </c>
      <c r="G360" s="297" t="s">
        <v>262</v>
      </c>
      <c r="H360" s="638"/>
      <c r="I360" s="639"/>
      <c r="J360" s="639">
        <f t="shared" si="11"/>
        <v>0</v>
      </c>
    </row>
    <row r="361" spans="1:10" ht="15.75" thickBot="1">
      <c r="G361" s="274" t="s">
        <v>4216</v>
      </c>
      <c r="H361" s="640">
        <f>SUM(H345:H360)</f>
        <v>4771000</v>
      </c>
      <c r="I361" s="641">
        <f>SUM(I346:I360)</f>
        <v>0</v>
      </c>
      <c r="J361" s="641">
        <f>SUM(J345:J360)</f>
        <v>4771000</v>
      </c>
    </row>
    <row r="362" spans="1:10" hidden="1"/>
    <row r="363" spans="1:10" ht="17.25" customHeight="1"/>
    <row r="364" spans="1:10">
      <c r="A364" s="289">
        <v>2</v>
      </c>
      <c r="B364" s="289">
        <v>1</v>
      </c>
      <c r="C364" s="265"/>
      <c r="D364" s="261"/>
      <c r="E364" s="261"/>
      <c r="F364" s="261"/>
      <c r="G364" s="282" t="s">
        <v>5165</v>
      </c>
      <c r="H364" s="632"/>
      <c r="I364" s="633"/>
      <c r="J364" s="633"/>
    </row>
    <row r="365" spans="1:10">
      <c r="C365" s="273" t="s">
        <v>3600</v>
      </c>
      <c r="G365" s="339" t="s">
        <v>4172</v>
      </c>
    </row>
    <row r="366" spans="1:10">
      <c r="C366" s="273" t="s">
        <v>4138</v>
      </c>
      <c r="D366" s="264"/>
      <c r="G366" s="307" t="s">
        <v>4139</v>
      </c>
    </row>
    <row r="367" spans="1:10">
      <c r="C367" s="273"/>
      <c r="D367" s="357">
        <v>111</v>
      </c>
      <c r="E367" s="357"/>
      <c r="F367" s="357"/>
      <c r="G367" s="359" t="s">
        <v>106</v>
      </c>
      <c r="H367" s="638"/>
      <c r="I367" s="639"/>
      <c r="J367" s="639"/>
    </row>
    <row r="368" spans="1:10">
      <c r="E368" s="263">
        <v>8</v>
      </c>
      <c r="F368" s="287">
        <v>411</v>
      </c>
      <c r="G368" s="340" t="s">
        <v>4173</v>
      </c>
      <c r="H368" s="634">
        <v>3694000</v>
      </c>
      <c r="J368" s="635">
        <f>SUM(H368:I368)</f>
        <v>3694000</v>
      </c>
    </row>
    <row r="369" spans="5:10">
      <c r="E369" s="263">
        <v>9</v>
      </c>
      <c r="F369" s="287">
        <v>412</v>
      </c>
      <c r="G369" s="337" t="s">
        <v>3770</v>
      </c>
      <c r="H369" s="634">
        <v>661000</v>
      </c>
      <c r="J369" s="635">
        <f t="shared" ref="J369:J427" si="12">SUM(H369:I369)</f>
        <v>661000</v>
      </c>
    </row>
    <row r="370" spans="5:10" hidden="1">
      <c r="F370" s="287">
        <v>413</v>
      </c>
      <c r="G370" s="340" t="s">
        <v>4174</v>
      </c>
      <c r="J370" s="635">
        <f t="shared" si="12"/>
        <v>0</v>
      </c>
    </row>
    <row r="371" spans="5:10" hidden="1">
      <c r="F371" s="287">
        <v>414</v>
      </c>
      <c r="G371" s="340" t="s">
        <v>3773</v>
      </c>
      <c r="J371" s="635">
        <f t="shared" si="12"/>
        <v>0</v>
      </c>
    </row>
    <row r="372" spans="5:10" hidden="1">
      <c r="F372" s="287">
        <v>415</v>
      </c>
      <c r="G372" s="340" t="s">
        <v>4183</v>
      </c>
      <c r="J372" s="635">
        <f t="shared" si="12"/>
        <v>0</v>
      </c>
    </row>
    <row r="373" spans="5:10" hidden="1">
      <c r="F373" s="287">
        <v>416</v>
      </c>
      <c r="G373" s="340" t="s">
        <v>4184</v>
      </c>
      <c r="J373" s="635">
        <f t="shared" si="12"/>
        <v>0</v>
      </c>
    </row>
    <row r="374" spans="5:10" hidden="1">
      <c r="F374" s="287">
        <v>417</v>
      </c>
      <c r="G374" s="340" t="s">
        <v>4185</v>
      </c>
      <c r="J374" s="635">
        <f t="shared" si="12"/>
        <v>0</v>
      </c>
    </row>
    <row r="375" spans="5:10" hidden="1">
      <c r="F375" s="287">
        <v>418</v>
      </c>
      <c r="G375" s="340" t="s">
        <v>3779</v>
      </c>
      <c r="J375" s="635">
        <f t="shared" si="12"/>
        <v>0</v>
      </c>
    </row>
    <row r="376" spans="5:10" hidden="1">
      <c r="F376" s="287">
        <v>421</v>
      </c>
      <c r="G376" s="340" t="s">
        <v>3783</v>
      </c>
      <c r="J376" s="635">
        <f t="shared" si="12"/>
        <v>0</v>
      </c>
    </row>
    <row r="377" spans="5:10">
      <c r="E377" s="263">
        <v>10</v>
      </c>
      <c r="F377" s="287">
        <v>422</v>
      </c>
      <c r="G377" s="340" t="s">
        <v>3784</v>
      </c>
      <c r="H377" s="634">
        <v>150000</v>
      </c>
      <c r="J377" s="635">
        <f t="shared" si="12"/>
        <v>150000</v>
      </c>
    </row>
    <row r="378" spans="5:10">
      <c r="E378" s="263">
        <v>11</v>
      </c>
      <c r="F378" s="287">
        <v>423</v>
      </c>
      <c r="G378" s="340" t="s">
        <v>3785</v>
      </c>
      <c r="H378" s="634">
        <v>3500000</v>
      </c>
      <c r="J378" s="635">
        <f t="shared" si="12"/>
        <v>3500000</v>
      </c>
    </row>
    <row r="379" spans="5:10" ht="30">
      <c r="E379" s="263">
        <v>12</v>
      </c>
      <c r="F379" s="287">
        <v>4511</v>
      </c>
      <c r="G379" s="562" t="s">
        <v>1690</v>
      </c>
      <c r="H379" s="634">
        <v>3900000</v>
      </c>
      <c r="J379" s="635">
        <f t="shared" si="12"/>
        <v>3900000</v>
      </c>
    </row>
    <row r="380" spans="5:10" ht="13.5" customHeight="1">
      <c r="E380" s="263">
        <v>13</v>
      </c>
      <c r="F380" s="287">
        <v>426</v>
      </c>
      <c r="G380" s="562" t="s">
        <v>5230</v>
      </c>
      <c r="H380" s="634">
        <v>150000</v>
      </c>
      <c r="J380" s="635">
        <f t="shared" si="12"/>
        <v>150000</v>
      </c>
    </row>
    <row r="381" spans="5:10">
      <c r="E381" s="263">
        <v>14</v>
      </c>
      <c r="F381" s="287">
        <v>465</v>
      </c>
      <c r="G381" s="562" t="s">
        <v>4176</v>
      </c>
      <c r="H381" s="634">
        <v>480000</v>
      </c>
      <c r="J381" s="635">
        <f t="shared" si="12"/>
        <v>480000</v>
      </c>
    </row>
    <row r="382" spans="5:10" ht="15.75" hidden="1" thickBot="1">
      <c r="F382" s="287">
        <v>431</v>
      </c>
      <c r="G382" s="340" t="s">
        <v>4187</v>
      </c>
      <c r="J382" s="635">
        <f t="shared" si="12"/>
        <v>0</v>
      </c>
    </row>
    <row r="383" spans="5:10" ht="15.75" hidden="1" thickBot="1">
      <c r="F383" s="287">
        <v>432</v>
      </c>
      <c r="G383" s="340" t="s">
        <v>4188</v>
      </c>
      <c r="J383" s="635">
        <f t="shared" si="12"/>
        <v>0</v>
      </c>
    </row>
    <row r="384" spans="5:10" ht="15.75" hidden="1" thickBot="1">
      <c r="F384" s="287">
        <v>433</v>
      </c>
      <c r="G384" s="340" t="s">
        <v>4189</v>
      </c>
      <c r="J384" s="635">
        <f t="shared" si="12"/>
        <v>0</v>
      </c>
    </row>
    <row r="385" spans="6:10" ht="15.75" hidden="1" thickBot="1">
      <c r="F385" s="287">
        <v>434</v>
      </c>
      <c r="G385" s="340" t="s">
        <v>4190</v>
      </c>
      <c r="J385" s="635">
        <f t="shared" si="12"/>
        <v>0</v>
      </c>
    </row>
    <row r="386" spans="6:10" ht="15.75" hidden="1" thickBot="1">
      <c r="F386" s="287">
        <v>435</v>
      </c>
      <c r="G386" s="340" t="s">
        <v>3798</v>
      </c>
      <c r="J386" s="635">
        <f t="shared" si="12"/>
        <v>0</v>
      </c>
    </row>
    <row r="387" spans="6:10" ht="15.75" hidden="1" thickBot="1">
      <c r="F387" s="287">
        <v>441</v>
      </c>
      <c r="G387" s="340" t="s">
        <v>4191</v>
      </c>
      <c r="J387" s="635">
        <f t="shared" si="12"/>
        <v>0</v>
      </c>
    </row>
    <row r="388" spans="6:10" ht="15.75" hidden="1" thickBot="1">
      <c r="F388" s="287">
        <v>442</v>
      </c>
      <c r="G388" s="340" t="s">
        <v>4192</v>
      </c>
      <c r="J388" s="635">
        <f t="shared" si="12"/>
        <v>0</v>
      </c>
    </row>
    <row r="389" spans="6:10" ht="15.75" hidden="1" thickBot="1">
      <c r="F389" s="287">
        <v>443</v>
      </c>
      <c r="G389" s="340" t="s">
        <v>3803</v>
      </c>
      <c r="J389" s="635">
        <f t="shared" si="12"/>
        <v>0</v>
      </c>
    </row>
    <row r="390" spans="6:10" ht="15.75" hidden="1" thickBot="1">
      <c r="F390" s="287">
        <v>444</v>
      </c>
      <c r="G390" s="340" t="s">
        <v>3804</v>
      </c>
      <c r="J390" s="635">
        <f t="shared" si="12"/>
        <v>0</v>
      </c>
    </row>
    <row r="391" spans="6:10" ht="30.75" hidden="1" thickBot="1">
      <c r="F391" s="287">
        <v>4511</v>
      </c>
      <c r="G391" s="268" t="s">
        <v>1690</v>
      </c>
      <c r="J391" s="635">
        <f t="shared" si="12"/>
        <v>0</v>
      </c>
    </row>
    <row r="392" spans="6:10" ht="30.75" hidden="1" thickBot="1">
      <c r="F392" s="287">
        <v>4512</v>
      </c>
      <c r="G392" s="268" t="s">
        <v>1699</v>
      </c>
      <c r="J392" s="635">
        <f t="shared" si="12"/>
        <v>0</v>
      </c>
    </row>
    <row r="393" spans="6:10" ht="15.75" hidden="1" thickBot="1">
      <c r="F393" s="287">
        <v>452</v>
      </c>
      <c r="G393" s="340" t="s">
        <v>4193</v>
      </c>
      <c r="J393" s="635">
        <f t="shared" si="12"/>
        <v>0</v>
      </c>
    </row>
    <row r="394" spans="6:10" ht="15.75" hidden="1" thickBot="1">
      <c r="F394" s="287">
        <v>453</v>
      </c>
      <c r="G394" s="340" t="s">
        <v>4194</v>
      </c>
      <c r="J394" s="635">
        <f t="shared" si="12"/>
        <v>0</v>
      </c>
    </row>
    <row r="395" spans="6:10" ht="15.75" hidden="1" thickBot="1">
      <c r="F395" s="287">
        <v>454</v>
      </c>
      <c r="G395" s="340" t="s">
        <v>3809</v>
      </c>
      <c r="J395" s="635">
        <f t="shared" si="12"/>
        <v>0</v>
      </c>
    </row>
    <row r="396" spans="6:10" ht="15.75" hidden="1" thickBot="1">
      <c r="F396" s="287">
        <v>461</v>
      </c>
      <c r="G396" s="340" t="s">
        <v>4175</v>
      </c>
      <c r="J396" s="635">
        <f t="shared" si="12"/>
        <v>0</v>
      </c>
    </row>
    <row r="397" spans="6:10" ht="15.75" hidden="1" thickBot="1">
      <c r="F397" s="287">
        <v>462</v>
      </c>
      <c r="G397" s="340" t="s">
        <v>3812</v>
      </c>
      <c r="J397" s="635">
        <f t="shared" si="12"/>
        <v>0</v>
      </c>
    </row>
    <row r="398" spans="6:10" ht="15.75" hidden="1" thickBot="1">
      <c r="F398" s="287">
        <v>4631</v>
      </c>
      <c r="G398" s="340" t="s">
        <v>3813</v>
      </c>
      <c r="J398" s="635">
        <f t="shared" si="12"/>
        <v>0</v>
      </c>
    </row>
    <row r="399" spans="6:10" ht="15.75" hidden="1" thickBot="1">
      <c r="F399" s="287">
        <v>4632</v>
      </c>
      <c r="G399" s="340" t="s">
        <v>3814</v>
      </c>
      <c r="J399" s="635">
        <f t="shared" si="12"/>
        <v>0</v>
      </c>
    </row>
    <row r="400" spans="6:10" ht="15.75" hidden="1" thickBot="1">
      <c r="F400" s="287">
        <v>464</v>
      </c>
      <c r="G400" s="340" t="s">
        <v>3815</v>
      </c>
      <c r="J400" s="635">
        <f t="shared" si="12"/>
        <v>0</v>
      </c>
    </row>
    <row r="401" spans="6:10" ht="15.75" hidden="1" thickBot="1">
      <c r="F401" s="287">
        <v>465</v>
      </c>
      <c r="G401" s="340" t="s">
        <v>4176</v>
      </c>
      <c r="J401" s="635">
        <f t="shared" si="12"/>
        <v>0</v>
      </c>
    </row>
    <row r="402" spans="6:10" ht="15.75" hidden="1" thickBot="1">
      <c r="F402" s="287">
        <v>472</v>
      </c>
      <c r="G402" s="340" t="s">
        <v>3819</v>
      </c>
      <c r="J402" s="635">
        <f t="shared" si="12"/>
        <v>0</v>
      </c>
    </row>
    <row r="403" spans="6:10" ht="15.75" hidden="1" thickBot="1">
      <c r="F403" s="287">
        <v>481</v>
      </c>
      <c r="G403" s="340" t="s">
        <v>4195</v>
      </c>
      <c r="J403" s="635">
        <f t="shared" si="12"/>
        <v>0</v>
      </c>
    </row>
    <row r="404" spans="6:10" ht="15.75" hidden="1" thickBot="1">
      <c r="F404" s="287">
        <v>482</v>
      </c>
      <c r="G404" s="340" t="s">
        <v>4196</v>
      </c>
      <c r="J404" s="635">
        <f t="shared" si="12"/>
        <v>0</v>
      </c>
    </row>
    <row r="405" spans="6:10" ht="15.75" hidden="1" thickBot="1">
      <c r="F405" s="287">
        <v>483</v>
      </c>
      <c r="G405" s="343" t="s">
        <v>4197</v>
      </c>
      <c r="J405" s="635">
        <f t="shared" si="12"/>
        <v>0</v>
      </c>
    </row>
    <row r="406" spans="6:10" ht="30.75" hidden="1" thickBot="1">
      <c r="F406" s="287">
        <v>484</v>
      </c>
      <c r="G406" s="340" t="s">
        <v>4198</v>
      </c>
      <c r="J406" s="635">
        <f t="shared" si="12"/>
        <v>0</v>
      </c>
    </row>
    <row r="407" spans="6:10" ht="30.75" hidden="1" thickBot="1">
      <c r="F407" s="287">
        <v>485</v>
      </c>
      <c r="G407" s="340" t="s">
        <v>4199</v>
      </c>
      <c r="J407" s="635">
        <f t="shared" si="12"/>
        <v>0</v>
      </c>
    </row>
    <row r="408" spans="6:10" ht="30.75" hidden="1" thickBot="1">
      <c r="F408" s="287">
        <v>489</v>
      </c>
      <c r="G408" s="340" t="s">
        <v>3827</v>
      </c>
      <c r="J408" s="635">
        <f t="shared" si="12"/>
        <v>0</v>
      </c>
    </row>
    <row r="409" spans="6:10" ht="15.75" hidden="1" thickBot="1">
      <c r="F409" s="287">
        <v>494</v>
      </c>
      <c r="G409" s="340" t="s">
        <v>4177</v>
      </c>
      <c r="J409" s="635">
        <f t="shared" si="12"/>
        <v>0</v>
      </c>
    </row>
    <row r="410" spans="6:10" ht="30.75" hidden="1" thickBot="1">
      <c r="F410" s="287">
        <v>495</v>
      </c>
      <c r="G410" s="340" t="s">
        <v>4178</v>
      </c>
      <c r="J410" s="635">
        <f t="shared" si="12"/>
        <v>0</v>
      </c>
    </row>
    <row r="411" spans="6:10" ht="30.75" hidden="1" thickBot="1">
      <c r="F411" s="287">
        <v>496</v>
      </c>
      <c r="G411" s="340" t="s">
        <v>4179</v>
      </c>
      <c r="J411" s="635">
        <f t="shared" si="12"/>
        <v>0</v>
      </c>
    </row>
    <row r="412" spans="6:10" ht="15.75" hidden="1" thickBot="1">
      <c r="F412" s="287">
        <v>499</v>
      </c>
      <c r="G412" s="340" t="s">
        <v>4180</v>
      </c>
      <c r="J412" s="635">
        <f t="shared" si="12"/>
        <v>0</v>
      </c>
    </row>
    <row r="413" spans="6:10" ht="15.75" hidden="1" thickBot="1">
      <c r="F413" s="287">
        <v>511</v>
      </c>
      <c r="G413" s="343" t="s">
        <v>4200</v>
      </c>
      <c r="J413" s="635">
        <f t="shared" si="12"/>
        <v>0</v>
      </c>
    </row>
    <row r="414" spans="6:10" ht="15.75" hidden="1" thickBot="1">
      <c r="F414" s="287">
        <v>512</v>
      </c>
      <c r="G414" s="343" t="s">
        <v>4201</v>
      </c>
      <c r="J414" s="635">
        <f t="shared" si="12"/>
        <v>0</v>
      </c>
    </row>
    <row r="415" spans="6:10" ht="15.75" hidden="1" thickBot="1">
      <c r="F415" s="287">
        <v>513</v>
      </c>
      <c r="G415" s="343" t="s">
        <v>4202</v>
      </c>
      <c r="J415" s="635">
        <f t="shared" si="12"/>
        <v>0</v>
      </c>
    </row>
    <row r="416" spans="6:10" ht="15.75" hidden="1" thickBot="1">
      <c r="F416" s="287">
        <v>514</v>
      </c>
      <c r="G416" s="340" t="s">
        <v>4203</v>
      </c>
      <c r="J416" s="635">
        <f t="shared" si="12"/>
        <v>0</v>
      </c>
    </row>
    <row r="417" spans="5:10" ht="15.75" hidden="1" thickBot="1">
      <c r="F417" s="287">
        <v>515</v>
      </c>
      <c r="G417" s="340" t="s">
        <v>3838</v>
      </c>
      <c r="J417" s="635">
        <f t="shared" si="12"/>
        <v>0</v>
      </c>
    </row>
    <row r="418" spans="5:10" ht="15.75" hidden="1" thickBot="1">
      <c r="F418" s="287">
        <v>521</v>
      </c>
      <c r="G418" s="340" t="s">
        <v>4204</v>
      </c>
      <c r="J418" s="635">
        <f t="shared" si="12"/>
        <v>0</v>
      </c>
    </row>
    <row r="419" spans="5:10" ht="15.75" hidden="1" thickBot="1">
      <c r="F419" s="287">
        <v>522</v>
      </c>
      <c r="G419" s="340" t="s">
        <v>4205</v>
      </c>
      <c r="J419" s="635">
        <f t="shared" si="12"/>
        <v>0</v>
      </c>
    </row>
    <row r="420" spans="5:10" ht="15.75" hidden="1" thickBot="1">
      <c r="F420" s="287">
        <v>523</v>
      </c>
      <c r="G420" s="340" t="s">
        <v>3843</v>
      </c>
      <c r="J420" s="635">
        <f t="shared" si="12"/>
        <v>0</v>
      </c>
    </row>
    <row r="421" spans="5:10" ht="15.75" hidden="1" thickBot="1">
      <c r="F421" s="287">
        <v>531</v>
      </c>
      <c r="G421" s="337" t="s">
        <v>4181</v>
      </c>
      <c r="J421" s="635">
        <f t="shared" si="12"/>
        <v>0</v>
      </c>
    </row>
    <row r="422" spans="5:10" ht="15.75" hidden="1" thickBot="1">
      <c r="F422" s="287">
        <v>541</v>
      </c>
      <c r="G422" s="340" t="s">
        <v>4206</v>
      </c>
      <c r="J422" s="635">
        <f t="shared" si="12"/>
        <v>0</v>
      </c>
    </row>
    <row r="423" spans="5:10" ht="15.75" hidden="1" thickBot="1">
      <c r="F423" s="287">
        <v>542</v>
      </c>
      <c r="G423" s="340" t="s">
        <v>4207</v>
      </c>
      <c r="J423" s="635">
        <f t="shared" si="12"/>
        <v>0</v>
      </c>
    </row>
    <row r="424" spans="5:10" ht="15.75" hidden="1" thickBot="1">
      <c r="F424" s="287">
        <v>543</v>
      </c>
      <c r="G424" s="340" t="s">
        <v>3848</v>
      </c>
      <c r="J424" s="635">
        <f t="shared" si="12"/>
        <v>0</v>
      </c>
    </row>
    <row r="425" spans="5:10" ht="18" customHeight="1">
      <c r="E425" s="263">
        <v>15</v>
      </c>
      <c r="F425" s="287">
        <v>481</v>
      </c>
      <c r="G425" s="562" t="s">
        <v>5231</v>
      </c>
      <c r="H425" s="634">
        <v>1200000</v>
      </c>
      <c r="J425" s="635">
        <f t="shared" si="12"/>
        <v>1200000</v>
      </c>
    </row>
    <row r="426" spans="5:10" ht="15.75" customHeight="1">
      <c r="E426" s="263">
        <v>16</v>
      </c>
      <c r="F426" s="288">
        <v>483</v>
      </c>
      <c r="G426" s="568" t="s">
        <v>4197</v>
      </c>
      <c r="H426" s="634">
        <v>1500000</v>
      </c>
      <c r="J426" s="635">
        <f t="shared" si="12"/>
        <v>1500000</v>
      </c>
    </row>
    <row r="427" spans="5:10" ht="16.5" customHeight="1" thickBot="1">
      <c r="E427" s="263">
        <v>17</v>
      </c>
      <c r="F427" s="288">
        <v>485</v>
      </c>
      <c r="G427" s="568" t="s">
        <v>4199</v>
      </c>
      <c r="H427" s="634">
        <v>2100000</v>
      </c>
      <c r="J427" s="635">
        <f t="shared" si="12"/>
        <v>2100000</v>
      </c>
    </row>
    <row r="428" spans="5:10">
      <c r="E428" s="338"/>
      <c r="F428" s="346"/>
      <c r="G428" s="372" t="s">
        <v>4289</v>
      </c>
      <c r="H428" s="636"/>
      <c r="I428" s="662"/>
      <c r="J428" s="637"/>
    </row>
    <row r="429" spans="5:10" ht="15.75" thickBot="1">
      <c r="E429" s="267"/>
      <c r="F429" s="294" t="s">
        <v>234</v>
      </c>
      <c r="G429" s="297" t="s">
        <v>235</v>
      </c>
      <c r="H429" s="638">
        <f>SUM(H368:H427)</f>
        <v>17335000</v>
      </c>
      <c r="I429" s="639"/>
      <c r="J429" s="639">
        <f t="shared" ref="J429:J444" si="13">SUM(H429:I429)</f>
        <v>17335000</v>
      </c>
    </row>
    <row r="430" spans="5:10" ht="15.75" hidden="1" thickBot="1">
      <c r="F430" s="294" t="s">
        <v>236</v>
      </c>
      <c r="G430" s="297" t="s">
        <v>237</v>
      </c>
      <c r="J430" s="639">
        <f t="shared" si="13"/>
        <v>0</v>
      </c>
    </row>
    <row r="431" spans="5:10" ht="15.75" hidden="1" thickBot="1">
      <c r="F431" s="294" t="s">
        <v>238</v>
      </c>
      <c r="G431" s="297" t="s">
        <v>239</v>
      </c>
      <c r="J431" s="639">
        <f t="shared" si="13"/>
        <v>0</v>
      </c>
    </row>
    <row r="432" spans="5:10" ht="15.75" hidden="1" thickBot="1">
      <c r="F432" s="294" t="s">
        <v>240</v>
      </c>
      <c r="G432" s="297" t="s">
        <v>241</v>
      </c>
      <c r="J432" s="639">
        <f t="shared" si="13"/>
        <v>0</v>
      </c>
    </row>
    <row r="433" spans="5:10" ht="15.75" hidden="1" thickBot="1">
      <c r="F433" s="294" t="s">
        <v>242</v>
      </c>
      <c r="G433" s="297" t="s">
        <v>243</v>
      </c>
      <c r="J433" s="639">
        <f t="shared" si="13"/>
        <v>0</v>
      </c>
    </row>
    <row r="434" spans="5:10" ht="15.75" hidden="1" thickBot="1">
      <c r="F434" s="294" t="s">
        <v>244</v>
      </c>
      <c r="G434" s="297" t="s">
        <v>245</v>
      </c>
      <c r="J434" s="639">
        <f t="shared" si="13"/>
        <v>0</v>
      </c>
    </row>
    <row r="435" spans="5:10" ht="15.75" hidden="1" thickBot="1">
      <c r="F435" s="294" t="s">
        <v>246</v>
      </c>
      <c r="G435" s="683" t="s">
        <v>5121</v>
      </c>
      <c r="J435" s="639">
        <f t="shared" si="13"/>
        <v>0</v>
      </c>
    </row>
    <row r="436" spans="5:10" ht="15.75" hidden="1" thickBot="1">
      <c r="F436" s="294" t="s">
        <v>247</v>
      </c>
      <c r="G436" s="683" t="s">
        <v>5120</v>
      </c>
      <c r="J436" s="639">
        <f t="shared" si="13"/>
        <v>0</v>
      </c>
    </row>
    <row r="437" spans="5:10" ht="15.75" hidden="1" thickBot="1">
      <c r="F437" s="294" t="s">
        <v>248</v>
      </c>
      <c r="G437" s="297" t="s">
        <v>57</v>
      </c>
      <c r="J437" s="639">
        <f t="shared" si="13"/>
        <v>0</v>
      </c>
    </row>
    <row r="438" spans="5:10" ht="15.75" hidden="1" thickBot="1">
      <c r="F438" s="294" t="s">
        <v>249</v>
      </c>
      <c r="G438" s="297" t="s">
        <v>250</v>
      </c>
      <c r="J438" s="639">
        <f t="shared" si="13"/>
        <v>0</v>
      </c>
    </row>
    <row r="439" spans="5:10" ht="15.75" hidden="1" thickBot="1">
      <c r="F439" s="294" t="s">
        <v>251</v>
      </c>
      <c r="G439" s="297" t="s">
        <v>252</v>
      </c>
      <c r="J439" s="639">
        <f t="shared" si="13"/>
        <v>0</v>
      </c>
    </row>
    <row r="440" spans="5:10" ht="15.75" hidden="1" thickBot="1">
      <c r="F440" s="294" t="s">
        <v>253</v>
      </c>
      <c r="G440" s="297" t="s">
        <v>254</v>
      </c>
      <c r="J440" s="639">
        <f t="shared" si="13"/>
        <v>0</v>
      </c>
    </row>
    <row r="441" spans="5:10" ht="15.75" hidden="1" thickBot="1">
      <c r="F441" s="294" t="s">
        <v>255</v>
      </c>
      <c r="G441" s="297" t="s">
        <v>256</v>
      </c>
      <c r="J441" s="639">
        <f t="shared" si="13"/>
        <v>0</v>
      </c>
    </row>
    <row r="442" spans="5:10" ht="15.75" hidden="1" thickBot="1">
      <c r="F442" s="294" t="s">
        <v>257</v>
      </c>
      <c r="G442" s="297" t="s">
        <v>258</v>
      </c>
      <c r="J442" s="639">
        <f t="shared" si="13"/>
        <v>0</v>
      </c>
    </row>
    <row r="443" spans="5:10" ht="15.75" hidden="1" thickBot="1">
      <c r="F443" s="294" t="s">
        <v>259</v>
      </c>
      <c r="G443" s="297" t="s">
        <v>260</v>
      </c>
      <c r="J443" s="639">
        <f t="shared" si="13"/>
        <v>0</v>
      </c>
    </row>
    <row r="444" spans="5:10" ht="15.75" hidden="1" thickBot="1">
      <c r="F444" s="294" t="s">
        <v>261</v>
      </c>
      <c r="G444" s="297" t="s">
        <v>262</v>
      </c>
      <c r="H444" s="638"/>
      <c r="I444" s="639"/>
      <c r="J444" s="639">
        <f t="shared" si="13"/>
        <v>0</v>
      </c>
    </row>
    <row r="445" spans="5:10" ht="15.75" thickBot="1">
      <c r="G445" s="274" t="s">
        <v>4293</v>
      </c>
      <c r="H445" s="640">
        <f>SUM(H429:H444)</f>
        <v>17335000</v>
      </c>
      <c r="I445" s="641">
        <f>SUM(I430:I444)</f>
        <v>0</v>
      </c>
      <c r="J445" s="641">
        <f>SUM(J429:J444)</f>
        <v>17335000</v>
      </c>
    </row>
    <row r="446" spans="5:10" collapsed="1">
      <c r="E446" s="338"/>
      <c r="F446" s="346"/>
      <c r="G446" s="276" t="s">
        <v>4288</v>
      </c>
      <c r="H446" s="642"/>
      <c r="I446" s="663"/>
      <c r="J446" s="643"/>
    </row>
    <row r="447" spans="5:10" ht="15.75" thickBot="1">
      <c r="E447" s="267"/>
      <c r="F447" s="294" t="s">
        <v>234</v>
      </c>
      <c r="G447" s="297" t="s">
        <v>235</v>
      </c>
      <c r="H447" s="638">
        <f>SUM(H368:H427)</f>
        <v>17335000</v>
      </c>
      <c r="I447" s="639"/>
      <c r="J447" s="639">
        <f>SUM(H447:I447)</f>
        <v>17335000</v>
      </c>
    </row>
    <row r="448" spans="5:10" ht="15.75" hidden="1" thickBot="1">
      <c r="F448" s="294" t="s">
        <v>236</v>
      </c>
      <c r="G448" s="297" t="s">
        <v>237</v>
      </c>
      <c r="J448" s="639">
        <f t="shared" ref="J448:J462" si="14">SUM(H448:I448)</f>
        <v>0</v>
      </c>
    </row>
    <row r="449" spans="6:10" ht="15.75" hidden="1" thickBot="1">
      <c r="F449" s="294" t="s">
        <v>238</v>
      </c>
      <c r="G449" s="297" t="s">
        <v>239</v>
      </c>
      <c r="J449" s="639">
        <f t="shared" si="14"/>
        <v>0</v>
      </c>
    </row>
    <row r="450" spans="6:10" ht="15.75" hidden="1" thickBot="1">
      <c r="F450" s="294" t="s">
        <v>240</v>
      </c>
      <c r="G450" s="297" t="s">
        <v>241</v>
      </c>
      <c r="J450" s="639">
        <f t="shared" si="14"/>
        <v>0</v>
      </c>
    </row>
    <row r="451" spans="6:10" ht="15.75" hidden="1" thickBot="1">
      <c r="F451" s="294" t="s">
        <v>242</v>
      </c>
      <c r="G451" s="297" t="s">
        <v>243</v>
      </c>
      <c r="J451" s="639">
        <f t="shared" si="14"/>
        <v>0</v>
      </c>
    </row>
    <row r="452" spans="6:10" ht="15.75" hidden="1" thickBot="1">
      <c r="F452" s="294" t="s">
        <v>244</v>
      </c>
      <c r="G452" s="297" t="s">
        <v>245</v>
      </c>
      <c r="J452" s="639">
        <f t="shared" si="14"/>
        <v>0</v>
      </c>
    </row>
    <row r="453" spans="6:10" ht="15.75" hidden="1" thickBot="1">
      <c r="F453" s="294" t="s">
        <v>246</v>
      </c>
      <c r="G453" s="683" t="s">
        <v>5121</v>
      </c>
      <c r="J453" s="639">
        <f t="shared" si="14"/>
        <v>0</v>
      </c>
    </row>
    <row r="454" spans="6:10" ht="15.75" hidden="1" thickBot="1">
      <c r="F454" s="294" t="s">
        <v>247</v>
      </c>
      <c r="G454" s="683" t="s">
        <v>5120</v>
      </c>
      <c r="J454" s="639">
        <f t="shared" si="14"/>
        <v>0</v>
      </c>
    </row>
    <row r="455" spans="6:10" ht="15.75" hidden="1" thickBot="1">
      <c r="F455" s="294" t="s">
        <v>248</v>
      </c>
      <c r="G455" s="297" t="s">
        <v>57</v>
      </c>
      <c r="J455" s="639">
        <f t="shared" si="14"/>
        <v>0</v>
      </c>
    </row>
    <row r="456" spans="6:10" ht="15.75" hidden="1" thickBot="1">
      <c r="F456" s="294" t="s">
        <v>249</v>
      </c>
      <c r="G456" s="297" t="s">
        <v>250</v>
      </c>
      <c r="J456" s="639">
        <f t="shared" si="14"/>
        <v>0</v>
      </c>
    </row>
    <row r="457" spans="6:10" ht="15.75" hidden="1" thickBot="1">
      <c r="F457" s="294" t="s">
        <v>251</v>
      </c>
      <c r="G457" s="297" t="s">
        <v>252</v>
      </c>
      <c r="J457" s="639">
        <f t="shared" si="14"/>
        <v>0</v>
      </c>
    </row>
    <row r="458" spans="6:10" ht="15.75" hidden="1" thickBot="1">
      <c r="F458" s="294" t="s">
        <v>253</v>
      </c>
      <c r="G458" s="297" t="s">
        <v>254</v>
      </c>
      <c r="J458" s="639">
        <f t="shared" si="14"/>
        <v>0</v>
      </c>
    </row>
    <row r="459" spans="6:10" ht="15.75" hidden="1" thickBot="1">
      <c r="F459" s="294" t="s">
        <v>255</v>
      </c>
      <c r="G459" s="297" t="s">
        <v>256</v>
      </c>
      <c r="J459" s="639">
        <f t="shared" si="14"/>
        <v>0</v>
      </c>
    </row>
    <row r="460" spans="6:10" ht="15.75" hidden="1" thickBot="1">
      <c r="F460" s="294" t="s">
        <v>257</v>
      </c>
      <c r="G460" s="297" t="s">
        <v>258</v>
      </c>
      <c r="J460" s="639">
        <f t="shared" si="14"/>
        <v>0</v>
      </c>
    </row>
    <row r="461" spans="6:10" ht="15.75" hidden="1" thickBot="1">
      <c r="F461" s="294" t="s">
        <v>259</v>
      </c>
      <c r="G461" s="297" t="s">
        <v>260</v>
      </c>
      <c r="J461" s="639">
        <f t="shared" si="14"/>
        <v>0</v>
      </c>
    </row>
    <row r="462" spans="6:10" ht="15.75" hidden="1" thickBot="1">
      <c r="F462" s="294" t="s">
        <v>261</v>
      </c>
      <c r="G462" s="297" t="s">
        <v>262</v>
      </c>
      <c r="H462" s="638"/>
      <c r="I462" s="639"/>
      <c r="J462" s="639">
        <f t="shared" si="14"/>
        <v>0</v>
      </c>
    </row>
    <row r="463" spans="6:10" ht="15.75" collapsed="1" thickBot="1">
      <c r="G463" s="274" t="s">
        <v>4287</v>
      </c>
      <c r="H463" s="640">
        <f>SUM(H447:H462)</f>
        <v>17335000</v>
      </c>
      <c r="I463" s="641">
        <f>SUM(I448:I462)</f>
        <v>0</v>
      </c>
      <c r="J463" s="641">
        <f>SUM(J447:J462)</f>
        <v>17335000</v>
      </c>
    </row>
    <row r="464" spans="6:10" ht="14.25" customHeight="1">
      <c r="G464" s="331"/>
      <c r="H464" s="644"/>
      <c r="I464" s="645"/>
      <c r="J464" s="645"/>
    </row>
    <row r="465" spans="3:10" ht="19.5" customHeight="1">
      <c r="C465" s="273" t="s">
        <v>3600</v>
      </c>
      <c r="G465" s="560" t="s">
        <v>4172</v>
      </c>
    </row>
    <row r="466" spans="3:10">
      <c r="C466" s="273" t="s">
        <v>4138</v>
      </c>
      <c r="D466" s="264"/>
      <c r="G466" s="553" t="s">
        <v>4139</v>
      </c>
    </row>
    <row r="467" spans="3:10">
      <c r="C467" s="273"/>
      <c r="D467" s="357">
        <v>360</v>
      </c>
      <c r="E467" s="357"/>
      <c r="F467" s="357"/>
      <c r="G467" s="359" t="s">
        <v>5166</v>
      </c>
      <c r="H467" s="638"/>
      <c r="I467" s="639"/>
      <c r="J467" s="639"/>
    </row>
    <row r="468" spans="3:10" hidden="1">
      <c r="F468" s="569">
        <v>411</v>
      </c>
      <c r="G468" s="562" t="s">
        <v>4173</v>
      </c>
      <c r="J468" s="635">
        <f>SUM(H468:I468)</f>
        <v>0</v>
      </c>
    </row>
    <row r="469" spans="3:10" hidden="1">
      <c r="F469" s="569">
        <v>412</v>
      </c>
      <c r="G469" s="558" t="s">
        <v>3770</v>
      </c>
      <c r="J469" s="635">
        <f t="shared" ref="J469:J481" si="15">SUM(H469:I469)</f>
        <v>0</v>
      </c>
    </row>
    <row r="470" spans="3:10" hidden="1">
      <c r="F470" s="569">
        <v>413</v>
      </c>
      <c r="G470" s="562" t="s">
        <v>4174</v>
      </c>
      <c r="J470" s="635">
        <f t="shared" si="15"/>
        <v>0</v>
      </c>
    </row>
    <row r="471" spans="3:10" hidden="1">
      <c r="F471" s="569">
        <v>414</v>
      </c>
      <c r="G471" s="562" t="s">
        <v>3773</v>
      </c>
      <c r="J471" s="635">
        <f t="shared" si="15"/>
        <v>0</v>
      </c>
    </row>
    <row r="472" spans="3:10" hidden="1">
      <c r="F472" s="569">
        <v>415</v>
      </c>
      <c r="G472" s="562" t="s">
        <v>4183</v>
      </c>
      <c r="J472" s="635">
        <f t="shared" si="15"/>
        <v>0</v>
      </c>
    </row>
    <row r="473" spans="3:10" hidden="1">
      <c r="F473" s="569">
        <v>416</v>
      </c>
      <c r="G473" s="562" t="s">
        <v>4184</v>
      </c>
      <c r="J473" s="635">
        <f t="shared" si="15"/>
        <v>0</v>
      </c>
    </row>
    <row r="474" spans="3:10" hidden="1">
      <c r="F474" s="569">
        <v>417</v>
      </c>
      <c r="G474" s="562" t="s">
        <v>4185</v>
      </c>
      <c r="J474" s="635">
        <f t="shared" si="15"/>
        <v>0</v>
      </c>
    </row>
    <row r="475" spans="3:10" hidden="1">
      <c r="F475" s="569">
        <v>418</v>
      </c>
      <c r="G475" s="562" t="s">
        <v>3779</v>
      </c>
      <c r="J475" s="635">
        <f t="shared" si="15"/>
        <v>0</v>
      </c>
    </row>
    <row r="476" spans="3:10" hidden="1">
      <c r="F476" s="569">
        <v>421</v>
      </c>
      <c r="G476" s="562" t="s">
        <v>3783</v>
      </c>
      <c r="J476" s="635">
        <f t="shared" si="15"/>
        <v>0</v>
      </c>
    </row>
    <row r="477" spans="3:10" hidden="1">
      <c r="F477" s="569">
        <v>422</v>
      </c>
      <c r="G477" s="562" t="s">
        <v>3784</v>
      </c>
      <c r="J477" s="635">
        <f t="shared" si="15"/>
        <v>0</v>
      </c>
    </row>
    <row r="478" spans="3:10">
      <c r="E478" s="263">
        <v>18</v>
      </c>
      <c r="F478" s="569">
        <v>423</v>
      </c>
      <c r="G478" s="562" t="s">
        <v>3785</v>
      </c>
      <c r="H478" s="634">
        <v>300000</v>
      </c>
      <c r="J478" s="635">
        <f t="shared" si="15"/>
        <v>300000</v>
      </c>
    </row>
    <row r="479" spans="3:10">
      <c r="E479" s="263">
        <v>19</v>
      </c>
      <c r="F479" s="569">
        <v>424</v>
      </c>
      <c r="G479" s="562" t="s">
        <v>3787</v>
      </c>
      <c r="H479" s="634">
        <v>6000000</v>
      </c>
      <c r="J479" s="635">
        <f t="shared" si="15"/>
        <v>6000000</v>
      </c>
    </row>
    <row r="480" spans="3:10" hidden="1">
      <c r="F480" s="569">
        <v>426</v>
      </c>
      <c r="G480" s="562" t="s">
        <v>3791</v>
      </c>
      <c r="J480" s="635">
        <f t="shared" si="15"/>
        <v>0</v>
      </c>
    </row>
    <row r="481" spans="5:10" ht="18" hidden="1" customHeight="1">
      <c r="F481" s="569">
        <v>484</v>
      </c>
      <c r="G481" s="562" t="s">
        <v>5228</v>
      </c>
      <c r="J481" s="635">
        <f t="shared" si="15"/>
        <v>0</v>
      </c>
    </row>
    <row r="482" spans="5:10" ht="15.75" thickBot="1">
      <c r="E482" s="263">
        <v>20</v>
      </c>
      <c r="F482" s="569">
        <v>512</v>
      </c>
      <c r="G482" s="562" t="s">
        <v>5227</v>
      </c>
      <c r="H482" s="634">
        <v>2200000</v>
      </c>
    </row>
    <row r="483" spans="5:10">
      <c r="E483" s="559"/>
      <c r="F483" s="570"/>
      <c r="G483" s="372" t="s">
        <v>5167</v>
      </c>
      <c r="H483" s="636"/>
      <c r="I483" s="662"/>
      <c r="J483" s="637"/>
    </row>
    <row r="484" spans="5:10" ht="15" customHeight="1" thickBot="1">
      <c r="E484" s="267"/>
      <c r="F484" s="682" t="s">
        <v>234</v>
      </c>
      <c r="G484" s="683" t="s">
        <v>235</v>
      </c>
      <c r="H484" s="638">
        <f>SUM(H478:H482)</f>
        <v>8500000</v>
      </c>
      <c r="I484" s="639"/>
      <c r="J484" s="639">
        <f t="shared" ref="J484:J499" si="16">SUM(H484:I484)</f>
        <v>8500000</v>
      </c>
    </row>
    <row r="485" spans="5:10" ht="11.25" hidden="1" customHeight="1" thickBot="1">
      <c r="F485" s="682" t="s">
        <v>236</v>
      </c>
      <c r="G485" s="683" t="s">
        <v>237</v>
      </c>
      <c r="J485" s="639">
        <f t="shared" si="16"/>
        <v>0</v>
      </c>
    </row>
    <row r="486" spans="5:10" ht="15.75" hidden="1" thickBot="1">
      <c r="F486" s="682" t="s">
        <v>238</v>
      </c>
      <c r="G486" s="683" t="s">
        <v>239</v>
      </c>
      <c r="J486" s="639">
        <f t="shared" si="16"/>
        <v>0</v>
      </c>
    </row>
    <row r="487" spans="5:10" ht="15.75" hidden="1" thickBot="1">
      <c r="F487" s="682" t="s">
        <v>240</v>
      </c>
      <c r="G487" s="683" t="s">
        <v>241</v>
      </c>
      <c r="J487" s="639">
        <f t="shared" si="16"/>
        <v>0</v>
      </c>
    </row>
    <row r="488" spans="5:10" ht="15.75" hidden="1" thickBot="1">
      <c r="F488" s="682" t="s">
        <v>242</v>
      </c>
      <c r="G488" s="683" t="s">
        <v>243</v>
      </c>
      <c r="J488" s="639">
        <f t="shared" si="16"/>
        <v>0</v>
      </c>
    </row>
    <row r="489" spans="5:10" ht="15.75" hidden="1" thickBot="1">
      <c r="F489" s="682" t="s">
        <v>244</v>
      </c>
      <c r="G489" s="683" t="s">
        <v>245</v>
      </c>
      <c r="J489" s="639">
        <f t="shared" si="16"/>
        <v>0</v>
      </c>
    </row>
    <row r="490" spans="5:10" ht="15.75" hidden="1" thickBot="1">
      <c r="F490" s="682" t="s">
        <v>246</v>
      </c>
      <c r="G490" s="683" t="s">
        <v>5121</v>
      </c>
      <c r="J490" s="639">
        <f t="shared" si="16"/>
        <v>0</v>
      </c>
    </row>
    <row r="491" spans="5:10" ht="15.75" hidden="1" thickBot="1">
      <c r="F491" s="682" t="s">
        <v>247</v>
      </c>
      <c r="G491" s="683" t="s">
        <v>5120</v>
      </c>
      <c r="J491" s="639">
        <f t="shared" si="16"/>
        <v>0</v>
      </c>
    </row>
    <row r="492" spans="5:10" ht="15.75" hidden="1" thickBot="1">
      <c r="F492" s="682" t="s">
        <v>248</v>
      </c>
      <c r="G492" s="683" t="s">
        <v>57</v>
      </c>
      <c r="J492" s="639">
        <f t="shared" si="16"/>
        <v>0</v>
      </c>
    </row>
    <row r="493" spans="5:10" ht="15.75" hidden="1" thickBot="1">
      <c r="F493" s="682" t="s">
        <v>249</v>
      </c>
      <c r="G493" s="683" t="s">
        <v>250</v>
      </c>
      <c r="J493" s="639">
        <f t="shared" si="16"/>
        <v>0</v>
      </c>
    </row>
    <row r="494" spans="5:10" ht="15.75" hidden="1" thickBot="1">
      <c r="F494" s="682" t="s">
        <v>251</v>
      </c>
      <c r="G494" s="683" t="s">
        <v>252</v>
      </c>
      <c r="J494" s="639">
        <f t="shared" si="16"/>
        <v>0</v>
      </c>
    </row>
    <row r="495" spans="5:10" ht="15.75" hidden="1" thickBot="1">
      <c r="F495" s="682" t="s">
        <v>253</v>
      </c>
      <c r="G495" s="683" t="s">
        <v>254</v>
      </c>
      <c r="J495" s="639">
        <f t="shared" si="16"/>
        <v>0</v>
      </c>
    </row>
    <row r="496" spans="5:10" ht="15.75" hidden="1" thickBot="1">
      <c r="F496" s="682" t="s">
        <v>255</v>
      </c>
      <c r="G496" s="683" t="s">
        <v>256</v>
      </c>
      <c r="J496" s="639">
        <f t="shared" si="16"/>
        <v>0</v>
      </c>
    </row>
    <row r="497" spans="5:10" ht="15.75" hidden="1" thickBot="1">
      <c r="F497" s="682" t="s">
        <v>257</v>
      </c>
      <c r="G497" s="683" t="s">
        <v>258</v>
      </c>
      <c r="J497" s="639">
        <f t="shared" si="16"/>
        <v>0</v>
      </c>
    </row>
    <row r="498" spans="5:10" ht="15.75" hidden="1" thickBot="1">
      <c r="F498" s="682" t="s">
        <v>259</v>
      </c>
      <c r="G498" s="683" t="s">
        <v>260</v>
      </c>
      <c r="J498" s="639">
        <f t="shared" si="16"/>
        <v>0</v>
      </c>
    </row>
    <row r="499" spans="5:10" ht="15.75" hidden="1" thickBot="1">
      <c r="F499" s="682" t="s">
        <v>261</v>
      </c>
      <c r="G499" s="683" t="s">
        <v>262</v>
      </c>
      <c r="H499" s="638"/>
      <c r="I499" s="639"/>
      <c r="J499" s="639">
        <f t="shared" si="16"/>
        <v>0</v>
      </c>
    </row>
    <row r="500" spans="5:10" ht="15.75" thickBot="1">
      <c r="G500" s="274" t="s">
        <v>5168</v>
      </c>
      <c r="H500" s="640">
        <f>SUM(H484)</f>
        <v>8500000</v>
      </c>
      <c r="I500" s="641">
        <f>SUM(I485:I499)</f>
        <v>0</v>
      </c>
      <c r="J500" s="641">
        <f>SUM(J484:J499)</f>
        <v>8500000</v>
      </c>
    </row>
    <row r="501" spans="5:10">
      <c r="E501" s="559"/>
      <c r="F501" s="570"/>
      <c r="G501" s="276" t="s">
        <v>4288</v>
      </c>
      <c r="H501" s="642"/>
      <c r="I501" s="663"/>
      <c r="J501" s="643"/>
    </row>
    <row r="502" spans="5:10" ht="15" customHeight="1" thickBot="1">
      <c r="E502" s="267"/>
      <c r="F502" s="682" t="s">
        <v>234</v>
      </c>
      <c r="G502" s="683" t="s">
        <v>235</v>
      </c>
      <c r="H502" s="638">
        <f>SUM(H500)</f>
        <v>8500000</v>
      </c>
      <c r="I502" s="639"/>
      <c r="J502" s="639">
        <f>SUM(H502:I502)</f>
        <v>8500000</v>
      </c>
    </row>
    <row r="503" spans="5:10" ht="9.75" hidden="1" customHeight="1" thickBot="1">
      <c r="F503" s="682" t="s">
        <v>236</v>
      </c>
      <c r="G503" s="683" t="s">
        <v>237</v>
      </c>
      <c r="J503" s="639">
        <f t="shared" ref="J503:J517" si="17">SUM(H503:I503)</f>
        <v>0</v>
      </c>
    </row>
    <row r="504" spans="5:10" ht="15.75" hidden="1" thickBot="1">
      <c r="F504" s="682" t="s">
        <v>238</v>
      </c>
      <c r="G504" s="683" t="s">
        <v>239</v>
      </c>
      <c r="J504" s="639">
        <f t="shared" si="17"/>
        <v>0</v>
      </c>
    </row>
    <row r="505" spans="5:10" ht="15.75" hidden="1" thickBot="1">
      <c r="F505" s="682" t="s">
        <v>240</v>
      </c>
      <c r="G505" s="683" t="s">
        <v>241</v>
      </c>
      <c r="J505" s="639">
        <f t="shared" si="17"/>
        <v>0</v>
      </c>
    </row>
    <row r="506" spans="5:10" ht="15.75" hidden="1" thickBot="1">
      <c r="F506" s="682" t="s">
        <v>242</v>
      </c>
      <c r="G506" s="683" t="s">
        <v>243</v>
      </c>
      <c r="J506" s="639">
        <f t="shared" si="17"/>
        <v>0</v>
      </c>
    </row>
    <row r="507" spans="5:10" ht="15.75" hidden="1" thickBot="1">
      <c r="F507" s="682" t="s">
        <v>244</v>
      </c>
      <c r="G507" s="683" t="s">
        <v>245</v>
      </c>
      <c r="J507" s="639">
        <f t="shared" si="17"/>
        <v>0</v>
      </c>
    </row>
    <row r="508" spans="5:10" ht="15.75" hidden="1" thickBot="1">
      <c r="F508" s="682" t="s">
        <v>246</v>
      </c>
      <c r="G508" s="683" t="s">
        <v>5121</v>
      </c>
      <c r="J508" s="639">
        <f t="shared" si="17"/>
        <v>0</v>
      </c>
    </row>
    <row r="509" spans="5:10" ht="15.75" hidden="1" thickBot="1">
      <c r="F509" s="682" t="s">
        <v>247</v>
      </c>
      <c r="G509" s="683" t="s">
        <v>5120</v>
      </c>
      <c r="J509" s="639">
        <f t="shared" si="17"/>
        <v>0</v>
      </c>
    </row>
    <row r="510" spans="5:10" ht="15.75" hidden="1" thickBot="1">
      <c r="F510" s="682" t="s">
        <v>248</v>
      </c>
      <c r="G510" s="683" t="s">
        <v>57</v>
      </c>
      <c r="J510" s="639">
        <f t="shared" si="17"/>
        <v>0</v>
      </c>
    </row>
    <row r="511" spans="5:10" ht="15.75" hidden="1" thickBot="1">
      <c r="F511" s="682" t="s">
        <v>249</v>
      </c>
      <c r="G511" s="683" t="s">
        <v>250</v>
      </c>
      <c r="J511" s="639">
        <f t="shared" si="17"/>
        <v>0</v>
      </c>
    </row>
    <row r="512" spans="5:10" ht="15.75" hidden="1" thickBot="1">
      <c r="F512" s="682" t="s">
        <v>251</v>
      </c>
      <c r="G512" s="683" t="s">
        <v>252</v>
      </c>
      <c r="J512" s="639">
        <f t="shared" si="17"/>
        <v>0</v>
      </c>
    </row>
    <row r="513" spans="5:10" ht="15.75" hidden="1" thickBot="1">
      <c r="F513" s="682" t="s">
        <v>253</v>
      </c>
      <c r="G513" s="683" t="s">
        <v>254</v>
      </c>
      <c r="J513" s="639">
        <f t="shared" si="17"/>
        <v>0</v>
      </c>
    </row>
    <row r="514" spans="5:10" ht="15.75" hidden="1" thickBot="1">
      <c r="F514" s="682" t="s">
        <v>255</v>
      </c>
      <c r="G514" s="683" t="s">
        <v>256</v>
      </c>
      <c r="J514" s="639">
        <f t="shared" si="17"/>
        <v>0</v>
      </c>
    </row>
    <row r="515" spans="5:10" ht="15.75" hidden="1" thickBot="1">
      <c r="F515" s="682" t="s">
        <v>257</v>
      </c>
      <c r="G515" s="683" t="s">
        <v>258</v>
      </c>
      <c r="J515" s="639">
        <f t="shared" si="17"/>
        <v>0</v>
      </c>
    </row>
    <row r="516" spans="5:10" ht="15.75" hidden="1" thickBot="1">
      <c r="F516" s="682" t="s">
        <v>259</v>
      </c>
      <c r="G516" s="683" t="s">
        <v>260</v>
      </c>
      <c r="J516" s="639">
        <f t="shared" si="17"/>
        <v>0</v>
      </c>
    </row>
    <row r="517" spans="5:10" ht="15.75" hidden="1" thickBot="1">
      <c r="F517" s="682" t="s">
        <v>261</v>
      </c>
      <c r="G517" s="683" t="s">
        <v>262</v>
      </c>
      <c r="H517" s="638"/>
      <c r="I517" s="639"/>
      <c r="J517" s="639">
        <f t="shared" si="17"/>
        <v>0</v>
      </c>
    </row>
    <row r="518" spans="5:10" ht="15" customHeight="1" thickBot="1">
      <c r="G518" s="274" t="s">
        <v>4287</v>
      </c>
      <c r="H518" s="640">
        <f>SUM(H502)</f>
        <v>8500000</v>
      </c>
      <c r="I518" s="641">
        <f>SUM(I503:I517)</f>
        <v>0</v>
      </c>
      <c r="J518" s="641">
        <f>SUM(J502:J517)</f>
        <v>8500000</v>
      </c>
    </row>
    <row r="519" spans="5:10" hidden="1">
      <c r="G519" s="331"/>
      <c r="H519" s="644"/>
      <c r="I519" s="645"/>
      <c r="J519" s="645"/>
    </row>
    <row r="520" spans="5:10" hidden="1">
      <c r="G520" s="331"/>
      <c r="H520" s="644"/>
      <c r="I520" s="645"/>
      <c r="J520" s="645"/>
    </row>
    <row r="521" spans="5:10" hidden="1">
      <c r="G521" s="331"/>
      <c r="H521" s="644"/>
      <c r="I521" s="645"/>
      <c r="J521" s="645"/>
    </row>
    <row r="522" spans="5:10" hidden="1">
      <c r="G522" s="331"/>
      <c r="H522" s="644"/>
      <c r="I522" s="645"/>
      <c r="J522" s="645"/>
    </row>
    <row r="523" spans="5:10" hidden="1">
      <c r="G523" s="331"/>
      <c r="H523" s="644"/>
      <c r="I523" s="645"/>
      <c r="J523" s="645"/>
    </row>
    <row r="524" spans="5:10" hidden="1">
      <c r="G524" s="331"/>
      <c r="H524" s="644"/>
      <c r="I524" s="645"/>
      <c r="J524" s="645"/>
    </row>
    <row r="525" spans="5:10" hidden="1">
      <c r="G525" s="331"/>
      <c r="H525" s="644"/>
      <c r="I525" s="645"/>
      <c r="J525" s="645"/>
    </row>
    <row r="526" spans="5:10" hidden="1">
      <c r="G526" s="331"/>
      <c r="H526" s="644"/>
      <c r="I526" s="645"/>
      <c r="J526" s="645"/>
    </row>
    <row r="527" spans="5:10" hidden="1"/>
    <row r="528" spans="5:10">
      <c r="E528" s="286"/>
      <c r="F528" s="288"/>
      <c r="G528" s="295" t="s">
        <v>4209</v>
      </c>
      <c r="H528" s="646"/>
      <c r="I528" s="664"/>
      <c r="J528" s="647"/>
    </row>
    <row r="529" spans="5:10" ht="15.75" thickBot="1">
      <c r="E529" s="267"/>
      <c r="F529" s="278" t="s">
        <v>234</v>
      </c>
      <c r="G529" s="297" t="s">
        <v>235</v>
      </c>
      <c r="H529" s="638">
        <f>SUM(H502,H447)</f>
        <v>25835000</v>
      </c>
      <c r="I529" s="639"/>
      <c r="J529" s="639">
        <f>SUM(H529:I529)</f>
        <v>25835000</v>
      </c>
    </row>
    <row r="530" spans="5:10" ht="15.75" hidden="1" thickBot="1">
      <c r="F530" s="278" t="s">
        <v>236</v>
      </c>
      <c r="G530" s="297" t="s">
        <v>237</v>
      </c>
      <c r="J530" s="639">
        <f t="shared" ref="J530:J544" si="18">SUM(H530:I530)</f>
        <v>0</v>
      </c>
    </row>
    <row r="531" spans="5:10" ht="15.75" hidden="1" thickBot="1">
      <c r="F531" s="278" t="s">
        <v>238</v>
      </c>
      <c r="G531" s="297" t="s">
        <v>239</v>
      </c>
      <c r="J531" s="639">
        <f t="shared" si="18"/>
        <v>0</v>
      </c>
    </row>
    <row r="532" spans="5:10" ht="15.75" hidden="1" thickBot="1">
      <c r="F532" s="278" t="s">
        <v>240</v>
      </c>
      <c r="G532" s="297" t="s">
        <v>241</v>
      </c>
      <c r="J532" s="639">
        <f t="shared" si="18"/>
        <v>0</v>
      </c>
    </row>
    <row r="533" spans="5:10" ht="15.75" hidden="1" thickBot="1">
      <c r="F533" s="278" t="s">
        <v>242</v>
      </c>
      <c r="G533" s="297" t="s">
        <v>243</v>
      </c>
      <c r="J533" s="639">
        <f t="shared" si="18"/>
        <v>0</v>
      </c>
    </row>
    <row r="534" spans="5:10" ht="15.75" hidden="1" thickBot="1">
      <c r="F534" s="278" t="s">
        <v>244</v>
      </c>
      <c r="G534" s="297" t="s">
        <v>245</v>
      </c>
      <c r="J534" s="639">
        <f t="shared" si="18"/>
        <v>0</v>
      </c>
    </row>
    <row r="535" spans="5:10" ht="15.75" hidden="1" thickBot="1">
      <c r="F535" s="278" t="s">
        <v>246</v>
      </c>
      <c r="G535" s="683" t="s">
        <v>5121</v>
      </c>
      <c r="J535" s="639">
        <f t="shared" si="18"/>
        <v>0</v>
      </c>
    </row>
    <row r="536" spans="5:10" ht="15.75" hidden="1" thickBot="1">
      <c r="F536" s="278" t="s">
        <v>247</v>
      </c>
      <c r="G536" s="683" t="s">
        <v>5120</v>
      </c>
      <c r="J536" s="639">
        <f t="shared" si="18"/>
        <v>0</v>
      </c>
    </row>
    <row r="537" spans="5:10" ht="15.75" hidden="1" thickBot="1">
      <c r="F537" s="278" t="s">
        <v>248</v>
      </c>
      <c r="G537" s="297" t="s">
        <v>57</v>
      </c>
      <c r="J537" s="639">
        <f t="shared" si="18"/>
        <v>0</v>
      </c>
    </row>
    <row r="538" spans="5:10" ht="15.75" hidden="1" thickBot="1">
      <c r="F538" s="278" t="s">
        <v>249</v>
      </c>
      <c r="G538" s="297" t="s">
        <v>250</v>
      </c>
      <c r="J538" s="639">
        <f t="shared" si="18"/>
        <v>0</v>
      </c>
    </row>
    <row r="539" spans="5:10" ht="15.75" hidden="1" thickBot="1">
      <c r="F539" s="278" t="s">
        <v>251</v>
      </c>
      <c r="G539" s="297" t="s">
        <v>252</v>
      </c>
      <c r="J539" s="639">
        <f t="shared" si="18"/>
        <v>0</v>
      </c>
    </row>
    <row r="540" spans="5:10" ht="15.75" hidden="1" thickBot="1">
      <c r="F540" s="278" t="s">
        <v>253</v>
      </c>
      <c r="G540" s="297" t="s">
        <v>254</v>
      </c>
      <c r="J540" s="639">
        <f t="shared" si="18"/>
        <v>0</v>
      </c>
    </row>
    <row r="541" spans="5:10" ht="15.75" hidden="1" thickBot="1">
      <c r="F541" s="278" t="s">
        <v>255</v>
      </c>
      <c r="G541" s="297" t="s">
        <v>256</v>
      </c>
      <c r="J541" s="639">
        <f t="shared" si="18"/>
        <v>0</v>
      </c>
    </row>
    <row r="542" spans="5:10" ht="15.75" hidden="1" thickBot="1">
      <c r="F542" s="278" t="s">
        <v>257</v>
      </c>
      <c r="G542" s="297" t="s">
        <v>258</v>
      </c>
      <c r="J542" s="639">
        <f t="shared" si="18"/>
        <v>0</v>
      </c>
    </row>
    <row r="543" spans="5:10" ht="15.75" hidden="1" thickBot="1">
      <c r="F543" s="278" t="s">
        <v>259</v>
      </c>
      <c r="G543" s="297" t="s">
        <v>260</v>
      </c>
      <c r="J543" s="639">
        <f t="shared" si="18"/>
        <v>0</v>
      </c>
    </row>
    <row r="544" spans="5:10" ht="15.75" hidden="1" thickBot="1">
      <c r="F544" s="278" t="s">
        <v>261</v>
      </c>
      <c r="G544" s="297" t="s">
        <v>262</v>
      </c>
      <c r="H544" s="638"/>
      <c r="I544" s="639"/>
      <c r="J544" s="639">
        <f t="shared" si="18"/>
        <v>0</v>
      </c>
    </row>
    <row r="545" spans="5:10" ht="15.75" thickBot="1">
      <c r="G545" s="274" t="s">
        <v>4210</v>
      </c>
      <c r="H545" s="640">
        <f>SUM(H529)</f>
        <v>25835000</v>
      </c>
      <c r="I545" s="641">
        <f>SUM(I530:I544)</f>
        <v>0</v>
      </c>
      <c r="J545" s="641">
        <f>SUM(J529:J544)</f>
        <v>25835000</v>
      </c>
    </row>
    <row r="546" spans="5:10" ht="14.25" customHeight="1"/>
    <row r="547" spans="5:10">
      <c r="E547" s="286"/>
      <c r="F547" s="288"/>
      <c r="G547" s="295" t="s">
        <v>4212</v>
      </c>
      <c r="H547" s="646"/>
      <c r="I547" s="664"/>
      <c r="J547" s="647"/>
    </row>
    <row r="548" spans="5:10" ht="15.75" thickBot="1">
      <c r="E548" s="267"/>
      <c r="F548" s="278" t="s">
        <v>234</v>
      </c>
      <c r="G548" s="297" t="s">
        <v>235</v>
      </c>
      <c r="H548" s="638">
        <f>SUM(H529)</f>
        <v>25835000</v>
      </c>
      <c r="I548" s="639"/>
      <c r="J548" s="639">
        <f>SUM(H548:I548)</f>
        <v>25835000</v>
      </c>
    </row>
    <row r="549" spans="5:10" ht="15.75" hidden="1" thickBot="1">
      <c r="F549" s="278" t="s">
        <v>236</v>
      </c>
      <c r="G549" s="297" t="s">
        <v>237</v>
      </c>
      <c r="J549" s="639">
        <f t="shared" ref="J549:J563" si="19">SUM(H549:I549)</f>
        <v>0</v>
      </c>
    </row>
    <row r="550" spans="5:10" ht="15.75" hidden="1" thickBot="1">
      <c r="F550" s="278" t="s">
        <v>238</v>
      </c>
      <c r="G550" s="297" t="s">
        <v>239</v>
      </c>
      <c r="J550" s="639">
        <f t="shared" si="19"/>
        <v>0</v>
      </c>
    </row>
    <row r="551" spans="5:10" ht="15.75" hidden="1" thickBot="1">
      <c r="F551" s="278" t="s">
        <v>240</v>
      </c>
      <c r="G551" s="297" t="s">
        <v>241</v>
      </c>
      <c r="J551" s="639">
        <f t="shared" si="19"/>
        <v>0</v>
      </c>
    </row>
    <row r="552" spans="5:10" ht="15.75" hidden="1" thickBot="1">
      <c r="F552" s="278" t="s">
        <v>242</v>
      </c>
      <c r="G552" s="297" t="s">
        <v>243</v>
      </c>
      <c r="J552" s="639">
        <f t="shared" si="19"/>
        <v>0</v>
      </c>
    </row>
    <row r="553" spans="5:10" ht="15.75" hidden="1" thickBot="1">
      <c r="F553" s="278" t="s">
        <v>244</v>
      </c>
      <c r="G553" s="297" t="s">
        <v>245</v>
      </c>
      <c r="J553" s="639">
        <f t="shared" si="19"/>
        <v>0</v>
      </c>
    </row>
    <row r="554" spans="5:10" ht="15.75" hidden="1" thickBot="1">
      <c r="F554" s="278" t="s">
        <v>246</v>
      </c>
      <c r="G554" s="683" t="s">
        <v>5121</v>
      </c>
      <c r="J554" s="639">
        <f t="shared" si="19"/>
        <v>0</v>
      </c>
    </row>
    <row r="555" spans="5:10" ht="15.75" hidden="1" thickBot="1">
      <c r="F555" s="278" t="s">
        <v>247</v>
      </c>
      <c r="G555" s="683" t="s">
        <v>5120</v>
      </c>
      <c r="J555" s="639">
        <f t="shared" si="19"/>
        <v>0</v>
      </c>
    </row>
    <row r="556" spans="5:10" ht="15.75" hidden="1" thickBot="1">
      <c r="F556" s="278" t="s">
        <v>248</v>
      </c>
      <c r="G556" s="297" t="s">
        <v>57</v>
      </c>
      <c r="J556" s="639">
        <f t="shared" si="19"/>
        <v>0</v>
      </c>
    </row>
    <row r="557" spans="5:10" ht="15.75" hidden="1" thickBot="1">
      <c r="F557" s="278" t="s">
        <v>249</v>
      </c>
      <c r="G557" s="297" t="s">
        <v>250</v>
      </c>
      <c r="J557" s="639">
        <f t="shared" si="19"/>
        <v>0</v>
      </c>
    </row>
    <row r="558" spans="5:10" ht="15.75" hidden="1" thickBot="1">
      <c r="F558" s="278" t="s">
        <v>251</v>
      </c>
      <c r="G558" s="297" t="s">
        <v>252</v>
      </c>
      <c r="J558" s="639">
        <f t="shared" si="19"/>
        <v>0</v>
      </c>
    </row>
    <row r="559" spans="5:10" ht="15.75" hidden="1" thickBot="1">
      <c r="F559" s="278" t="s">
        <v>253</v>
      </c>
      <c r="G559" s="297" t="s">
        <v>254</v>
      </c>
      <c r="J559" s="639">
        <f t="shared" si="19"/>
        <v>0</v>
      </c>
    </row>
    <row r="560" spans="5:10" ht="15.75" hidden="1" thickBot="1">
      <c r="F560" s="278" t="s">
        <v>255</v>
      </c>
      <c r="G560" s="297" t="s">
        <v>256</v>
      </c>
      <c r="J560" s="639">
        <f t="shared" si="19"/>
        <v>0</v>
      </c>
    </row>
    <row r="561" spans="5:10" ht="15.75" hidden="1" thickBot="1">
      <c r="F561" s="278" t="s">
        <v>257</v>
      </c>
      <c r="G561" s="297" t="s">
        <v>258</v>
      </c>
      <c r="J561" s="639">
        <f t="shared" si="19"/>
        <v>0</v>
      </c>
    </row>
    <row r="562" spans="5:10" ht="15.75" hidden="1" thickBot="1">
      <c r="F562" s="278" t="s">
        <v>259</v>
      </c>
      <c r="G562" s="297" t="s">
        <v>260</v>
      </c>
      <c r="J562" s="639">
        <f t="shared" si="19"/>
        <v>0</v>
      </c>
    </row>
    <row r="563" spans="5:10" ht="15.75" hidden="1" thickBot="1">
      <c r="F563" s="278" t="s">
        <v>261</v>
      </c>
      <c r="G563" s="297" t="s">
        <v>262</v>
      </c>
      <c r="H563" s="638"/>
      <c r="I563" s="639"/>
      <c r="J563" s="639">
        <f t="shared" si="19"/>
        <v>0</v>
      </c>
    </row>
    <row r="564" spans="5:10" ht="15.75" thickBot="1">
      <c r="G564" s="274" t="s">
        <v>4213</v>
      </c>
      <c r="H564" s="640">
        <f>SUM(H545)</f>
        <v>25835000</v>
      </c>
      <c r="I564" s="641">
        <f>SUM(I549:I563)</f>
        <v>0</v>
      </c>
      <c r="J564" s="641">
        <f>SUM(J548:J563)</f>
        <v>25835000</v>
      </c>
    </row>
    <row r="565" spans="5:10" ht="17.25" hidden="1" customHeight="1"/>
    <row r="566" spans="5:10">
      <c r="E566" s="286"/>
      <c r="F566" s="288"/>
      <c r="G566" s="295" t="s">
        <v>4217</v>
      </c>
      <c r="H566" s="646"/>
      <c r="I566" s="664"/>
      <c r="J566" s="647"/>
    </row>
    <row r="567" spans="5:10" ht="15.75" thickBot="1">
      <c r="E567" s="267"/>
      <c r="F567" s="278" t="s">
        <v>234</v>
      </c>
      <c r="G567" s="297" t="s">
        <v>235</v>
      </c>
      <c r="H567" s="638">
        <f>SUM(H548)</f>
        <v>25835000</v>
      </c>
      <c r="I567" s="639"/>
      <c r="J567" s="639">
        <f>SUM(H567:I567)</f>
        <v>25835000</v>
      </c>
    </row>
    <row r="568" spans="5:10" ht="15.75" hidden="1" thickBot="1">
      <c r="F568" s="278" t="s">
        <v>236</v>
      </c>
      <c r="G568" s="297" t="s">
        <v>237</v>
      </c>
      <c r="J568" s="639">
        <f t="shared" ref="J568:J582" si="20">SUM(H568:I568)</f>
        <v>0</v>
      </c>
    </row>
    <row r="569" spans="5:10" ht="15.75" hidden="1" thickBot="1">
      <c r="F569" s="278" t="s">
        <v>238</v>
      </c>
      <c r="G569" s="297" t="s">
        <v>239</v>
      </c>
      <c r="J569" s="639">
        <f t="shared" si="20"/>
        <v>0</v>
      </c>
    </row>
    <row r="570" spans="5:10" ht="15.75" hidden="1" thickBot="1">
      <c r="F570" s="278" t="s">
        <v>240</v>
      </c>
      <c r="G570" s="297" t="s">
        <v>241</v>
      </c>
      <c r="J570" s="639">
        <f t="shared" si="20"/>
        <v>0</v>
      </c>
    </row>
    <row r="571" spans="5:10" ht="15.75" hidden="1" thickBot="1">
      <c r="F571" s="278" t="s">
        <v>242</v>
      </c>
      <c r="G571" s="297" t="s">
        <v>243</v>
      </c>
      <c r="J571" s="639">
        <f t="shared" si="20"/>
        <v>0</v>
      </c>
    </row>
    <row r="572" spans="5:10" ht="15.75" hidden="1" thickBot="1">
      <c r="F572" s="278" t="s">
        <v>244</v>
      </c>
      <c r="G572" s="297" t="s">
        <v>245</v>
      </c>
      <c r="J572" s="639">
        <f t="shared" si="20"/>
        <v>0</v>
      </c>
    </row>
    <row r="573" spans="5:10" ht="15.75" hidden="1" thickBot="1">
      <c r="F573" s="278" t="s">
        <v>246</v>
      </c>
      <c r="G573" s="683" t="s">
        <v>5121</v>
      </c>
      <c r="J573" s="639">
        <f t="shared" si="20"/>
        <v>0</v>
      </c>
    </row>
    <row r="574" spans="5:10" ht="15.75" hidden="1" thickBot="1">
      <c r="F574" s="278" t="s">
        <v>247</v>
      </c>
      <c r="G574" s="683" t="s">
        <v>5120</v>
      </c>
      <c r="J574" s="639">
        <f t="shared" si="20"/>
        <v>0</v>
      </c>
    </row>
    <row r="575" spans="5:10" ht="15.75" hidden="1" thickBot="1">
      <c r="F575" s="278" t="s">
        <v>248</v>
      </c>
      <c r="G575" s="297" t="s">
        <v>57</v>
      </c>
      <c r="J575" s="639">
        <f t="shared" si="20"/>
        <v>0</v>
      </c>
    </row>
    <row r="576" spans="5:10" ht="15.75" hidden="1" thickBot="1">
      <c r="F576" s="278" t="s">
        <v>249</v>
      </c>
      <c r="G576" s="297" t="s">
        <v>250</v>
      </c>
      <c r="J576" s="639">
        <f t="shared" si="20"/>
        <v>0</v>
      </c>
    </row>
    <row r="577" spans="1:10" ht="15.75" hidden="1" thickBot="1">
      <c r="F577" s="278" t="s">
        <v>251</v>
      </c>
      <c r="G577" s="297" t="s">
        <v>252</v>
      </c>
      <c r="J577" s="639">
        <f t="shared" si="20"/>
        <v>0</v>
      </c>
    </row>
    <row r="578" spans="1:10" ht="15.75" hidden="1" thickBot="1">
      <c r="F578" s="278" t="s">
        <v>253</v>
      </c>
      <c r="G578" s="297" t="s">
        <v>254</v>
      </c>
      <c r="J578" s="639">
        <f t="shared" si="20"/>
        <v>0</v>
      </c>
    </row>
    <row r="579" spans="1:10" ht="15.75" hidden="1" thickBot="1">
      <c r="F579" s="278" t="s">
        <v>255</v>
      </c>
      <c r="G579" s="297" t="s">
        <v>256</v>
      </c>
      <c r="J579" s="639">
        <f t="shared" si="20"/>
        <v>0</v>
      </c>
    </row>
    <row r="580" spans="1:10" ht="15.75" hidden="1" thickBot="1">
      <c r="F580" s="278" t="s">
        <v>257</v>
      </c>
      <c r="G580" s="297" t="s">
        <v>258</v>
      </c>
      <c r="J580" s="639">
        <f t="shared" si="20"/>
        <v>0</v>
      </c>
    </row>
    <row r="581" spans="1:10" ht="15.75" hidden="1" thickBot="1">
      <c r="F581" s="278" t="s">
        <v>259</v>
      </c>
      <c r="G581" s="297" t="s">
        <v>260</v>
      </c>
      <c r="J581" s="639">
        <f t="shared" si="20"/>
        <v>0</v>
      </c>
    </row>
    <row r="582" spans="1:10" ht="15.75" hidden="1" thickBot="1">
      <c r="F582" s="278" t="s">
        <v>261</v>
      </c>
      <c r="G582" s="297" t="s">
        <v>262</v>
      </c>
      <c r="H582" s="638"/>
      <c r="I582" s="639"/>
      <c r="J582" s="639">
        <f t="shared" si="20"/>
        <v>0</v>
      </c>
    </row>
    <row r="583" spans="1:10" ht="22.5" customHeight="1" thickBot="1">
      <c r="G583" s="274" t="s">
        <v>4218</v>
      </c>
      <c r="H583" s="640">
        <f>SUM(H567)</f>
        <v>25835000</v>
      </c>
      <c r="I583" s="641">
        <f>SUM(I568:I582)</f>
        <v>0</v>
      </c>
      <c r="J583" s="641">
        <f>SUM(J567:J582)</f>
        <v>25835000</v>
      </c>
    </row>
    <row r="584" spans="1:10" hidden="1"/>
    <row r="585" spans="1:10" ht="0.75" customHeight="1"/>
    <row r="586" spans="1:10">
      <c r="A586" s="289">
        <v>3</v>
      </c>
      <c r="B586" s="289">
        <v>1</v>
      </c>
      <c r="C586" s="265"/>
      <c r="D586" s="261"/>
      <c r="E586" s="261"/>
      <c r="F586" s="261"/>
      <c r="G586" s="282" t="s">
        <v>5406</v>
      </c>
      <c r="H586" s="632"/>
      <c r="I586" s="633"/>
      <c r="J586" s="633"/>
    </row>
    <row r="587" spans="1:10">
      <c r="C587" s="273" t="s">
        <v>3600</v>
      </c>
      <c r="D587" s="264"/>
      <c r="G587" s="339" t="s">
        <v>4172</v>
      </c>
    </row>
    <row r="588" spans="1:10">
      <c r="C588" s="273" t="s">
        <v>4143</v>
      </c>
      <c r="D588" s="264"/>
      <c r="G588" s="339" t="s">
        <v>4144</v>
      </c>
    </row>
    <row r="589" spans="1:10">
      <c r="C589" s="273"/>
      <c r="D589" s="357">
        <v>330</v>
      </c>
      <c r="E589" s="357"/>
      <c r="F589" s="357"/>
      <c r="G589" s="359" t="s">
        <v>130</v>
      </c>
      <c r="H589" s="648"/>
      <c r="I589" s="649"/>
      <c r="J589" s="649"/>
    </row>
    <row r="590" spans="1:10">
      <c r="E590" s="263">
        <v>21</v>
      </c>
      <c r="F590" s="291">
        <v>411</v>
      </c>
      <c r="G590" s="340" t="s">
        <v>4173</v>
      </c>
      <c r="H590" s="634">
        <v>1184000</v>
      </c>
      <c r="J590" s="635">
        <f>SUM(H590:I590)</f>
        <v>1184000</v>
      </c>
    </row>
    <row r="591" spans="1:10">
      <c r="E591" s="263">
        <v>22</v>
      </c>
      <c r="F591" s="291">
        <v>412</v>
      </c>
      <c r="G591" s="337" t="s">
        <v>3770</v>
      </c>
      <c r="H591" s="634">
        <v>211800</v>
      </c>
      <c r="J591" s="635">
        <f>SUM(H591:I591)</f>
        <v>211800</v>
      </c>
    </row>
    <row r="592" spans="1:10" hidden="1">
      <c r="F592" s="291">
        <v>413</v>
      </c>
      <c r="G592" s="340" t="s">
        <v>4174</v>
      </c>
      <c r="J592" s="635">
        <f t="shared" ref="J592:J600" si="21">SUM(H592:I592)</f>
        <v>0</v>
      </c>
    </row>
    <row r="593" spans="5:10" hidden="1">
      <c r="F593" s="291">
        <v>414</v>
      </c>
      <c r="G593" s="340" t="s">
        <v>3773</v>
      </c>
      <c r="J593" s="635">
        <f t="shared" si="21"/>
        <v>0</v>
      </c>
    </row>
    <row r="594" spans="5:10" hidden="1">
      <c r="F594" s="291">
        <v>415</v>
      </c>
      <c r="G594" s="340" t="s">
        <v>4183</v>
      </c>
      <c r="J594" s="635">
        <f t="shared" si="21"/>
        <v>0</v>
      </c>
    </row>
    <row r="595" spans="5:10" hidden="1">
      <c r="F595" s="291">
        <v>416</v>
      </c>
      <c r="G595" s="340" t="s">
        <v>4184</v>
      </c>
      <c r="J595" s="635">
        <f t="shared" si="21"/>
        <v>0</v>
      </c>
    </row>
    <row r="596" spans="5:10" hidden="1">
      <c r="F596" s="291">
        <v>417</v>
      </c>
      <c r="G596" s="340" t="s">
        <v>4185</v>
      </c>
      <c r="J596" s="635">
        <f t="shared" si="21"/>
        <v>0</v>
      </c>
    </row>
    <row r="597" spans="5:10" hidden="1">
      <c r="F597" s="291">
        <v>418</v>
      </c>
      <c r="G597" s="340" t="s">
        <v>3779</v>
      </c>
      <c r="J597" s="635">
        <f t="shared" si="21"/>
        <v>0</v>
      </c>
    </row>
    <row r="598" spans="5:10" hidden="1">
      <c r="F598" s="291">
        <v>421</v>
      </c>
      <c r="G598" s="340" t="s">
        <v>3783</v>
      </c>
      <c r="J598" s="635">
        <f t="shared" si="21"/>
        <v>0</v>
      </c>
    </row>
    <row r="599" spans="5:10">
      <c r="E599" s="263">
        <v>23</v>
      </c>
      <c r="F599" s="291">
        <v>422</v>
      </c>
      <c r="G599" s="340" t="s">
        <v>3784</v>
      </c>
      <c r="H599" s="634">
        <v>30000</v>
      </c>
      <c r="J599" s="635">
        <f t="shared" si="21"/>
        <v>30000</v>
      </c>
    </row>
    <row r="600" spans="5:10">
      <c r="E600" s="263">
        <v>24</v>
      </c>
      <c r="F600" s="291">
        <v>423</v>
      </c>
      <c r="G600" s="340" t="s">
        <v>3785</v>
      </c>
      <c r="H600" s="634">
        <v>50000</v>
      </c>
      <c r="J600" s="635">
        <f t="shared" si="21"/>
        <v>50000</v>
      </c>
    </row>
    <row r="601" spans="5:10" hidden="1">
      <c r="F601" s="569"/>
      <c r="G601" s="562"/>
    </row>
    <row r="602" spans="5:10" hidden="1">
      <c r="F602" s="291">
        <v>424</v>
      </c>
      <c r="G602" s="340" t="s">
        <v>3787</v>
      </c>
      <c r="J602" s="635">
        <f t="shared" ref="J602:J650" si="22">SUM(H602:I602)</f>
        <v>0</v>
      </c>
    </row>
    <row r="603" spans="5:10" hidden="1">
      <c r="F603" s="291">
        <v>425</v>
      </c>
      <c r="G603" s="340" t="s">
        <v>4186</v>
      </c>
      <c r="J603" s="635">
        <f t="shared" si="22"/>
        <v>0</v>
      </c>
    </row>
    <row r="604" spans="5:10">
      <c r="E604" s="263">
        <v>25</v>
      </c>
      <c r="F604" s="291">
        <v>426</v>
      </c>
      <c r="G604" s="340" t="s">
        <v>3791</v>
      </c>
      <c r="H604" s="634">
        <v>30000</v>
      </c>
      <c r="J604" s="635">
        <f t="shared" si="22"/>
        <v>30000</v>
      </c>
    </row>
    <row r="605" spans="5:10" hidden="1">
      <c r="F605" s="291">
        <v>431</v>
      </c>
      <c r="G605" s="340" t="s">
        <v>4187</v>
      </c>
      <c r="J605" s="635">
        <f t="shared" si="22"/>
        <v>0</v>
      </c>
    </row>
    <row r="606" spans="5:10" hidden="1">
      <c r="F606" s="291">
        <v>432</v>
      </c>
      <c r="G606" s="340" t="s">
        <v>4188</v>
      </c>
      <c r="J606" s="635">
        <f t="shared" si="22"/>
        <v>0</v>
      </c>
    </row>
    <row r="607" spans="5:10" hidden="1">
      <c r="F607" s="291">
        <v>433</v>
      </c>
      <c r="G607" s="340" t="s">
        <v>4189</v>
      </c>
      <c r="J607" s="635">
        <f t="shared" si="22"/>
        <v>0</v>
      </c>
    </row>
    <row r="608" spans="5:10" hidden="1">
      <c r="F608" s="291">
        <v>434</v>
      </c>
      <c r="G608" s="340" t="s">
        <v>4190</v>
      </c>
      <c r="J608" s="635">
        <f t="shared" si="22"/>
        <v>0</v>
      </c>
    </row>
    <row r="609" spans="6:10" hidden="1">
      <c r="F609" s="291">
        <v>435</v>
      </c>
      <c r="G609" s="340" t="s">
        <v>3798</v>
      </c>
      <c r="J609" s="635">
        <f t="shared" si="22"/>
        <v>0</v>
      </c>
    </row>
    <row r="610" spans="6:10" hidden="1">
      <c r="F610" s="291">
        <v>441</v>
      </c>
      <c r="G610" s="340" t="s">
        <v>4191</v>
      </c>
      <c r="J610" s="635">
        <f t="shared" si="22"/>
        <v>0</v>
      </c>
    </row>
    <row r="611" spans="6:10" hidden="1">
      <c r="F611" s="291">
        <v>442</v>
      </c>
      <c r="G611" s="340" t="s">
        <v>4192</v>
      </c>
      <c r="J611" s="635">
        <f t="shared" si="22"/>
        <v>0</v>
      </c>
    </row>
    <row r="612" spans="6:10" hidden="1">
      <c r="F612" s="291">
        <v>443</v>
      </c>
      <c r="G612" s="340" t="s">
        <v>3803</v>
      </c>
      <c r="J612" s="635">
        <f t="shared" si="22"/>
        <v>0</v>
      </c>
    </row>
    <row r="613" spans="6:10" hidden="1">
      <c r="F613" s="291">
        <v>444</v>
      </c>
      <c r="G613" s="340" t="s">
        <v>3804</v>
      </c>
      <c r="J613" s="635">
        <f t="shared" si="22"/>
        <v>0</v>
      </c>
    </row>
    <row r="614" spans="6:10" ht="30" hidden="1">
      <c r="F614" s="291">
        <v>4511</v>
      </c>
      <c r="G614" s="268" t="s">
        <v>1690</v>
      </c>
      <c r="J614" s="635">
        <f t="shared" si="22"/>
        <v>0</v>
      </c>
    </row>
    <row r="615" spans="6:10" ht="30" hidden="1">
      <c r="F615" s="291">
        <v>4512</v>
      </c>
      <c r="G615" s="268" t="s">
        <v>1699</v>
      </c>
      <c r="J615" s="635">
        <f t="shared" si="22"/>
        <v>0</v>
      </c>
    </row>
    <row r="616" spans="6:10" hidden="1">
      <c r="F616" s="291">
        <v>452</v>
      </c>
      <c r="G616" s="340" t="s">
        <v>4193</v>
      </c>
      <c r="J616" s="635">
        <f t="shared" si="22"/>
        <v>0</v>
      </c>
    </row>
    <row r="617" spans="6:10" hidden="1">
      <c r="F617" s="291">
        <v>453</v>
      </c>
      <c r="G617" s="340" t="s">
        <v>4194</v>
      </c>
      <c r="J617" s="635">
        <f t="shared" si="22"/>
        <v>0</v>
      </c>
    </row>
    <row r="618" spans="6:10" hidden="1">
      <c r="F618" s="291">
        <v>454</v>
      </c>
      <c r="G618" s="340" t="s">
        <v>3809</v>
      </c>
      <c r="J618" s="635">
        <f t="shared" si="22"/>
        <v>0</v>
      </c>
    </row>
    <row r="619" spans="6:10" hidden="1">
      <c r="F619" s="291">
        <v>461</v>
      </c>
      <c r="G619" s="340" t="s">
        <v>4175</v>
      </c>
      <c r="J619" s="635">
        <f t="shared" si="22"/>
        <v>0</v>
      </c>
    </row>
    <row r="620" spans="6:10" hidden="1">
      <c r="F620" s="291">
        <v>462</v>
      </c>
      <c r="G620" s="340" t="s">
        <v>3812</v>
      </c>
      <c r="J620" s="635">
        <f t="shared" si="22"/>
        <v>0</v>
      </c>
    </row>
    <row r="621" spans="6:10" hidden="1">
      <c r="F621" s="291">
        <v>4631</v>
      </c>
      <c r="G621" s="340" t="s">
        <v>3813</v>
      </c>
      <c r="J621" s="635">
        <f t="shared" si="22"/>
        <v>0</v>
      </c>
    </row>
    <row r="622" spans="6:10" hidden="1">
      <c r="F622" s="291">
        <v>4632</v>
      </c>
      <c r="G622" s="340" t="s">
        <v>3814</v>
      </c>
      <c r="J622" s="635">
        <f t="shared" si="22"/>
        <v>0</v>
      </c>
    </row>
    <row r="623" spans="6:10" hidden="1">
      <c r="F623" s="291">
        <v>464</v>
      </c>
      <c r="G623" s="340" t="s">
        <v>3815</v>
      </c>
      <c r="J623" s="635">
        <f t="shared" si="22"/>
        <v>0</v>
      </c>
    </row>
    <row r="624" spans="6:10" hidden="1">
      <c r="F624" s="291">
        <v>465</v>
      </c>
      <c r="G624" s="340" t="s">
        <v>4176</v>
      </c>
      <c r="J624" s="635">
        <f t="shared" si="22"/>
        <v>0</v>
      </c>
    </row>
    <row r="625" spans="6:10" hidden="1">
      <c r="F625" s="291">
        <v>472</v>
      </c>
      <c r="G625" s="340" t="s">
        <v>3819</v>
      </c>
      <c r="J625" s="635">
        <f t="shared" si="22"/>
        <v>0</v>
      </c>
    </row>
    <row r="626" spans="6:10" ht="15.75" hidden="1" thickBot="1">
      <c r="F626" s="291">
        <v>481</v>
      </c>
      <c r="G626" s="340" t="s">
        <v>4195</v>
      </c>
      <c r="J626" s="635">
        <f t="shared" si="22"/>
        <v>0</v>
      </c>
    </row>
    <row r="627" spans="6:10" ht="15.75" hidden="1" thickBot="1">
      <c r="F627" s="291">
        <v>482</v>
      </c>
      <c r="G627" s="340" t="s">
        <v>4196</v>
      </c>
      <c r="J627" s="635">
        <f t="shared" si="22"/>
        <v>0</v>
      </c>
    </row>
    <row r="628" spans="6:10" ht="15.75" hidden="1" thickBot="1">
      <c r="F628" s="291">
        <v>483</v>
      </c>
      <c r="G628" s="343" t="s">
        <v>4197</v>
      </c>
      <c r="J628" s="635">
        <f t="shared" si="22"/>
        <v>0</v>
      </c>
    </row>
    <row r="629" spans="6:10" ht="30.75" hidden="1" thickBot="1">
      <c r="F629" s="291">
        <v>484</v>
      </c>
      <c r="G629" s="340" t="s">
        <v>4198</v>
      </c>
      <c r="J629" s="635">
        <f t="shared" si="22"/>
        <v>0</v>
      </c>
    </row>
    <row r="630" spans="6:10" ht="30.75" hidden="1" thickBot="1">
      <c r="F630" s="291">
        <v>485</v>
      </c>
      <c r="G630" s="340" t="s">
        <v>4199</v>
      </c>
      <c r="J630" s="635">
        <f t="shared" si="22"/>
        <v>0</v>
      </c>
    </row>
    <row r="631" spans="6:10" ht="30.75" hidden="1" thickBot="1">
      <c r="F631" s="291">
        <v>489</v>
      </c>
      <c r="G631" s="340" t="s">
        <v>3827</v>
      </c>
      <c r="J631" s="635">
        <f t="shared" si="22"/>
        <v>0</v>
      </c>
    </row>
    <row r="632" spans="6:10" ht="15.75" hidden="1" thickBot="1">
      <c r="F632" s="291">
        <v>494</v>
      </c>
      <c r="G632" s="340" t="s">
        <v>4177</v>
      </c>
      <c r="J632" s="635">
        <f t="shared" si="22"/>
        <v>0</v>
      </c>
    </row>
    <row r="633" spans="6:10" ht="30.75" hidden="1" thickBot="1">
      <c r="F633" s="291">
        <v>495</v>
      </c>
      <c r="G633" s="340" t="s">
        <v>4178</v>
      </c>
      <c r="J633" s="635">
        <f t="shared" si="22"/>
        <v>0</v>
      </c>
    </row>
    <row r="634" spans="6:10" ht="30.75" hidden="1" thickBot="1">
      <c r="F634" s="291">
        <v>496</v>
      </c>
      <c r="G634" s="340" t="s">
        <v>4179</v>
      </c>
      <c r="J634" s="635">
        <f t="shared" si="22"/>
        <v>0</v>
      </c>
    </row>
    <row r="635" spans="6:10" ht="15.75" hidden="1" thickBot="1">
      <c r="F635" s="291">
        <v>499</v>
      </c>
      <c r="G635" s="340" t="s">
        <v>4180</v>
      </c>
      <c r="J635" s="635">
        <f t="shared" si="22"/>
        <v>0</v>
      </c>
    </row>
    <row r="636" spans="6:10" ht="15.75" hidden="1" thickBot="1">
      <c r="F636" s="291">
        <v>511</v>
      </c>
      <c r="G636" s="343" t="s">
        <v>4200</v>
      </c>
      <c r="J636" s="635">
        <f t="shared" si="22"/>
        <v>0</v>
      </c>
    </row>
    <row r="637" spans="6:10" ht="15.75" hidden="1" thickBot="1">
      <c r="F637" s="291">
        <v>512</v>
      </c>
      <c r="G637" s="343" t="s">
        <v>4201</v>
      </c>
      <c r="J637" s="635">
        <f t="shared" si="22"/>
        <v>0</v>
      </c>
    </row>
    <row r="638" spans="6:10" ht="15.75" hidden="1" thickBot="1">
      <c r="F638" s="291">
        <v>513</v>
      </c>
      <c r="G638" s="343" t="s">
        <v>4202</v>
      </c>
      <c r="J638" s="635">
        <f t="shared" si="22"/>
        <v>0</v>
      </c>
    </row>
    <row r="639" spans="6:10" ht="15.75" hidden="1" thickBot="1">
      <c r="F639" s="291">
        <v>514</v>
      </c>
      <c r="G639" s="340" t="s">
        <v>4203</v>
      </c>
      <c r="J639" s="635">
        <f t="shared" si="22"/>
        <v>0</v>
      </c>
    </row>
    <row r="640" spans="6:10" ht="15.75" hidden="1" thickBot="1">
      <c r="F640" s="291">
        <v>515</v>
      </c>
      <c r="G640" s="340" t="s">
        <v>3838</v>
      </c>
      <c r="J640" s="635">
        <f t="shared" si="22"/>
        <v>0</v>
      </c>
    </row>
    <row r="641" spans="5:10" ht="15.75" hidden="1" thickBot="1">
      <c r="F641" s="291">
        <v>521</v>
      </c>
      <c r="G641" s="340" t="s">
        <v>4204</v>
      </c>
      <c r="J641" s="635">
        <f t="shared" si="22"/>
        <v>0</v>
      </c>
    </row>
    <row r="642" spans="5:10" ht="15.75" hidden="1" thickBot="1">
      <c r="F642" s="291">
        <v>522</v>
      </c>
      <c r="G642" s="340" t="s">
        <v>4205</v>
      </c>
      <c r="J642" s="635">
        <f t="shared" si="22"/>
        <v>0</v>
      </c>
    </row>
    <row r="643" spans="5:10" ht="15.75" hidden="1" thickBot="1">
      <c r="F643" s="291">
        <v>523</v>
      </c>
      <c r="G643" s="340" t="s">
        <v>3843</v>
      </c>
      <c r="J643" s="635">
        <f t="shared" si="22"/>
        <v>0</v>
      </c>
    </row>
    <row r="644" spans="5:10" ht="15.75" hidden="1" thickBot="1">
      <c r="F644" s="291">
        <v>531</v>
      </c>
      <c r="G644" s="337" t="s">
        <v>4181</v>
      </c>
      <c r="J644" s="635">
        <f t="shared" si="22"/>
        <v>0</v>
      </c>
    </row>
    <row r="645" spans="5:10" ht="15.75" hidden="1" thickBot="1">
      <c r="F645" s="291">
        <v>541</v>
      </c>
      <c r="G645" s="340" t="s">
        <v>4206</v>
      </c>
      <c r="J645" s="635">
        <f t="shared" si="22"/>
        <v>0</v>
      </c>
    </row>
    <row r="646" spans="5:10" ht="15.75" hidden="1" thickBot="1">
      <c r="F646" s="291">
        <v>542</v>
      </c>
      <c r="G646" s="340" t="s">
        <v>4207</v>
      </c>
      <c r="J646" s="635">
        <f t="shared" si="22"/>
        <v>0</v>
      </c>
    </row>
    <row r="647" spans="5:10" ht="15.75" hidden="1" thickBot="1">
      <c r="F647" s="291">
        <v>543</v>
      </c>
      <c r="G647" s="340" t="s">
        <v>3848</v>
      </c>
      <c r="J647" s="635">
        <f t="shared" si="22"/>
        <v>0</v>
      </c>
    </row>
    <row r="648" spans="5:10" ht="30.75" hidden="1" thickBot="1">
      <c r="F648" s="291">
        <v>551</v>
      </c>
      <c r="G648" s="340" t="s">
        <v>4182</v>
      </c>
      <c r="J648" s="635">
        <f t="shared" si="22"/>
        <v>0</v>
      </c>
    </row>
    <row r="649" spans="5:10" ht="15.75" hidden="1" thickBot="1">
      <c r="F649" s="292">
        <v>611</v>
      </c>
      <c r="G649" s="344" t="s">
        <v>3854</v>
      </c>
      <c r="J649" s="635">
        <f t="shared" si="22"/>
        <v>0</v>
      </c>
    </row>
    <row r="650" spans="5:10" ht="14.25" customHeight="1" thickBot="1">
      <c r="E650" s="263">
        <v>26</v>
      </c>
      <c r="F650" s="292">
        <v>465</v>
      </c>
      <c r="G650" s="568" t="s">
        <v>4176</v>
      </c>
      <c r="H650" s="634">
        <v>165000</v>
      </c>
      <c r="J650" s="635">
        <f t="shared" si="22"/>
        <v>165000</v>
      </c>
    </row>
    <row r="651" spans="5:10">
      <c r="E651" s="338"/>
      <c r="F651" s="346"/>
      <c r="G651" s="372" t="s">
        <v>4349</v>
      </c>
      <c r="H651" s="636"/>
      <c r="I651" s="662"/>
      <c r="J651" s="637"/>
    </row>
    <row r="652" spans="5:10" ht="15.75" thickBot="1">
      <c r="E652" s="267"/>
      <c r="F652" s="294" t="s">
        <v>234</v>
      </c>
      <c r="G652" s="297" t="s">
        <v>235</v>
      </c>
      <c r="H652" s="638">
        <f>SUM(H590:H650)</f>
        <v>1670800</v>
      </c>
      <c r="I652" s="639"/>
      <c r="J652" s="639">
        <f t="shared" ref="J652:J667" si="23">SUM(H652:I652)</f>
        <v>1670800</v>
      </c>
    </row>
    <row r="653" spans="5:10" ht="15.75" hidden="1" thickBot="1">
      <c r="F653" s="294" t="s">
        <v>236</v>
      </c>
      <c r="G653" s="297" t="s">
        <v>237</v>
      </c>
      <c r="J653" s="639">
        <f t="shared" si="23"/>
        <v>0</v>
      </c>
    </row>
    <row r="654" spans="5:10" ht="15.75" hidden="1" thickBot="1">
      <c r="F654" s="294" t="s">
        <v>238</v>
      </c>
      <c r="G654" s="297" t="s">
        <v>239</v>
      </c>
      <c r="J654" s="639">
        <f t="shared" si="23"/>
        <v>0</v>
      </c>
    </row>
    <row r="655" spans="5:10" ht="15.75" hidden="1" thickBot="1">
      <c r="F655" s="294" t="s">
        <v>240</v>
      </c>
      <c r="G655" s="297" t="s">
        <v>241</v>
      </c>
      <c r="J655" s="639">
        <f t="shared" si="23"/>
        <v>0</v>
      </c>
    </row>
    <row r="656" spans="5:10" ht="15.75" hidden="1" thickBot="1">
      <c r="F656" s="294" t="s">
        <v>242</v>
      </c>
      <c r="G656" s="297" t="s">
        <v>243</v>
      </c>
      <c r="J656" s="639">
        <f t="shared" si="23"/>
        <v>0</v>
      </c>
    </row>
    <row r="657" spans="5:10" ht="15.75" hidden="1" thickBot="1">
      <c r="F657" s="294" t="s">
        <v>244</v>
      </c>
      <c r="G657" s="297" t="s">
        <v>245</v>
      </c>
      <c r="J657" s="639">
        <f t="shared" si="23"/>
        <v>0</v>
      </c>
    </row>
    <row r="658" spans="5:10" ht="15.75" hidden="1" thickBot="1">
      <c r="F658" s="294" t="s">
        <v>246</v>
      </c>
      <c r="G658" s="683" t="s">
        <v>5121</v>
      </c>
      <c r="J658" s="639">
        <f t="shared" si="23"/>
        <v>0</v>
      </c>
    </row>
    <row r="659" spans="5:10" ht="15.75" hidden="1" thickBot="1">
      <c r="F659" s="294" t="s">
        <v>247</v>
      </c>
      <c r="G659" s="683" t="s">
        <v>5120</v>
      </c>
      <c r="J659" s="639">
        <f t="shared" si="23"/>
        <v>0</v>
      </c>
    </row>
    <row r="660" spans="5:10" ht="15.75" hidden="1" thickBot="1">
      <c r="F660" s="294" t="s">
        <v>248</v>
      </c>
      <c r="G660" s="297" t="s">
        <v>57</v>
      </c>
      <c r="J660" s="639">
        <f t="shared" si="23"/>
        <v>0</v>
      </c>
    </row>
    <row r="661" spans="5:10" ht="15.75" hidden="1" thickBot="1">
      <c r="F661" s="294" t="s">
        <v>249</v>
      </c>
      <c r="G661" s="297" t="s">
        <v>250</v>
      </c>
      <c r="J661" s="639">
        <f t="shared" si="23"/>
        <v>0</v>
      </c>
    </row>
    <row r="662" spans="5:10" ht="15.75" hidden="1" thickBot="1">
      <c r="F662" s="294" t="s">
        <v>251</v>
      </c>
      <c r="G662" s="297" t="s">
        <v>252</v>
      </c>
      <c r="J662" s="639">
        <f t="shared" si="23"/>
        <v>0</v>
      </c>
    </row>
    <row r="663" spans="5:10" ht="15.75" hidden="1" thickBot="1">
      <c r="F663" s="294" t="s">
        <v>253</v>
      </c>
      <c r="G663" s="297" t="s">
        <v>254</v>
      </c>
      <c r="J663" s="639">
        <f t="shared" si="23"/>
        <v>0</v>
      </c>
    </row>
    <row r="664" spans="5:10" ht="15.75" hidden="1" thickBot="1">
      <c r="F664" s="294" t="s">
        <v>255</v>
      </c>
      <c r="G664" s="297" t="s">
        <v>256</v>
      </c>
      <c r="J664" s="639">
        <f t="shared" si="23"/>
        <v>0</v>
      </c>
    </row>
    <row r="665" spans="5:10" ht="15.75" hidden="1" thickBot="1">
      <c r="F665" s="294" t="s">
        <v>257</v>
      </c>
      <c r="G665" s="297" t="s">
        <v>258</v>
      </c>
      <c r="J665" s="639">
        <f t="shared" si="23"/>
        <v>0</v>
      </c>
    </row>
    <row r="666" spans="5:10" ht="15.75" hidden="1" thickBot="1">
      <c r="F666" s="294" t="s">
        <v>259</v>
      </c>
      <c r="G666" s="297" t="s">
        <v>260</v>
      </c>
      <c r="J666" s="639">
        <f t="shared" si="23"/>
        <v>0</v>
      </c>
    </row>
    <row r="667" spans="5:10" ht="15.75" hidden="1" thickBot="1">
      <c r="F667" s="294" t="s">
        <v>261</v>
      </c>
      <c r="G667" s="297" t="s">
        <v>262</v>
      </c>
      <c r="H667" s="638"/>
      <c r="I667" s="639"/>
      <c r="J667" s="639">
        <f t="shared" si="23"/>
        <v>0</v>
      </c>
    </row>
    <row r="668" spans="5:10" ht="15.75" thickBot="1">
      <c r="G668" s="274" t="s">
        <v>4290</v>
      </c>
      <c r="H668" s="640">
        <f>SUM(H652:H667)</f>
        <v>1670800</v>
      </c>
      <c r="I668" s="641">
        <f>SUM(I653:I667)</f>
        <v>0</v>
      </c>
      <c r="J668" s="641">
        <f>SUM(J652:J667)</f>
        <v>1670800</v>
      </c>
    </row>
    <row r="669" spans="5:10" collapsed="1">
      <c r="E669" s="338"/>
      <c r="F669" s="346"/>
      <c r="G669" s="276" t="s">
        <v>4291</v>
      </c>
      <c r="H669" s="642"/>
      <c r="I669" s="663"/>
      <c r="J669" s="643"/>
    </row>
    <row r="670" spans="5:10" ht="15.75" thickBot="1">
      <c r="E670" s="267"/>
      <c r="F670" s="294" t="s">
        <v>234</v>
      </c>
      <c r="G670" s="297" t="s">
        <v>235</v>
      </c>
      <c r="H670" s="638">
        <f>SUM(H590:H650)</f>
        <v>1670800</v>
      </c>
      <c r="I670" s="639"/>
      <c r="J670" s="639">
        <f>SUM(H670:I670)</f>
        <v>1670800</v>
      </c>
    </row>
    <row r="671" spans="5:10" ht="15.75" hidden="1" thickBot="1">
      <c r="F671" s="294" t="s">
        <v>236</v>
      </c>
      <c r="G671" s="297" t="s">
        <v>237</v>
      </c>
      <c r="J671" s="639">
        <f t="shared" ref="J671:J685" si="24">SUM(H671:I671)</f>
        <v>0</v>
      </c>
    </row>
    <row r="672" spans="5:10" ht="15.75" hidden="1" thickBot="1">
      <c r="F672" s="294" t="s">
        <v>238</v>
      </c>
      <c r="G672" s="297" t="s">
        <v>239</v>
      </c>
      <c r="J672" s="639">
        <f t="shared" si="24"/>
        <v>0</v>
      </c>
    </row>
    <row r="673" spans="5:10" ht="15.75" hidden="1" thickBot="1">
      <c r="F673" s="294" t="s">
        <v>240</v>
      </c>
      <c r="G673" s="297" t="s">
        <v>241</v>
      </c>
      <c r="J673" s="639">
        <f t="shared" si="24"/>
        <v>0</v>
      </c>
    </row>
    <row r="674" spans="5:10" ht="15.75" hidden="1" thickBot="1">
      <c r="F674" s="294" t="s">
        <v>242</v>
      </c>
      <c r="G674" s="297" t="s">
        <v>243</v>
      </c>
      <c r="J674" s="639">
        <f t="shared" si="24"/>
        <v>0</v>
      </c>
    </row>
    <row r="675" spans="5:10" ht="15.75" hidden="1" thickBot="1">
      <c r="F675" s="294" t="s">
        <v>244</v>
      </c>
      <c r="G675" s="297" t="s">
        <v>245</v>
      </c>
      <c r="J675" s="639">
        <f t="shared" si="24"/>
        <v>0</v>
      </c>
    </row>
    <row r="676" spans="5:10" ht="15.75" hidden="1" thickBot="1">
      <c r="F676" s="294" t="s">
        <v>246</v>
      </c>
      <c r="G676" s="683" t="s">
        <v>5121</v>
      </c>
      <c r="J676" s="639">
        <f t="shared" si="24"/>
        <v>0</v>
      </c>
    </row>
    <row r="677" spans="5:10" ht="15.75" hidden="1" thickBot="1">
      <c r="F677" s="294" t="s">
        <v>247</v>
      </c>
      <c r="G677" s="683" t="s">
        <v>5120</v>
      </c>
      <c r="J677" s="639">
        <f t="shared" si="24"/>
        <v>0</v>
      </c>
    </row>
    <row r="678" spans="5:10" ht="15.75" hidden="1" thickBot="1">
      <c r="F678" s="294" t="s">
        <v>248</v>
      </c>
      <c r="G678" s="297" t="s">
        <v>57</v>
      </c>
      <c r="J678" s="639">
        <f t="shared" si="24"/>
        <v>0</v>
      </c>
    </row>
    <row r="679" spans="5:10" ht="15.75" hidden="1" thickBot="1">
      <c r="F679" s="294" t="s">
        <v>249</v>
      </c>
      <c r="G679" s="297" t="s">
        <v>250</v>
      </c>
      <c r="J679" s="639">
        <f t="shared" si="24"/>
        <v>0</v>
      </c>
    </row>
    <row r="680" spans="5:10" ht="15.75" hidden="1" thickBot="1">
      <c r="F680" s="294" t="s">
        <v>251</v>
      </c>
      <c r="G680" s="297" t="s">
        <v>252</v>
      </c>
      <c r="J680" s="639">
        <f t="shared" si="24"/>
        <v>0</v>
      </c>
    </row>
    <row r="681" spans="5:10" ht="15.75" hidden="1" thickBot="1">
      <c r="F681" s="294" t="s">
        <v>253</v>
      </c>
      <c r="G681" s="297" t="s">
        <v>254</v>
      </c>
      <c r="J681" s="639">
        <f t="shared" si="24"/>
        <v>0</v>
      </c>
    </row>
    <row r="682" spans="5:10" ht="15.75" hidden="1" thickBot="1">
      <c r="F682" s="294" t="s">
        <v>255</v>
      </c>
      <c r="G682" s="297" t="s">
        <v>256</v>
      </c>
      <c r="J682" s="639">
        <f t="shared" si="24"/>
        <v>0</v>
      </c>
    </row>
    <row r="683" spans="5:10" ht="15.75" hidden="1" thickBot="1">
      <c r="F683" s="294" t="s">
        <v>257</v>
      </c>
      <c r="G683" s="297" t="s">
        <v>258</v>
      </c>
      <c r="J683" s="639">
        <f t="shared" si="24"/>
        <v>0</v>
      </c>
    </row>
    <row r="684" spans="5:10" ht="15.75" hidden="1" thickBot="1">
      <c r="F684" s="294" t="s">
        <v>259</v>
      </c>
      <c r="G684" s="297" t="s">
        <v>260</v>
      </c>
      <c r="J684" s="639">
        <f t="shared" si="24"/>
        <v>0</v>
      </c>
    </row>
    <row r="685" spans="5:10" ht="15.75" hidden="1" thickBot="1">
      <c r="F685" s="294" t="s">
        <v>261</v>
      </c>
      <c r="G685" s="297" t="s">
        <v>262</v>
      </c>
      <c r="H685" s="638"/>
      <c r="I685" s="639"/>
      <c r="J685" s="639">
        <f t="shared" si="24"/>
        <v>0</v>
      </c>
    </row>
    <row r="686" spans="5:10" ht="15.75" collapsed="1" thickBot="1">
      <c r="G686" s="274" t="s">
        <v>4292</v>
      </c>
      <c r="H686" s="640">
        <f>SUM(H670:H685)</f>
        <v>1670800</v>
      </c>
      <c r="I686" s="641">
        <f>SUM(I671:I685)</f>
        <v>0</v>
      </c>
      <c r="J686" s="641">
        <f>SUM(J670:J685)</f>
        <v>1670800</v>
      </c>
    </row>
    <row r="687" spans="5:10" ht="15.75" hidden="1" customHeight="1"/>
    <row r="688" spans="5:10">
      <c r="E688" s="290"/>
      <c r="F688" s="292"/>
      <c r="G688" s="295" t="s">
        <v>4209</v>
      </c>
      <c r="H688" s="646"/>
      <c r="I688" s="664"/>
      <c r="J688" s="647"/>
    </row>
    <row r="689" spans="5:10" ht="15.75" thickBot="1">
      <c r="E689" s="267"/>
      <c r="F689" s="278" t="s">
        <v>234</v>
      </c>
      <c r="G689" s="297" t="s">
        <v>235</v>
      </c>
      <c r="H689" s="638">
        <f>SUM(H670)</f>
        <v>1670800</v>
      </c>
      <c r="I689" s="639"/>
      <c r="J689" s="639">
        <f>SUM(H689:I689)</f>
        <v>1670800</v>
      </c>
    </row>
    <row r="690" spans="5:10" ht="15.75" hidden="1" thickBot="1">
      <c r="F690" s="278" t="s">
        <v>236</v>
      </c>
      <c r="G690" s="297" t="s">
        <v>237</v>
      </c>
      <c r="J690" s="639">
        <f t="shared" ref="J690:J704" si="25">SUM(H690:I690)</f>
        <v>0</v>
      </c>
    </row>
    <row r="691" spans="5:10" ht="15.75" hidden="1" thickBot="1">
      <c r="F691" s="278" t="s">
        <v>238</v>
      </c>
      <c r="G691" s="297" t="s">
        <v>239</v>
      </c>
      <c r="J691" s="639">
        <f t="shared" si="25"/>
        <v>0</v>
      </c>
    </row>
    <row r="692" spans="5:10" ht="15.75" hidden="1" thickBot="1">
      <c r="F692" s="278" t="s">
        <v>240</v>
      </c>
      <c r="G692" s="297" t="s">
        <v>241</v>
      </c>
      <c r="J692" s="639">
        <f t="shared" si="25"/>
        <v>0</v>
      </c>
    </row>
    <row r="693" spans="5:10" ht="15.75" hidden="1" thickBot="1">
      <c r="F693" s="278" t="s">
        <v>242</v>
      </c>
      <c r="G693" s="297" t="s">
        <v>243</v>
      </c>
      <c r="J693" s="639">
        <f t="shared" si="25"/>
        <v>0</v>
      </c>
    </row>
    <row r="694" spans="5:10" ht="15.75" hidden="1" thickBot="1">
      <c r="F694" s="278" t="s">
        <v>244</v>
      </c>
      <c r="G694" s="297" t="s">
        <v>245</v>
      </c>
      <c r="J694" s="639">
        <f t="shared" si="25"/>
        <v>0</v>
      </c>
    </row>
    <row r="695" spans="5:10" ht="15.75" hidden="1" thickBot="1">
      <c r="F695" s="278" t="s">
        <v>246</v>
      </c>
      <c r="G695" s="683" t="s">
        <v>5121</v>
      </c>
      <c r="J695" s="639">
        <f t="shared" si="25"/>
        <v>0</v>
      </c>
    </row>
    <row r="696" spans="5:10" ht="15.75" hidden="1" thickBot="1">
      <c r="F696" s="278" t="s">
        <v>247</v>
      </c>
      <c r="G696" s="683" t="s">
        <v>5120</v>
      </c>
      <c r="J696" s="639">
        <f t="shared" si="25"/>
        <v>0</v>
      </c>
    </row>
    <row r="697" spans="5:10" ht="15.75" hidden="1" thickBot="1">
      <c r="F697" s="278" t="s">
        <v>248</v>
      </c>
      <c r="G697" s="297" t="s">
        <v>57</v>
      </c>
      <c r="J697" s="639">
        <f t="shared" si="25"/>
        <v>0</v>
      </c>
    </row>
    <row r="698" spans="5:10" ht="15.75" hidden="1" thickBot="1">
      <c r="F698" s="278" t="s">
        <v>249</v>
      </c>
      <c r="G698" s="297" t="s">
        <v>250</v>
      </c>
      <c r="J698" s="639">
        <f t="shared" si="25"/>
        <v>0</v>
      </c>
    </row>
    <row r="699" spans="5:10" ht="15.75" hidden="1" thickBot="1">
      <c r="F699" s="278" t="s">
        <v>251</v>
      </c>
      <c r="G699" s="297" t="s">
        <v>252</v>
      </c>
      <c r="J699" s="639">
        <f t="shared" si="25"/>
        <v>0</v>
      </c>
    </row>
    <row r="700" spans="5:10" ht="15.75" hidden="1" thickBot="1">
      <c r="F700" s="278" t="s">
        <v>253</v>
      </c>
      <c r="G700" s="297" t="s">
        <v>254</v>
      </c>
      <c r="J700" s="639">
        <f t="shared" si="25"/>
        <v>0</v>
      </c>
    </row>
    <row r="701" spans="5:10" ht="15.75" hidden="1" thickBot="1">
      <c r="F701" s="278" t="s">
        <v>255</v>
      </c>
      <c r="G701" s="297" t="s">
        <v>256</v>
      </c>
      <c r="J701" s="639">
        <f t="shared" si="25"/>
        <v>0</v>
      </c>
    </row>
    <row r="702" spans="5:10" ht="15.75" hidden="1" thickBot="1">
      <c r="F702" s="278" t="s">
        <v>257</v>
      </c>
      <c r="G702" s="297" t="s">
        <v>258</v>
      </c>
      <c r="J702" s="639">
        <f t="shared" si="25"/>
        <v>0</v>
      </c>
    </row>
    <row r="703" spans="5:10" ht="15.75" hidden="1" thickBot="1">
      <c r="F703" s="278" t="s">
        <v>259</v>
      </c>
      <c r="G703" s="297" t="s">
        <v>260</v>
      </c>
      <c r="J703" s="639">
        <f t="shared" si="25"/>
        <v>0</v>
      </c>
    </row>
    <row r="704" spans="5:10" ht="15.75" hidden="1" thickBot="1">
      <c r="F704" s="278" t="s">
        <v>261</v>
      </c>
      <c r="G704" s="297" t="s">
        <v>262</v>
      </c>
      <c r="H704" s="638"/>
      <c r="I704" s="639"/>
      <c r="J704" s="639">
        <f t="shared" si="25"/>
        <v>0</v>
      </c>
    </row>
    <row r="705" spans="5:10" ht="15.75" thickBot="1">
      <c r="G705" s="274" t="s">
        <v>4210</v>
      </c>
      <c r="H705" s="640">
        <f>SUM(H689:H704)</f>
        <v>1670800</v>
      </c>
      <c r="I705" s="641">
        <f>SUM(I690:I704)</f>
        <v>0</v>
      </c>
      <c r="J705" s="641">
        <f>SUM(J689:J704)</f>
        <v>1670800</v>
      </c>
    </row>
    <row r="706" spans="5:10" ht="15" customHeight="1"/>
    <row r="707" spans="5:10">
      <c r="E707" s="290"/>
      <c r="F707" s="292"/>
      <c r="G707" s="295" t="s">
        <v>4212</v>
      </c>
      <c r="H707" s="646"/>
      <c r="I707" s="664"/>
      <c r="J707" s="647"/>
    </row>
    <row r="708" spans="5:10" ht="15.75" thickBot="1">
      <c r="E708" s="267"/>
      <c r="F708" s="278" t="s">
        <v>234</v>
      </c>
      <c r="G708" s="297" t="s">
        <v>235</v>
      </c>
      <c r="H708" s="638">
        <f>SUM(H689)</f>
        <v>1670800</v>
      </c>
      <c r="I708" s="639"/>
      <c r="J708" s="639">
        <f>SUM(H708:I708)</f>
        <v>1670800</v>
      </c>
    </row>
    <row r="709" spans="5:10" ht="15.75" hidden="1" thickBot="1">
      <c r="F709" s="278" t="s">
        <v>236</v>
      </c>
      <c r="G709" s="297" t="s">
        <v>237</v>
      </c>
      <c r="J709" s="639">
        <f t="shared" ref="J709:J723" si="26">SUM(H709:I709)</f>
        <v>0</v>
      </c>
    </row>
    <row r="710" spans="5:10" ht="15.75" hidden="1" thickBot="1">
      <c r="F710" s="278" t="s">
        <v>238</v>
      </c>
      <c r="G710" s="297" t="s">
        <v>239</v>
      </c>
      <c r="J710" s="639">
        <f t="shared" si="26"/>
        <v>0</v>
      </c>
    </row>
    <row r="711" spans="5:10" ht="15.75" hidden="1" thickBot="1">
      <c r="F711" s="278" t="s">
        <v>240</v>
      </c>
      <c r="G711" s="297" t="s">
        <v>241</v>
      </c>
      <c r="J711" s="639">
        <f t="shared" si="26"/>
        <v>0</v>
      </c>
    </row>
    <row r="712" spans="5:10" ht="15.75" hidden="1" thickBot="1">
      <c r="F712" s="278" t="s">
        <v>242</v>
      </c>
      <c r="G712" s="297" t="s">
        <v>243</v>
      </c>
      <c r="J712" s="639">
        <f t="shared" si="26"/>
        <v>0</v>
      </c>
    </row>
    <row r="713" spans="5:10" ht="15.75" hidden="1" thickBot="1">
      <c r="F713" s="278" t="s">
        <v>244</v>
      </c>
      <c r="G713" s="297" t="s">
        <v>245</v>
      </c>
      <c r="J713" s="639">
        <f t="shared" si="26"/>
        <v>0</v>
      </c>
    </row>
    <row r="714" spans="5:10" ht="15.75" hidden="1" thickBot="1">
      <c r="F714" s="278" t="s">
        <v>246</v>
      </c>
      <c r="G714" s="683" t="s">
        <v>5121</v>
      </c>
      <c r="J714" s="639">
        <f t="shared" si="26"/>
        <v>0</v>
      </c>
    </row>
    <row r="715" spans="5:10" ht="15.75" hidden="1" thickBot="1">
      <c r="F715" s="278" t="s">
        <v>247</v>
      </c>
      <c r="G715" s="683" t="s">
        <v>5120</v>
      </c>
      <c r="J715" s="639">
        <f t="shared" si="26"/>
        <v>0</v>
      </c>
    </row>
    <row r="716" spans="5:10" ht="15.75" hidden="1" thickBot="1">
      <c r="F716" s="278" t="s">
        <v>248</v>
      </c>
      <c r="G716" s="297" t="s">
        <v>57</v>
      </c>
      <c r="J716" s="639">
        <f t="shared" si="26"/>
        <v>0</v>
      </c>
    </row>
    <row r="717" spans="5:10" ht="15.75" hidden="1" thickBot="1">
      <c r="F717" s="278" t="s">
        <v>249</v>
      </c>
      <c r="G717" s="297" t="s">
        <v>250</v>
      </c>
      <c r="J717" s="639">
        <f t="shared" si="26"/>
        <v>0</v>
      </c>
    </row>
    <row r="718" spans="5:10" ht="15.75" hidden="1" thickBot="1">
      <c r="F718" s="278" t="s">
        <v>251</v>
      </c>
      <c r="G718" s="297" t="s">
        <v>252</v>
      </c>
      <c r="J718" s="639">
        <f t="shared" si="26"/>
        <v>0</v>
      </c>
    </row>
    <row r="719" spans="5:10" ht="15.75" hidden="1" thickBot="1">
      <c r="F719" s="278" t="s">
        <v>253</v>
      </c>
      <c r="G719" s="297" t="s">
        <v>254</v>
      </c>
      <c r="J719" s="639">
        <f t="shared" si="26"/>
        <v>0</v>
      </c>
    </row>
    <row r="720" spans="5:10" ht="15.75" hidden="1" thickBot="1">
      <c r="F720" s="278" t="s">
        <v>255</v>
      </c>
      <c r="G720" s="297" t="s">
        <v>256</v>
      </c>
      <c r="J720" s="639">
        <f t="shared" si="26"/>
        <v>0</v>
      </c>
    </row>
    <row r="721" spans="5:10" ht="15.75" hidden="1" thickBot="1">
      <c r="F721" s="278" t="s">
        <v>257</v>
      </c>
      <c r="G721" s="297" t="s">
        <v>258</v>
      </c>
      <c r="J721" s="639">
        <f t="shared" si="26"/>
        <v>0</v>
      </c>
    </row>
    <row r="722" spans="5:10" ht="15.75" hidden="1" thickBot="1">
      <c r="F722" s="278" t="s">
        <v>259</v>
      </c>
      <c r="G722" s="297" t="s">
        <v>260</v>
      </c>
      <c r="J722" s="639">
        <f t="shared" si="26"/>
        <v>0</v>
      </c>
    </row>
    <row r="723" spans="5:10" ht="15.75" hidden="1" thickBot="1">
      <c r="F723" s="278" t="s">
        <v>261</v>
      </c>
      <c r="G723" s="297" t="s">
        <v>262</v>
      </c>
      <c r="H723" s="638"/>
      <c r="I723" s="639"/>
      <c r="J723" s="639">
        <f t="shared" si="26"/>
        <v>0</v>
      </c>
    </row>
    <row r="724" spans="5:10" ht="15.75" thickBot="1">
      <c r="G724" s="274" t="s">
        <v>4213</v>
      </c>
      <c r="H724" s="640">
        <f>SUM(H708:H723)</f>
        <v>1670800</v>
      </c>
      <c r="I724" s="641">
        <f>SUM(I709:I723)</f>
        <v>0</v>
      </c>
      <c r="J724" s="641">
        <f>SUM(J708:J723)</f>
        <v>1670800</v>
      </c>
    </row>
    <row r="725" spans="5:10" ht="13.5" customHeight="1"/>
    <row r="726" spans="5:10">
      <c r="E726" s="290"/>
      <c r="F726" s="292"/>
      <c r="G726" s="295" t="s">
        <v>4219</v>
      </c>
      <c r="H726" s="646"/>
      <c r="I726" s="664"/>
      <c r="J726" s="647"/>
    </row>
    <row r="727" spans="5:10" ht="15.75" thickBot="1">
      <c r="E727" s="267"/>
      <c r="F727" s="278" t="s">
        <v>234</v>
      </c>
      <c r="G727" s="297" t="s">
        <v>235</v>
      </c>
      <c r="H727" s="638">
        <f>SUM(H708)</f>
        <v>1670800</v>
      </c>
      <c r="I727" s="639"/>
      <c r="J727" s="639">
        <f>SUM(H727:I727)</f>
        <v>1670800</v>
      </c>
    </row>
    <row r="728" spans="5:10" ht="15.75" hidden="1" thickBot="1">
      <c r="F728" s="278" t="s">
        <v>236</v>
      </c>
      <c r="G728" s="297" t="s">
        <v>237</v>
      </c>
      <c r="J728" s="639">
        <f t="shared" ref="J728:J742" si="27">SUM(H728:I728)</f>
        <v>0</v>
      </c>
    </row>
    <row r="729" spans="5:10" ht="15.75" hidden="1" thickBot="1">
      <c r="F729" s="278" t="s">
        <v>238</v>
      </c>
      <c r="G729" s="297" t="s">
        <v>239</v>
      </c>
      <c r="J729" s="639">
        <f t="shared" si="27"/>
        <v>0</v>
      </c>
    </row>
    <row r="730" spans="5:10" ht="15.75" hidden="1" thickBot="1">
      <c r="F730" s="278" t="s">
        <v>240</v>
      </c>
      <c r="G730" s="297" t="s">
        <v>241</v>
      </c>
      <c r="J730" s="639">
        <f t="shared" si="27"/>
        <v>0</v>
      </c>
    </row>
    <row r="731" spans="5:10" ht="15.75" hidden="1" thickBot="1">
      <c r="F731" s="278" t="s">
        <v>242</v>
      </c>
      <c r="G731" s="297" t="s">
        <v>243</v>
      </c>
      <c r="J731" s="639">
        <f t="shared" si="27"/>
        <v>0</v>
      </c>
    </row>
    <row r="732" spans="5:10" ht="15.75" hidden="1" thickBot="1">
      <c r="F732" s="278" t="s">
        <v>244</v>
      </c>
      <c r="G732" s="297" t="s">
        <v>245</v>
      </c>
      <c r="J732" s="639">
        <f t="shared" si="27"/>
        <v>0</v>
      </c>
    </row>
    <row r="733" spans="5:10" ht="15.75" hidden="1" thickBot="1">
      <c r="F733" s="278" t="s">
        <v>246</v>
      </c>
      <c r="G733" s="683" t="s">
        <v>5121</v>
      </c>
      <c r="J733" s="639">
        <f t="shared" si="27"/>
        <v>0</v>
      </c>
    </row>
    <row r="734" spans="5:10" ht="15.75" hidden="1" thickBot="1">
      <c r="F734" s="278" t="s">
        <v>247</v>
      </c>
      <c r="G734" s="683" t="s">
        <v>5120</v>
      </c>
      <c r="J734" s="639">
        <f t="shared" si="27"/>
        <v>0</v>
      </c>
    </row>
    <row r="735" spans="5:10" ht="15.75" hidden="1" thickBot="1">
      <c r="F735" s="278" t="s">
        <v>248</v>
      </c>
      <c r="G735" s="297" t="s">
        <v>57</v>
      </c>
      <c r="J735" s="639">
        <f t="shared" si="27"/>
        <v>0</v>
      </c>
    </row>
    <row r="736" spans="5:10" ht="15.75" hidden="1" thickBot="1">
      <c r="F736" s="278" t="s">
        <v>249</v>
      </c>
      <c r="G736" s="297" t="s">
        <v>250</v>
      </c>
      <c r="J736" s="639">
        <f t="shared" si="27"/>
        <v>0</v>
      </c>
    </row>
    <row r="737" spans="1:25" ht="15.75" hidden="1" thickBot="1">
      <c r="F737" s="278" t="s">
        <v>251</v>
      </c>
      <c r="G737" s="297" t="s">
        <v>252</v>
      </c>
      <c r="J737" s="639">
        <f t="shared" si="27"/>
        <v>0</v>
      </c>
    </row>
    <row r="738" spans="1:25" ht="15.75" hidden="1" thickBot="1">
      <c r="F738" s="278" t="s">
        <v>253</v>
      </c>
      <c r="G738" s="297" t="s">
        <v>254</v>
      </c>
      <c r="J738" s="639">
        <f t="shared" si="27"/>
        <v>0</v>
      </c>
    </row>
    <row r="739" spans="1:25" ht="15.75" hidden="1" thickBot="1">
      <c r="F739" s="278" t="s">
        <v>255</v>
      </c>
      <c r="G739" s="297" t="s">
        <v>256</v>
      </c>
      <c r="J739" s="639">
        <f t="shared" si="27"/>
        <v>0</v>
      </c>
    </row>
    <row r="740" spans="1:25" ht="15.75" hidden="1" thickBot="1">
      <c r="F740" s="278" t="s">
        <v>257</v>
      </c>
      <c r="G740" s="297" t="s">
        <v>258</v>
      </c>
      <c r="J740" s="639">
        <f t="shared" si="27"/>
        <v>0</v>
      </c>
    </row>
    <row r="741" spans="1:25" ht="15.75" hidden="1" thickBot="1">
      <c r="F741" s="278" t="s">
        <v>259</v>
      </c>
      <c r="G741" s="297" t="s">
        <v>260</v>
      </c>
      <c r="J741" s="639">
        <f t="shared" si="27"/>
        <v>0</v>
      </c>
    </row>
    <row r="742" spans="1:25" ht="15.75" hidden="1" thickBot="1">
      <c r="F742" s="278" t="s">
        <v>261</v>
      </c>
      <c r="G742" s="297" t="s">
        <v>262</v>
      </c>
      <c r="H742" s="638"/>
      <c r="I742" s="639"/>
      <c r="J742" s="639">
        <f t="shared" si="27"/>
        <v>0</v>
      </c>
    </row>
    <row r="743" spans="1:25" ht="15" customHeight="1" thickBot="1">
      <c r="G743" s="274" t="s">
        <v>5216</v>
      </c>
      <c r="H743" s="640">
        <f>SUM(H727:H742)</f>
        <v>1670800</v>
      </c>
      <c r="I743" s="641">
        <f>SUM(I728:I742)</f>
        <v>0</v>
      </c>
      <c r="J743" s="641">
        <f>SUM(J727:J742)</f>
        <v>1670800</v>
      </c>
    </row>
    <row r="744" spans="1:25" hidden="1"/>
    <row r="745" spans="1:25" ht="15.75" customHeight="1"/>
    <row r="746" spans="1:25">
      <c r="A746" s="298">
        <v>4</v>
      </c>
      <c r="B746" s="299">
        <v>1</v>
      </c>
      <c r="C746" s="360"/>
      <c r="D746" s="300"/>
      <c r="E746" s="300"/>
      <c r="F746" s="304"/>
      <c r="G746" s="303" t="s">
        <v>5219</v>
      </c>
      <c r="H746" s="665"/>
      <c r="I746" s="633"/>
      <c r="J746" s="666"/>
    </row>
    <row r="747" spans="1:25" s="88" customFormat="1">
      <c r="A747" s="306"/>
      <c r="B747" s="301"/>
      <c r="C747" s="310" t="s">
        <v>3600</v>
      </c>
      <c r="D747" s="263"/>
      <c r="E747" s="263"/>
      <c r="F747" s="263"/>
      <c r="G747" s="351" t="s">
        <v>4208</v>
      </c>
      <c r="H747" s="667"/>
      <c r="I747" s="650"/>
      <c r="J747" s="668"/>
      <c r="K747" s="575"/>
      <c r="L747" s="575"/>
      <c r="M747" s="575"/>
      <c r="N747" s="575"/>
      <c r="O747" s="575"/>
      <c r="P747" s="575"/>
      <c r="Q747" s="575"/>
      <c r="R747" s="575"/>
      <c r="S747" s="575"/>
      <c r="T747" s="575"/>
      <c r="U747" s="575"/>
      <c r="V747" s="575"/>
      <c r="W747" s="575"/>
      <c r="X747" s="575"/>
      <c r="Y747" s="575"/>
    </row>
    <row r="748" spans="1:25" s="88" customFormat="1">
      <c r="A748" s="306"/>
      <c r="B748" s="301"/>
      <c r="C748" s="321" t="s">
        <v>4138</v>
      </c>
      <c r="D748" s="264"/>
      <c r="E748" s="264"/>
      <c r="F748" s="322"/>
      <c r="G748" s="352" t="s">
        <v>5169</v>
      </c>
      <c r="H748" s="667"/>
      <c r="I748" s="650"/>
      <c r="J748" s="668"/>
      <c r="K748" s="575"/>
      <c r="L748" s="575"/>
      <c r="M748" s="575"/>
      <c r="N748" s="575"/>
      <c r="O748" s="575"/>
      <c r="P748" s="575"/>
      <c r="Q748" s="575"/>
      <c r="R748" s="575"/>
      <c r="S748" s="575"/>
      <c r="T748" s="575"/>
      <c r="U748" s="575"/>
      <c r="V748" s="575"/>
      <c r="W748" s="575"/>
      <c r="X748" s="575"/>
      <c r="Y748" s="575"/>
    </row>
    <row r="749" spans="1:25" s="88" customFormat="1">
      <c r="A749" s="306"/>
      <c r="B749" s="301"/>
      <c r="C749" s="310"/>
      <c r="D749" s="357">
        <v>130</v>
      </c>
      <c r="E749" s="357"/>
      <c r="F749" s="357"/>
      <c r="G749" s="370" t="s">
        <v>4307</v>
      </c>
      <c r="H749" s="667"/>
      <c r="I749" s="650"/>
      <c r="J749" s="668"/>
      <c r="K749" s="575"/>
      <c r="L749" s="575"/>
      <c r="M749" s="575"/>
      <c r="N749" s="575"/>
      <c r="O749" s="575"/>
      <c r="P749" s="575"/>
      <c r="Q749" s="575"/>
      <c r="R749" s="575"/>
      <c r="S749" s="575"/>
      <c r="T749" s="575"/>
      <c r="U749" s="575"/>
      <c r="V749" s="575"/>
      <c r="W749" s="575"/>
      <c r="X749" s="575"/>
      <c r="Y749" s="575"/>
    </row>
    <row r="750" spans="1:25" s="88" customFormat="1">
      <c r="A750" s="551"/>
      <c r="B750" s="301"/>
      <c r="C750" s="310"/>
      <c r="D750" s="357"/>
      <c r="E750" s="782">
        <v>27</v>
      </c>
      <c r="F750" s="263">
        <v>411</v>
      </c>
      <c r="G750" s="562" t="s">
        <v>4173</v>
      </c>
      <c r="H750" s="667">
        <v>31516000</v>
      </c>
      <c r="I750" s="650"/>
      <c r="J750" s="668">
        <f>SUM(H750:I750)</f>
        <v>31516000</v>
      </c>
      <c r="K750" s="575"/>
      <c r="L750" s="575"/>
      <c r="M750" s="575"/>
      <c r="N750" s="575"/>
      <c r="O750" s="575"/>
      <c r="P750" s="575"/>
      <c r="Q750" s="575"/>
      <c r="R750" s="575"/>
      <c r="S750" s="575"/>
      <c r="T750" s="575"/>
      <c r="U750" s="575"/>
      <c r="V750" s="575"/>
      <c r="W750" s="575"/>
      <c r="X750" s="575"/>
      <c r="Y750" s="575"/>
    </row>
    <row r="751" spans="1:25" s="88" customFormat="1">
      <c r="A751" s="551"/>
      <c r="B751" s="301"/>
      <c r="C751" s="310"/>
      <c r="D751" s="357"/>
      <c r="E751" s="782">
        <v>28</v>
      </c>
      <c r="F751" s="263">
        <v>412</v>
      </c>
      <c r="G751" s="558" t="s">
        <v>3770</v>
      </c>
      <c r="H751" s="667">
        <v>5642700</v>
      </c>
      <c r="I751" s="650"/>
      <c r="J751" s="668">
        <f t="shared" ref="J751:J767" si="28">SUM(H751:I751)</f>
        <v>5642700</v>
      </c>
      <c r="K751" s="575"/>
      <c r="L751" s="575"/>
      <c r="M751" s="575"/>
      <c r="N751" s="575"/>
      <c r="O751" s="575"/>
      <c r="P751" s="575"/>
      <c r="Q751" s="575"/>
      <c r="R751" s="575"/>
      <c r="S751" s="575"/>
      <c r="T751" s="575"/>
      <c r="U751" s="575"/>
      <c r="V751" s="575"/>
      <c r="W751" s="575"/>
      <c r="X751" s="575"/>
      <c r="Y751" s="575"/>
    </row>
    <row r="752" spans="1:25" s="88" customFormat="1">
      <c r="A752" s="551"/>
      <c r="B752" s="301"/>
      <c r="C752" s="310"/>
      <c r="D752" s="357"/>
      <c r="E752" s="782">
        <v>29</v>
      </c>
      <c r="F752" s="263">
        <v>413</v>
      </c>
      <c r="G752" s="558" t="s">
        <v>4174</v>
      </c>
      <c r="H752" s="667">
        <v>272000</v>
      </c>
      <c r="I752" s="650"/>
      <c r="J752" s="668">
        <f t="shared" si="28"/>
        <v>272000</v>
      </c>
      <c r="K752" s="575"/>
      <c r="L752" s="575"/>
      <c r="M752" s="575"/>
      <c r="N752" s="575"/>
      <c r="O752" s="575"/>
      <c r="P752" s="575"/>
      <c r="Q752" s="575"/>
      <c r="R752" s="575"/>
      <c r="S752" s="575"/>
      <c r="T752" s="575"/>
      <c r="U752" s="575"/>
      <c r="V752" s="575"/>
      <c r="W752" s="575"/>
      <c r="X752" s="575"/>
      <c r="Y752" s="575"/>
    </row>
    <row r="753" spans="1:25" s="88" customFormat="1">
      <c r="A753" s="551"/>
      <c r="B753" s="301"/>
      <c r="C753" s="310"/>
      <c r="D753" s="357"/>
      <c r="E753" s="782">
        <v>30</v>
      </c>
      <c r="F753" s="263">
        <v>414</v>
      </c>
      <c r="G753" s="558" t="s">
        <v>3773</v>
      </c>
      <c r="H753" s="667">
        <v>1273293</v>
      </c>
      <c r="I753" s="650"/>
      <c r="J753" s="668">
        <f t="shared" si="28"/>
        <v>1273293</v>
      </c>
      <c r="K753" s="575"/>
      <c r="L753" s="575"/>
      <c r="M753" s="575"/>
      <c r="N753" s="575"/>
      <c r="O753" s="575"/>
      <c r="P753" s="575"/>
      <c r="Q753" s="575"/>
      <c r="R753" s="575"/>
      <c r="S753" s="575"/>
      <c r="T753" s="575"/>
      <c r="U753" s="575"/>
      <c r="V753" s="575"/>
      <c r="W753" s="575"/>
      <c r="X753" s="575"/>
      <c r="Y753" s="575"/>
    </row>
    <row r="754" spans="1:25" s="88" customFormat="1">
      <c r="A754" s="551"/>
      <c r="B754" s="301"/>
      <c r="C754" s="310"/>
      <c r="D754" s="357"/>
      <c r="E754" s="782">
        <v>31</v>
      </c>
      <c r="F754" s="263">
        <v>415</v>
      </c>
      <c r="G754" s="558" t="s">
        <v>4183</v>
      </c>
      <c r="H754" s="667">
        <v>1550000</v>
      </c>
      <c r="I754" s="650"/>
      <c r="J754" s="668">
        <f t="shared" si="28"/>
        <v>1550000</v>
      </c>
      <c r="K754" s="575"/>
      <c r="L754" s="575"/>
      <c r="M754" s="575"/>
      <c r="N754" s="575"/>
      <c r="O754" s="575"/>
      <c r="P754" s="575"/>
      <c r="Q754" s="575"/>
      <c r="R754" s="575"/>
      <c r="S754" s="575"/>
      <c r="T754" s="575"/>
      <c r="U754" s="575"/>
      <c r="V754" s="575"/>
      <c r="W754" s="575"/>
      <c r="X754" s="575"/>
      <c r="Y754" s="575"/>
    </row>
    <row r="755" spans="1:25" s="88" customFormat="1">
      <c r="A755" s="551"/>
      <c r="B755" s="301"/>
      <c r="C755" s="310"/>
      <c r="D755" s="357"/>
      <c r="E755" s="782">
        <v>32</v>
      </c>
      <c r="F755" s="263">
        <v>416</v>
      </c>
      <c r="G755" s="558" t="s">
        <v>4184</v>
      </c>
      <c r="H755" s="667">
        <v>600000</v>
      </c>
      <c r="I755" s="650"/>
      <c r="J755" s="668">
        <f t="shared" si="28"/>
        <v>600000</v>
      </c>
      <c r="K755" s="575"/>
      <c r="L755" s="575"/>
      <c r="M755" s="575"/>
      <c r="N755" s="575"/>
      <c r="O755" s="575"/>
      <c r="P755" s="575"/>
      <c r="Q755" s="575"/>
      <c r="R755" s="575"/>
      <c r="S755" s="575"/>
      <c r="T755" s="575"/>
      <c r="U755" s="575"/>
      <c r="V755" s="575"/>
      <c r="W755" s="575"/>
      <c r="X755" s="575"/>
      <c r="Y755" s="575"/>
    </row>
    <row r="756" spans="1:25" s="88" customFormat="1">
      <c r="A756" s="551"/>
      <c r="B756" s="301"/>
      <c r="C756" s="310"/>
      <c r="D756" s="357"/>
      <c r="E756" s="782">
        <v>33</v>
      </c>
      <c r="F756" s="263">
        <v>421</v>
      </c>
      <c r="G756" s="558" t="s">
        <v>3783</v>
      </c>
      <c r="H756" s="667">
        <v>7170000</v>
      </c>
      <c r="I756" s="650"/>
      <c r="J756" s="668">
        <f t="shared" si="28"/>
        <v>7170000</v>
      </c>
      <c r="K756" s="575"/>
      <c r="L756" s="575"/>
      <c r="M756" s="575"/>
      <c r="N756" s="575"/>
      <c r="O756" s="575"/>
      <c r="P756" s="575"/>
      <c r="Q756" s="575"/>
      <c r="R756" s="575"/>
      <c r="S756" s="575"/>
      <c r="T756" s="575"/>
      <c r="U756" s="575"/>
      <c r="V756" s="575"/>
      <c r="W756" s="575"/>
      <c r="X756" s="575"/>
      <c r="Y756" s="575"/>
    </row>
    <row r="757" spans="1:25" s="88" customFormat="1">
      <c r="A757" s="306"/>
      <c r="B757" s="301"/>
      <c r="C757" s="361"/>
      <c r="D757" s="296"/>
      <c r="E757" s="783">
        <v>34</v>
      </c>
      <c r="F757" s="308">
        <v>422</v>
      </c>
      <c r="G757" s="340" t="s">
        <v>3784</v>
      </c>
      <c r="H757" s="667">
        <v>450000</v>
      </c>
      <c r="I757" s="650"/>
      <c r="J757" s="668">
        <f t="shared" si="28"/>
        <v>450000</v>
      </c>
      <c r="K757" s="575"/>
      <c r="L757" s="575"/>
      <c r="M757" s="575"/>
      <c r="N757" s="575"/>
      <c r="O757" s="575"/>
      <c r="P757" s="575"/>
      <c r="Q757" s="575"/>
      <c r="R757" s="575"/>
      <c r="S757" s="575"/>
      <c r="T757" s="575"/>
      <c r="U757" s="575"/>
      <c r="V757" s="575"/>
      <c r="W757" s="575"/>
      <c r="X757" s="575"/>
      <c r="Y757" s="575"/>
    </row>
    <row r="758" spans="1:25" s="88" customFormat="1">
      <c r="A758" s="306"/>
      <c r="B758" s="301"/>
      <c r="C758" s="361"/>
      <c r="D758" s="296"/>
      <c r="E758" s="783">
        <v>35</v>
      </c>
      <c r="F758" s="308">
        <v>423</v>
      </c>
      <c r="G758" s="340" t="s">
        <v>3785</v>
      </c>
      <c r="H758" s="667">
        <v>5523160</v>
      </c>
      <c r="I758" s="650"/>
      <c r="J758" s="668">
        <f t="shared" si="28"/>
        <v>5523160</v>
      </c>
      <c r="K758" s="575"/>
      <c r="L758" s="575"/>
      <c r="M758" s="575"/>
      <c r="N758" s="575"/>
      <c r="O758" s="575"/>
      <c r="P758" s="575"/>
      <c r="Q758" s="575"/>
      <c r="R758" s="575"/>
      <c r="S758" s="575"/>
      <c r="T758" s="575"/>
      <c r="U758" s="575"/>
      <c r="V758" s="575"/>
      <c r="W758" s="575"/>
      <c r="X758" s="575"/>
      <c r="Y758" s="575"/>
    </row>
    <row r="759" spans="1:25" s="88" customFormat="1" ht="30">
      <c r="A759" s="306"/>
      <c r="B759" s="301"/>
      <c r="C759" s="361"/>
      <c r="D759" s="296"/>
      <c r="E759" s="783">
        <v>36</v>
      </c>
      <c r="F759" s="308">
        <v>424</v>
      </c>
      <c r="G759" s="562" t="s">
        <v>5256</v>
      </c>
      <c r="H759" s="667">
        <v>6000000</v>
      </c>
      <c r="I759" s="650"/>
      <c r="J759" s="668">
        <f t="shared" si="28"/>
        <v>6000000</v>
      </c>
      <c r="K759" s="575"/>
      <c r="L759" s="575"/>
      <c r="M759" s="575"/>
      <c r="N759" s="575"/>
      <c r="O759" s="575"/>
      <c r="P759" s="575"/>
      <c r="Q759" s="575"/>
      <c r="R759" s="575"/>
      <c r="S759" s="575"/>
      <c r="T759" s="575"/>
      <c r="U759" s="575"/>
      <c r="V759" s="575"/>
      <c r="W759" s="575"/>
      <c r="X759" s="575"/>
      <c r="Y759" s="575"/>
    </row>
    <row r="760" spans="1:25" s="88" customFormat="1">
      <c r="A760" s="306"/>
      <c r="B760" s="301"/>
      <c r="C760" s="361"/>
      <c r="D760" s="296"/>
      <c r="E760" s="783">
        <v>37</v>
      </c>
      <c r="F760" s="308">
        <v>425</v>
      </c>
      <c r="G760" s="340" t="s">
        <v>4186</v>
      </c>
      <c r="H760" s="667">
        <v>2300000</v>
      </c>
      <c r="I760" s="650"/>
      <c r="J760" s="668">
        <f t="shared" si="28"/>
        <v>2300000</v>
      </c>
      <c r="K760" s="575"/>
      <c r="L760" s="575"/>
      <c r="M760" s="575"/>
      <c r="N760" s="575"/>
      <c r="O760" s="575"/>
      <c r="P760" s="575"/>
      <c r="Q760" s="575"/>
      <c r="R760" s="575"/>
      <c r="S760" s="575"/>
      <c r="T760" s="575"/>
      <c r="U760" s="575"/>
      <c r="V760" s="575"/>
      <c r="W760" s="575"/>
      <c r="X760" s="575"/>
      <c r="Y760" s="575"/>
    </row>
    <row r="761" spans="1:25" s="88" customFormat="1">
      <c r="A761" s="306"/>
      <c r="B761" s="301"/>
      <c r="C761" s="361"/>
      <c r="D761" s="296"/>
      <c r="E761" s="783">
        <v>38</v>
      </c>
      <c r="F761" s="308">
        <v>426</v>
      </c>
      <c r="G761" s="340" t="s">
        <v>3791</v>
      </c>
      <c r="H761" s="667">
        <v>6500000</v>
      </c>
      <c r="I761" s="650"/>
      <c r="J761" s="668">
        <f t="shared" si="28"/>
        <v>6500000</v>
      </c>
      <c r="K761" s="575"/>
      <c r="L761" s="575"/>
      <c r="M761" s="575"/>
      <c r="N761" s="575"/>
      <c r="O761" s="575"/>
      <c r="P761" s="575"/>
      <c r="Q761" s="575"/>
      <c r="R761" s="575"/>
      <c r="S761" s="575"/>
      <c r="T761" s="575"/>
      <c r="U761" s="575"/>
      <c r="V761" s="575"/>
      <c r="W761" s="575"/>
      <c r="X761" s="575"/>
      <c r="Y761" s="575"/>
    </row>
    <row r="762" spans="1:25" s="88" customFormat="1">
      <c r="A762" s="551"/>
      <c r="B762" s="301"/>
      <c r="C762" s="361"/>
      <c r="D762" s="296"/>
      <c r="E762" s="783">
        <v>39</v>
      </c>
      <c r="F762" s="569">
        <v>465</v>
      </c>
      <c r="G762" s="562" t="s">
        <v>4176</v>
      </c>
      <c r="H762" s="667">
        <v>4200000</v>
      </c>
      <c r="I762" s="650"/>
      <c r="J762" s="668">
        <f t="shared" si="28"/>
        <v>4200000</v>
      </c>
      <c r="K762" s="575"/>
      <c r="L762" s="575"/>
      <c r="M762" s="575"/>
      <c r="N762" s="575"/>
      <c r="O762" s="575"/>
      <c r="P762" s="575"/>
      <c r="Q762" s="575"/>
      <c r="R762" s="575"/>
      <c r="S762" s="575"/>
      <c r="T762" s="575"/>
      <c r="U762" s="575"/>
      <c r="V762" s="575"/>
      <c r="W762" s="575"/>
      <c r="X762" s="575"/>
      <c r="Y762" s="575"/>
    </row>
    <row r="763" spans="1:25" s="88" customFormat="1">
      <c r="A763" s="306"/>
      <c r="B763" s="301"/>
      <c r="C763" s="361"/>
      <c r="D763" s="296"/>
      <c r="E763" s="783">
        <v>40</v>
      </c>
      <c r="F763" s="308">
        <v>482</v>
      </c>
      <c r="G763" s="340" t="s">
        <v>4196</v>
      </c>
      <c r="H763" s="667">
        <v>500000</v>
      </c>
      <c r="I763" s="650"/>
      <c r="J763" s="668">
        <f t="shared" si="28"/>
        <v>500000</v>
      </c>
      <c r="K763" s="575"/>
      <c r="L763" s="575"/>
      <c r="M763" s="575"/>
      <c r="N763" s="575"/>
      <c r="O763" s="575"/>
      <c r="P763" s="575"/>
      <c r="Q763" s="575"/>
      <c r="R763" s="575"/>
      <c r="S763" s="575"/>
      <c r="T763" s="575"/>
      <c r="U763" s="575"/>
      <c r="V763" s="575"/>
      <c r="W763" s="575"/>
      <c r="X763" s="575"/>
      <c r="Y763" s="575"/>
    </row>
    <row r="764" spans="1:25" s="88" customFormat="1" ht="30">
      <c r="A764" s="551"/>
      <c r="B764" s="301"/>
      <c r="C764" s="361"/>
      <c r="D764" s="296"/>
      <c r="E764" s="783">
        <v>41</v>
      </c>
      <c r="F764" s="569">
        <v>485</v>
      </c>
      <c r="G764" s="568" t="s">
        <v>4199</v>
      </c>
      <c r="H764" s="667">
        <v>1000000</v>
      </c>
      <c r="I764" s="650"/>
      <c r="J764" s="668">
        <f t="shared" si="28"/>
        <v>1000000</v>
      </c>
      <c r="K764" s="575"/>
      <c r="L764" s="575"/>
      <c r="M764" s="575"/>
      <c r="N764" s="575"/>
      <c r="O764" s="575"/>
      <c r="P764" s="575"/>
      <c r="Q764" s="575"/>
      <c r="R764" s="575"/>
      <c r="S764" s="575"/>
      <c r="T764" s="575"/>
      <c r="U764" s="575"/>
      <c r="V764" s="575"/>
      <c r="W764" s="575"/>
      <c r="X764" s="575"/>
      <c r="Y764" s="575"/>
    </row>
    <row r="765" spans="1:25" s="88" customFormat="1" ht="30">
      <c r="A765" s="306"/>
      <c r="B765" s="301"/>
      <c r="C765" s="361"/>
      <c r="D765" s="296"/>
      <c r="E765" s="783">
        <v>42</v>
      </c>
      <c r="F765" s="308">
        <v>511</v>
      </c>
      <c r="G765" s="566" t="s">
        <v>5398</v>
      </c>
      <c r="H765" s="667">
        <v>15160000</v>
      </c>
      <c r="I765" s="650"/>
      <c r="J765" s="668">
        <f t="shared" si="28"/>
        <v>15160000</v>
      </c>
      <c r="K765" s="575"/>
      <c r="L765" s="575"/>
      <c r="M765" s="575"/>
      <c r="N765" s="575"/>
      <c r="O765" s="575"/>
      <c r="P765" s="575"/>
      <c r="Q765" s="575"/>
      <c r="R765" s="575"/>
      <c r="S765" s="575"/>
      <c r="T765" s="575"/>
      <c r="U765" s="575"/>
      <c r="V765" s="575"/>
      <c r="W765" s="575"/>
      <c r="X765" s="575"/>
      <c r="Y765" s="575"/>
    </row>
    <row r="766" spans="1:25" s="88" customFormat="1">
      <c r="A766" s="551"/>
      <c r="B766" s="301"/>
      <c r="C766" s="361"/>
      <c r="D766" s="296"/>
      <c r="E766" s="783">
        <v>43</v>
      </c>
      <c r="F766" s="569">
        <v>512</v>
      </c>
      <c r="G766" s="566" t="s">
        <v>5227</v>
      </c>
      <c r="H766" s="667">
        <v>1500000</v>
      </c>
      <c r="I766" s="650"/>
      <c r="J766" s="668">
        <f t="shared" si="28"/>
        <v>1500000</v>
      </c>
      <c r="K766" s="575"/>
      <c r="L766" s="575"/>
      <c r="M766" s="575"/>
      <c r="N766" s="575"/>
      <c r="O766" s="575"/>
      <c r="P766" s="575"/>
      <c r="Q766" s="575"/>
      <c r="R766" s="575"/>
      <c r="S766" s="575"/>
      <c r="T766" s="575"/>
      <c r="U766" s="575"/>
      <c r="V766" s="575"/>
      <c r="W766" s="575"/>
      <c r="X766" s="575"/>
      <c r="Y766" s="575"/>
    </row>
    <row r="767" spans="1:25" s="88" customFormat="1" ht="15" customHeight="1" thickBot="1">
      <c r="A767" s="551"/>
      <c r="B767" s="301"/>
      <c r="C767" s="361"/>
      <c r="D767" s="296"/>
      <c r="E767" s="783">
        <v>44</v>
      </c>
      <c r="F767" s="569">
        <v>541</v>
      </c>
      <c r="G767" s="566" t="s">
        <v>4206</v>
      </c>
      <c r="H767" s="667">
        <v>3000000</v>
      </c>
      <c r="I767" s="650"/>
      <c r="J767" s="668">
        <f t="shared" si="28"/>
        <v>3000000</v>
      </c>
      <c r="K767" s="575"/>
      <c r="L767" s="575"/>
      <c r="M767" s="575"/>
      <c r="N767" s="575"/>
      <c r="O767" s="575"/>
      <c r="P767" s="575"/>
      <c r="Q767" s="575"/>
      <c r="R767" s="575"/>
      <c r="S767" s="575"/>
      <c r="T767" s="575"/>
      <c r="U767" s="575"/>
      <c r="V767" s="575"/>
      <c r="W767" s="575"/>
      <c r="X767" s="575"/>
      <c r="Y767" s="575"/>
    </row>
    <row r="768" spans="1:25" s="88" customFormat="1" ht="15.75" hidden="1" thickBot="1">
      <c r="A768" s="551"/>
      <c r="B768" s="301"/>
      <c r="C768" s="361"/>
      <c r="D768" s="296"/>
      <c r="E768" s="296"/>
      <c r="F768" s="569"/>
      <c r="G768" s="566"/>
      <c r="H768" s="667"/>
      <c r="I768" s="650"/>
      <c r="J768" s="668"/>
      <c r="K768" s="575"/>
      <c r="L768" s="575"/>
      <c r="M768" s="575"/>
      <c r="N768" s="575"/>
      <c r="O768" s="575"/>
      <c r="P768" s="575"/>
      <c r="Q768" s="575"/>
      <c r="R768" s="575"/>
      <c r="S768" s="575"/>
      <c r="T768" s="575"/>
      <c r="U768" s="575"/>
      <c r="V768" s="575"/>
      <c r="W768" s="575"/>
      <c r="X768" s="575"/>
      <c r="Y768" s="575"/>
    </row>
    <row r="769" spans="5:10">
      <c r="E769" s="338"/>
      <c r="F769" s="346"/>
      <c r="G769" s="372" t="s">
        <v>4382</v>
      </c>
      <c r="H769" s="636"/>
      <c r="I769" s="662"/>
      <c r="J769" s="637"/>
    </row>
    <row r="770" spans="5:10" ht="15.75" thickBot="1">
      <c r="E770" s="267"/>
      <c r="F770" s="294" t="s">
        <v>234</v>
      </c>
      <c r="G770" s="297" t="s">
        <v>235</v>
      </c>
      <c r="H770" s="638">
        <f>SUM(H750:H767)</f>
        <v>94157153</v>
      </c>
      <c r="I770" s="639"/>
      <c r="J770" s="639">
        <f t="shared" ref="J770:J785" si="29">SUM(H770:I770)</f>
        <v>94157153</v>
      </c>
    </row>
    <row r="771" spans="5:10" ht="15.75" hidden="1" thickBot="1">
      <c r="F771" s="294" t="s">
        <v>236</v>
      </c>
      <c r="G771" s="297" t="s">
        <v>237</v>
      </c>
      <c r="J771" s="639">
        <f t="shared" si="29"/>
        <v>0</v>
      </c>
    </row>
    <row r="772" spans="5:10" ht="15.75" hidden="1" thickBot="1">
      <c r="F772" s="294" t="s">
        <v>238</v>
      </c>
      <c r="G772" s="297" t="s">
        <v>239</v>
      </c>
      <c r="J772" s="639">
        <f t="shared" si="29"/>
        <v>0</v>
      </c>
    </row>
    <row r="773" spans="5:10" ht="15.75" hidden="1" thickBot="1">
      <c r="F773" s="294" t="s">
        <v>240</v>
      </c>
      <c r="G773" s="297" t="s">
        <v>241</v>
      </c>
      <c r="J773" s="639">
        <f t="shared" si="29"/>
        <v>0</v>
      </c>
    </row>
    <row r="774" spans="5:10" ht="15.75" hidden="1" thickBot="1">
      <c r="F774" s="294" t="s">
        <v>242</v>
      </c>
      <c r="G774" s="297" t="s">
        <v>243</v>
      </c>
      <c r="J774" s="639">
        <f t="shared" si="29"/>
        <v>0</v>
      </c>
    </row>
    <row r="775" spans="5:10" ht="15.75" hidden="1" thickBot="1">
      <c r="F775" s="294" t="s">
        <v>244</v>
      </c>
      <c r="G775" s="297" t="s">
        <v>245</v>
      </c>
      <c r="J775" s="639">
        <f t="shared" si="29"/>
        <v>0</v>
      </c>
    </row>
    <row r="776" spans="5:10" ht="15.75" hidden="1" thickBot="1">
      <c r="F776" s="294" t="s">
        <v>246</v>
      </c>
      <c r="G776" s="683" t="s">
        <v>5121</v>
      </c>
      <c r="J776" s="639">
        <f t="shared" si="29"/>
        <v>0</v>
      </c>
    </row>
    <row r="777" spans="5:10" ht="15.75" hidden="1" thickBot="1">
      <c r="F777" s="294" t="s">
        <v>247</v>
      </c>
      <c r="G777" s="683" t="s">
        <v>5120</v>
      </c>
      <c r="J777" s="639">
        <f t="shared" si="29"/>
        <v>0</v>
      </c>
    </row>
    <row r="778" spans="5:10" ht="15.75" hidden="1" thickBot="1">
      <c r="F778" s="294" t="s">
        <v>248</v>
      </c>
      <c r="G778" s="297" t="s">
        <v>57</v>
      </c>
      <c r="J778" s="639">
        <f t="shared" si="29"/>
        <v>0</v>
      </c>
    </row>
    <row r="779" spans="5:10" ht="15.75" hidden="1" thickBot="1">
      <c r="F779" s="294" t="s">
        <v>249</v>
      </c>
      <c r="G779" s="297" t="s">
        <v>250</v>
      </c>
      <c r="J779" s="639">
        <f t="shared" si="29"/>
        <v>0</v>
      </c>
    </row>
    <row r="780" spans="5:10" ht="15.75" hidden="1" thickBot="1">
      <c r="F780" s="294" t="s">
        <v>251</v>
      </c>
      <c r="G780" s="297" t="s">
        <v>252</v>
      </c>
      <c r="J780" s="639">
        <f t="shared" si="29"/>
        <v>0</v>
      </c>
    </row>
    <row r="781" spans="5:10" ht="15.75" hidden="1" thickBot="1">
      <c r="F781" s="294" t="s">
        <v>253</v>
      </c>
      <c r="G781" s="297" t="s">
        <v>254</v>
      </c>
      <c r="J781" s="639">
        <f t="shared" si="29"/>
        <v>0</v>
      </c>
    </row>
    <row r="782" spans="5:10" ht="15.75" hidden="1" thickBot="1">
      <c r="F782" s="294" t="s">
        <v>255</v>
      </c>
      <c r="G782" s="297" t="s">
        <v>256</v>
      </c>
      <c r="J782" s="639">
        <f t="shared" si="29"/>
        <v>0</v>
      </c>
    </row>
    <row r="783" spans="5:10" ht="15.75" hidden="1" thickBot="1">
      <c r="F783" s="294" t="s">
        <v>257</v>
      </c>
      <c r="G783" s="297" t="s">
        <v>258</v>
      </c>
      <c r="J783" s="639">
        <f t="shared" si="29"/>
        <v>0</v>
      </c>
    </row>
    <row r="784" spans="5:10" ht="15.75" hidden="1" thickBot="1">
      <c r="F784" s="294" t="s">
        <v>259</v>
      </c>
      <c r="G784" s="297" t="s">
        <v>260</v>
      </c>
      <c r="J784" s="639">
        <f t="shared" si="29"/>
        <v>0</v>
      </c>
    </row>
    <row r="785" spans="5:10" ht="15.75" hidden="1" thickBot="1">
      <c r="F785" s="294" t="s">
        <v>261</v>
      </c>
      <c r="G785" s="297" t="s">
        <v>262</v>
      </c>
      <c r="H785" s="638"/>
      <c r="I785" s="639"/>
      <c r="J785" s="639">
        <f t="shared" si="29"/>
        <v>0</v>
      </c>
    </row>
    <row r="786" spans="5:10" ht="15.75" thickBot="1">
      <c r="G786" s="274" t="s">
        <v>4296</v>
      </c>
      <c r="H786" s="640">
        <f>SUM(H770:H785)</f>
        <v>94157153</v>
      </c>
      <c r="I786" s="641">
        <f>SUM(I771:I785)</f>
        <v>0</v>
      </c>
      <c r="J786" s="641">
        <f>SUM(J770:J785)</f>
        <v>94157153</v>
      </c>
    </row>
    <row r="787" spans="5:10" collapsed="1">
      <c r="E787" s="338"/>
      <c r="F787" s="346"/>
      <c r="G787" s="276" t="s">
        <v>4288</v>
      </c>
      <c r="H787" s="642"/>
      <c r="I787" s="663"/>
      <c r="J787" s="643"/>
    </row>
    <row r="788" spans="5:10" ht="15.75" thickBot="1">
      <c r="E788" s="267"/>
      <c r="F788" s="294" t="s">
        <v>234</v>
      </c>
      <c r="G788" s="297" t="s">
        <v>235</v>
      </c>
      <c r="H788" s="638">
        <f>SUM(H770)</f>
        <v>94157153</v>
      </c>
      <c r="I788" s="639"/>
      <c r="J788" s="639">
        <f>SUM(H788:I788)</f>
        <v>94157153</v>
      </c>
    </row>
    <row r="789" spans="5:10" ht="15.75" hidden="1" thickBot="1">
      <c r="F789" s="294" t="s">
        <v>236</v>
      </c>
      <c r="G789" s="297" t="s">
        <v>237</v>
      </c>
      <c r="J789" s="639">
        <f t="shared" ref="J789:J803" si="30">SUM(H789:I789)</f>
        <v>0</v>
      </c>
    </row>
    <row r="790" spans="5:10" ht="15.75" hidden="1" thickBot="1">
      <c r="F790" s="294" t="s">
        <v>238</v>
      </c>
      <c r="G790" s="297" t="s">
        <v>239</v>
      </c>
      <c r="J790" s="639">
        <f t="shared" si="30"/>
        <v>0</v>
      </c>
    </row>
    <row r="791" spans="5:10" ht="15.75" hidden="1" thickBot="1">
      <c r="F791" s="294" t="s">
        <v>240</v>
      </c>
      <c r="G791" s="297" t="s">
        <v>241</v>
      </c>
      <c r="J791" s="639">
        <f t="shared" si="30"/>
        <v>0</v>
      </c>
    </row>
    <row r="792" spans="5:10" ht="15.75" hidden="1" thickBot="1">
      <c r="F792" s="294" t="s">
        <v>242</v>
      </c>
      <c r="G792" s="297" t="s">
        <v>243</v>
      </c>
      <c r="J792" s="639">
        <f t="shared" si="30"/>
        <v>0</v>
      </c>
    </row>
    <row r="793" spans="5:10" ht="15.75" hidden="1" thickBot="1">
      <c r="F793" s="294" t="s">
        <v>244</v>
      </c>
      <c r="G793" s="297" t="s">
        <v>245</v>
      </c>
      <c r="J793" s="639">
        <f t="shared" si="30"/>
        <v>0</v>
      </c>
    </row>
    <row r="794" spans="5:10" ht="15.75" hidden="1" thickBot="1">
      <c r="F794" s="294" t="s">
        <v>246</v>
      </c>
      <c r="G794" s="683" t="s">
        <v>5121</v>
      </c>
      <c r="J794" s="639">
        <f t="shared" si="30"/>
        <v>0</v>
      </c>
    </row>
    <row r="795" spans="5:10" ht="15.75" hidden="1" thickBot="1">
      <c r="F795" s="294" t="s">
        <v>247</v>
      </c>
      <c r="G795" s="683" t="s">
        <v>5120</v>
      </c>
      <c r="J795" s="639">
        <f t="shared" si="30"/>
        <v>0</v>
      </c>
    </row>
    <row r="796" spans="5:10" ht="15.75" hidden="1" thickBot="1">
      <c r="F796" s="294" t="s">
        <v>248</v>
      </c>
      <c r="G796" s="297" t="s">
        <v>57</v>
      </c>
      <c r="J796" s="639">
        <f t="shared" si="30"/>
        <v>0</v>
      </c>
    </row>
    <row r="797" spans="5:10" ht="15.75" hidden="1" thickBot="1">
      <c r="F797" s="294" t="s">
        <v>249</v>
      </c>
      <c r="G797" s="297" t="s">
        <v>250</v>
      </c>
      <c r="J797" s="639">
        <f t="shared" si="30"/>
        <v>0</v>
      </c>
    </row>
    <row r="798" spans="5:10" ht="15.75" hidden="1" thickBot="1">
      <c r="F798" s="294" t="s">
        <v>251</v>
      </c>
      <c r="G798" s="297" t="s">
        <v>252</v>
      </c>
      <c r="J798" s="639">
        <f t="shared" si="30"/>
        <v>0</v>
      </c>
    </row>
    <row r="799" spans="5:10" ht="15.75" hidden="1" thickBot="1">
      <c r="F799" s="294" t="s">
        <v>253</v>
      </c>
      <c r="G799" s="297" t="s">
        <v>254</v>
      </c>
      <c r="J799" s="639">
        <f t="shared" si="30"/>
        <v>0</v>
      </c>
    </row>
    <row r="800" spans="5:10" ht="15.75" hidden="1" thickBot="1">
      <c r="F800" s="294" t="s">
        <v>255</v>
      </c>
      <c r="G800" s="297" t="s">
        <v>256</v>
      </c>
      <c r="J800" s="639">
        <f t="shared" si="30"/>
        <v>0</v>
      </c>
    </row>
    <row r="801" spans="1:10" ht="15.75" hidden="1" thickBot="1">
      <c r="F801" s="294" t="s">
        <v>257</v>
      </c>
      <c r="G801" s="297" t="s">
        <v>258</v>
      </c>
      <c r="J801" s="639">
        <f t="shared" si="30"/>
        <v>0</v>
      </c>
    </row>
    <row r="802" spans="1:10" ht="15.75" hidden="1" thickBot="1">
      <c r="F802" s="294" t="s">
        <v>259</v>
      </c>
      <c r="G802" s="297" t="s">
        <v>260</v>
      </c>
      <c r="J802" s="639">
        <f t="shared" si="30"/>
        <v>0</v>
      </c>
    </row>
    <row r="803" spans="1:10" ht="15.75" hidden="1" thickBot="1">
      <c r="F803" s="294" t="s">
        <v>261</v>
      </c>
      <c r="G803" s="297" t="s">
        <v>262</v>
      </c>
      <c r="H803" s="638"/>
      <c r="I803" s="639"/>
      <c r="J803" s="639">
        <f t="shared" si="30"/>
        <v>0</v>
      </c>
    </row>
    <row r="804" spans="1:10" ht="15.75" collapsed="1" thickBot="1">
      <c r="G804" s="274" t="s">
        <v>4287</v>
      </c>
      <c r="H804" s="640">
        <f>SUM(H788:H803)</f>
        <v>94157153</v>
      </c>
      <c r="I804" s="641">
        <f>SUM(I789:I803)</f>
        <v>0</v>
      </c>
      <c r="J804" s="641">
        <f>SUM(J788:J803)</f>
        <v>94157153</v>
      </c>
    </row>
    <row r="805" spans="1:10" ht="15.75" customHeight="1">
      <c r="G805" s="331"/>
      <c r="H805" s="644"/>
      <c r="I805" s="645"/>
      <c r="J805" s="645"/>
    </row>
    <row r="806" spans="1:10">
      <c r="A806" s="306"/>
      <c r="B806" s="301"/>
      <c r="C806" s="361" t="s">
        <v>4148</v>
      </c>
      <c r="D806" s="296"/>
      <c r="E806" s="296"/>
      <c r="F806" s="302"/>
      <c r="G806" s="560" t="s">
        <v>5170</v>
      </c>
      <c r="H806" s="667"/>
      <c r="I806" s="650"/>
      <c r="J806" s="668"/>
    </row>
    <row r="807" spans="1:10">
      <c r="A807" s="342"/>
      <c r="B807" s="301"/>
      <c r="C807" s="310"/>
      <c r="D807" s="357">
        <v>150</v>
      </c>
      <c r="E807" s="357"/>
      <c r="F807" s="357"/>
      <c r="G807" s="370" t="s">
        <v>182</v>
      </c>
      <c r="H807" s="667"/>
      <c r="I807" s="650"/>
      <c r="J807" s="668"/>
    </row>
    <row r="808" spans="1:10" ht="15.75" hidden="1" customHeight="1">
      <c r="A808" s="306"/>
      <c r="B808" s="301"/>
      <c r="C808" s="361"/>
      <c r="D808" s="296"/>
      <c r="E808" s="296"/>
      <c r="F808" s="308">
        <v>421</v>
      </c>
      <c r="G808" s="340" t="s">
        <v>3784</v>
      </c>
      <c r="H808" s="667"/>
      <c r="I808" s="650"/>
      <c r="J808" s="668"/>
    </row>
    <row r="809" spans="1:10">
      <c r="A809" s="306"/>
      <c r="B809" s="301"/>
      <c r="C809" s="361"/>
      <c r="D809" s="296"/>
      <c r="E809" s="783">
        <v>45</v>
      </c>
      <c r="F809" s="308">
        <v>423</v>
      </c>
      <c r="G809" s="340" t="s">
        <v>3785</v>
      </c>
      <c r="H809" s="667">
        <v>370000</v>
      </c>
      <c r="I809" s="650"/>
      <c r="J809" s="668">
        <f>SUM(H809:I809)</f>
        <v>370000</v>
      </c>
    </row>
    <row r="810" spans="1:10">
      <c r="A810" s="306"/>
      <c r="B810" s="301"/>
      <c r="C810" s="361"/>
      <c r="D810" s="296"/>
      <c r="E810" s="783">
        <v>46</v>
      </c>
      <c r="F810" s="308">
        <v>426</v>
      </c>
      <c r="G810" s="340" t="s">
        <v>3787</v>
      </c>
      <c r="H810" s="667">
        <v>314000</v>
      </c>
      <c r="I810" s="650"/>
      <c r="J810" s="668">
        <f t="shared" ref="J810:J811" si="31">SUM(H810:I810)</f>
        <v>314000</v>
      </c>
    </row>
    <row r="811" spans="1:10" ht="15.75" thickBot="1">
      <c r="A811" s="306"/>
      <c r="B811" s="301"/>
      <c r="C811" s="361"/>
      <c r="D811" s="296"/>
      <c r="E811" s="783">
        <v>47</v>
      </c>
      <c r="F811" s="302">
        <v>512</v>
      </c>
      <c r="G811" s="562" t="s">
        <v>5227</v>
      </c>
      <c r="H811" s="667">
        <v>150000</v>
      </c>
      <c r="I811" s="650"/>
      <c r="J811" s="668">
        <f t="shared" si="31"/>
        <v>150000</v>
      </c>
    </row>
    <row r="812" spans="1:10">
      <c r="E812" s="338"/>
      <c r="F812" s="346"/>
      <c r="G812" s="371" t="s">
        <v>4394</v>
      </c>
      <c r="H812" s="636"/>
      <c r="I812" s="662"/>
      <c r="J812" s="637"/>
    </row>
    <row r="813" spans="1:10" ht="15.75" thickBot="1">
      <c r="E813" s="267"/>
      <c r="F813" s="294" t="s">
        <v>234</v>
      </c>
      <c r="G813" s="297" t="s">
        <v>235</v>
      </c>
      <c r="H813" s="638">
        <f>SUM(H808:H811)</f>
        <v>834000</v>
      </c>
      <c r="I813" s="639"/>
      <c r="J813" s="639">
        <f>SUM(H813:I813)</f>
        <v>834000</v>
      </c>
    </row>
    <row r="814" spans="1:10" ht="10.5" hidden="1" customHeight="1" thickBot="1">
      <c r="F814" s="294" t="s">
        <v>236</v>
      </c>
      <c r="G814" s="297" t="s">
        <v>237</v>
      </c>
      <c r="J814" s="639">
        <f t="shared" ref="J814:J828" si="32">SUM(H814:I814)</f>
        <v>0</v>
      </c>
    </row>
    <row r="815" spans="1:10" ht="15.75" hidden="1" thickBot="1">
      <c r="F815" s="294" t="s">
        <v>238</v>
      </c>
      <c r="G815" s="297" t="s">
        <v>239</v>
      </c>
      <c r="J815" s="639">
        <f t="shared" si="32"/>
        <v>0</v>
      </c>
    </row>
    <row r="816" spans="1:10" ht="15.75" hidden="1" thickBot="1">
      <c r="F816" s="294" t="s">
        <v>240</v>
      </c>
      <c r="G816" s="297" t="s">
        <v>241</v>
      </c>
      <c r="J816" s="639">
        <f t="shared" si="32"/>
        <v>0</v>
      </c>
    </row>
    <row r="817" spans="5:10" ht="15.75" hidden="1" thickBot="1">
      <c r="F817" s="294" t="s">
        <v>242</v>
      </c>
      <c r="G817" s="297" t="s">
        <v>243</v>
      </c>
      <c r="J817" s="639">
        <f t="shared" si="32"/>
        <v>0</v>
      </c>
    </row>
    <row r="818" spans="5:10" ht="15.75" hidden="1" thickBot="1">
      <c r="F818" s="294" t="s">
        <v>244</v>
      </c>
      <c r="G818" s="297" t="s">
        <v>245</v>
      </c>
      <c r="J818" s="639">
        <f t="shared" si="32"/>
        <v>0</v>
      </c>
    </row>
    <row r="819" spans="5:10" ht="15.75" hidden="1" thickBot="1">
      <c r="F819" s="294" t="s">
        <v>246</v>
      </c>
      <c r="G819" s="683" t="s">
        <v>5121</v>
      </c>
      <c r="J819" s="639">
        <f t="shared" si="32"/>
        <v>0</v>
      </c>
    </row>
    <row r="820" spans="5:10" ht="15.75" hidden="1" thickBot="1">
      <c r="F820" s="294" t="s">
        <v>247</v>
      </c>
      <c r="G820" s="683" t="s">
        <v>5120</v>
      </c>
      <c r="J820" s="639">
        <f t="shared" si="32"/>
        <v>0</v>
      </c>
    </row>
    <row r="821" spans="5:10" ht="15.75" hidden="1" thickBot="1">
      <c r="F821" s="294" t="s">
        <v>248</v>
      </c>
      <c r="G821" s="297" t="s">
        <v>57</v>
      </c>
      <c r="J821" s="639">
        <f t="shared" si="32"/>
        <v>0</v>
      </c>
    </row>
    <row r="822" spans="5:10" ht="15.75" hidden="1" thickBot="1">
      <c r="F822" s="294" t="s">
        <v>249</v>
      </c>
      <c r="G822" s="297" t="s">
        <v>250</v>
      </c>
      <c r="J822" s="639">
        <f t="shared" si="32"/>
        <v>0</v>
      </c>
    </row>
    <row r="823" spans="5:10" ht="15.75" hidden="1" thickBot="1">
      <c r="F823" s="294" t="s">
        <v>251</v>
      </c>
      <c r="G823" s="297" t="s">
        <v>252</v>
      </c>
      <c r="J823" s="639">
        <f t="shared" si="32"/>
        <v>0</v>
      </c>
    </row>
    <row r="824" spans="5:10" ht="15.75" hidden="1" thickBot="1">
      <c r="F824" s="294" t="s">
        <v>253</v>
      </c>
      <c r="G824" s="297" t="s">
        <v>254</v>
      </c>
      <c r="J824" s="639">
        <f t="shared" si="32"/>
        <v>0</v>
      </c>
    </row>
    <row r="825" spans="5:10" ht="15.75" hidden="1" thickBot="1">
      <c r="F825" s="294" t="s">
        <v>255</v>
      </c>
      <c r="G825" s="297" t="s">
        <v>256</v>
      </c>
      <c r="J825" s="639">
        <f t="shared" si="32"/>
        <v>0</v>
      </c>
    </row>
    <row r="826" spans="5:10" ht="15.75" hidden="1" thickBot="1">
      <c r="F826" s="294" t="s">
        <v>257</v>
      </c>
      <c r="G826" s="297" t="s">
        <v>258</v>
      </c>
      <c r="J826" s="639">
        <f t="shared" si="32"/>
        <v>0</v>
      </c>
    </row>
    <row r="827" spans="5:10" ht="15.75" hidden="1" thickBot="1">
      <c r="F827" s="294" t="s">
        <v>259</v>
      </c>
      <c r="G827" s="297" t="s">
        <v>260</v>
      </c>
      <c r="J827" s="639">
        <f t="shared" si="32"/>
        <v>0</v>
      </c>
    </row>
    <row r="828" spans="5:10" ht="15.75" hidden="1" thickBot="1">
      <c r="F828" s="294" t="s">
        <v>261</v>
      </c>
      <c r="G828" s="297" t="s">
        <v>262</v>
      </c>
      <c r="H828" s="638"/>
      <c r="I828" s="639"/>
      <c r="J828" s="639">
        <f t="shared" si="32"/>
        <v>0</v>
      </c>
    </row>
    <row r="829" spans="5:10" ht="15.75" thickBot="1">
      <c r="G829" s="274" t="s">
        <v>4395</v>
      </c>
      <c r="H829" s="640">
        <f>SUM(H813:H828)</f>
        <v>834000</v>
      </c>
      <c r="I829" s="641">
        <f>SUM(I814:I828)</f>
        <v>0</v>
      </c>
      <c r="J829" s="641">
        <f>SUM(J813:J828)</f>
        <v>834000</v>
      </c>
    </row>
    <row r="830" spans="5:10">
      <c r="E830" s="338"/>
      <c r="F830" s="346"/>
      <c r="G830" s="276" t="s">
        <v>4279</v>
      </c>
      <c r="H830" s="642"/>
      <c r="I830" s="663"/>
      <c r="J830" s="643"/>
    </row>
    <row r="831" spans="5:10">
      <c r="E831" s="267"/>
      <c r="F831" s="294" t="s">
        <v>234</v>
      </c>
      <c r="G831" s="297" t="s">
        <v>235</v>
      </c>
      <c r="H831" s="638">
        <f>SUM(H808:H811)</f>
        <v>834000</v>
      </c>
      <c r="I831" s="639"/>
      <c r="J831" s="639">
        <f>SUM(H831:I831)</f>
        <v>834000</v>
      </c>
    </row>
    <row r="832" spans="5:10" ht="0.75" customHeight="1" thickBot="1">
      <c r="F832" s="294" t="s">
        <v>236</v>
      </c>
      <c r="G832" s="297" t="s">
        <v>237</v>
      </c>
      <c r="J832" s="639">
        <f t="shared" ref="J832:J846" si="33">SUM(H832:I832)</f>
        <v>0</v>
      </c>
    </row>
    <row r="833" spans="6:10" ht="15.75" hidden="1" thickBot="1">
      <c r="F833" s="294" t="s">
        <v>238</v>
      </c>
      <c r="G833" s="297" t="s">
        <v>239</v>
      </c>
      <c r="J833" s="639">
        <f t="shared" si="33"/>
        <v>0</v>
      </c>
    </row>
    <row r="834" spans="6:10" ht="15.75" hidden="1" thickBot="1">
      <c r="F834" s="294" t="s">
        <v>240</v>
      </c>
      <c r="G834" s="297" t="s">
        <v>241</v>
      </c>
      <c r="J834" s="639">
        <f t="shared" si="33"/>
        <v>0</v>
      </c>
    </row>
    <row r="835" spans="6:10" ht="15.75" hidden="1" thickBot="1">
      <c r="F835" s="294" t="s">
        <v>242</v>
      </c>
      <c r="G835" s="297" t="s">
        <v>243</v>
      </c>
      <c r="J835" s="639">
        <f t="shared" si="33"/>
        <v>0</v>
      </c>
    </row>
    <row r="836" spans="6:10" ht="15.75" hidden="1" thickBot="1">
      <c r="F836" s="294" t="s">
        <v>244</v>
      </c>
      <c r="G836" s="297" t="s">
        <v>245</v>
      </c>
      <c r="J836" s="639">
        <f t="shared" si="33"/>
        <v>0</v>
      </c>
    </row>
    <row r="837" spans="6:10" ht="15.75" hidden="1" thickBot="1">
      <c r="F837" s="294" t="s">
        <v>246</v>
      </c>
      <c r="G837" s="683" t="s">
        <v>5121</v>
      </c>
      <c r="J837" s="639">
        <f t="shared" si="33"/>
        <v>0</v>
      </c>
    </row>
    <row r="838" spans="6:10" ht="15.75" hidden="1" thickBot="1">
      <c r="F838" s="294" t="s">
        <v>247</v>
      </c>
      <c r="G838" s="683" t="s">
        <v>5120</v>
      </c>
      <c r="J838" s="639">
        <f t="shared" si="33"/>
        <v>0</v>
      </c>
    </row>
    <row r="839" spans="6:10" ht="15.75" hidden="1" thickBot="1">
      <c r="F839" s="294" t="s">
        <v>248</v>
      </c>
      <c r="G839" s="297" t="s">
        <v>57</v>
      </c>
      <c r="J839" s="639">
        <f t="shared" si="33"/>
        <v>0</v>
      </c>
    </row>
    <row r="840" spans="6:10" ht="15.75" hidden="1" thickBot="1">
      <c r="F840" s="294" t="s">
        <v>249</v>
      </c>
      <c r="G840" s="297" t="s">
        <v>250</v>
      </c>
      <c r="J840" s="639">
        <f t="shared" si="33"/>
        <v>0</v>
      </c>
    </row>
    <row r="841" spans="6:10" ht="15.75" hidden="1" thickBot="1">
      <c r="F841" s="294" t="s">
        <v>251</v>
      </c>
      <c r="G841" s="297" t="s">
        <v>252</v>
      </c>
      <c r="J841" s="639">
        <f t="shared" si="33"/>
        <v>0</v>
      </c>
    </row>
    <row r="842" spans="6:10" ht="15.75" hidden="1" thickBot="1">
      <c r="F842" s="294" t="s">
        <v>253</v>
      </c>
      <c r="G842" s="297" t="s">
        <v>254</v>
      </c>
      <c r="J842" s="639">
        <f t="shared" si="33"/>
        <v>0</v>
      </c>
    </row>
    <row r="843" spans="6:10" ht="15.75" hidden="1" thickBot="1">
      <c r="F843" s="294" t="s">
        <v>255</v>
      </c>
      <c r="G843" s="297" t="s">
        <v>256</v>
      </c>
      <c r="J843" s="639">
        <f t="shared" si="33"/>
        <v>0</v>
      </c>
    </row>
    <row r="844" spans="6:10" ht="15.75" hidden="1" thickBot="1">
      <c r="F844" s="294" t="s">
        <v>257</v>
      </c>
      <c r="G844" s="297" t="s">
        <v>258</v>
      </c>
      <c r="J844" s="639">
        <f t="shared" si="33"/>
        <v>0</v>
      </c>
    </row>
    <row r="845" spans="6:10" ht="15.75" hidden="1" thickBot="1">
      <c r="F845" s="294" t="s">
        <v>259</v>
      </c>
      <c r="G845" s="297" t="s">
        <v>260</v>
      </c>
      <c r="J845" s="639">
        <f t="shared" si="33"/>
        <v>0</v>
      </c>
    </row>
    <row r="846" spans="6:10" ht="15.75" hidden="1" thickBot="1">
      <c r="F846" s="294" t="s">
        <v>261</v>
      </c>
      <c r="G846" s="297" t="s">
        <v>262</v>
      </c>
      <c r="H846" s="638"/>
      <c r="I846" s="639"/>
      <c r="J846" s="639">
        <f t="shared" si="33"/>
        <v>0</v>
      </c>
    </row>
    <row r="847" spans="6:10" ht="15.75" thickBot="1">
      <c r="G847" s="274" t="s">
        <v>5171</v>
      </c>
      <c r="H847" s="640">
        <f>SUM(H831:H846)</f>
        <v>834000</v>
      </c>
      <c r="I847" s="641">
        <f>SUM(I832:I846)</f>
        <v>0</v>
      </c>
      <c r="J847" s="641">
        <f>SUM(J831:J846)</f>
        <v>834000</v>
      </c>
    </row>
    <row r="848" spans="6:10" ht="15.75" customHeight="1">
      <c r="G848" s="331"/>
      <c r="H848" s="644"/>
      <c r="I848" s="645"/>
      <c r="J848" s="645"/>
    </row>
    <row r="849" spans="1:10">
      <c r="A849" s="551"/>
      <c r="B849" s="301"/>
      <c r="C849" s="361" t="s">
        <v>4153</v>
      </c>
      <c r="D849" s="296"/>
      <c r="E849" s="296"/>
      <c r="F849" s="302"/>
      <c r="G849" s="560" t="s">
        <v>4229</v>
      </c>
      <c r="H849" s="667"/>
      <c r="I849" s="650"/>
      <c r="J849" s="668"/>
    </row>
    <row r="850" spans="1:10">
      <c r="A850" s="551"/>
      <c r="B850" s="301"/>
      <c r="C850" s="310"/>
      <c r="D850" s="357">
        <v>112</v>
      </c>
      <c r="E850" s="357"/>
      <c r="F850" s="357"/>
      <c r="G850" s="370" t="s">
        <v>107</v>
      </c>
      <c r="H850" s="667"/>
      <c r="I850" s="650"/>
      <c r="J850" s="668"/>
    </row>
    <row r="851" spans="1:10">
      <c r="A851" s="551"/>
      <c r="B851" s="301"/>
      <c r="C851" s="361"/>
      <c r="D851" s="296"/>
      <c r="E851" s="783">
        <v>48</v>
      </c>
      <c r="F851" s="569">
        <v>49911</v>
      </c>
      <c r="G851" s="562" t="s">
        <v>3829</v>
      </c>
      <c r="H851" s="667">
        <v>100000</v>
      </c>
      <c r="I851" s="650"/>
      <c r="J851" s="668">
        <f>SUM(H851:I851)</f>
        <v>100000</v>
      </c>
    </row>
    <row r="852" spans="1:10" ht="15.75" thickBot="1">
      <c r="A852" s="551"/>
      <c r="B852" s="301"/>
      <c r="C852" s="361"/>
      <c r="D852" s="296"/>
      <c r="E852" s="783">
        <v>49</v>
      </c>
      <c r="F852" s="569">
        <v>49912</v>
      </c>
      <c r="G852" s="562" t="s">
        <v>3831</v>
      </c>
      <c r="H852" s="667">
        <v>5000000</v>
      </c>
      <c r="I852" s="650"/>
      <c r="J852" s="668">
        <f>SUM(H852:I852)</f>
        <v>5000000</v>
      </c>
    </row>
    <row r="853" spans="1:10" ht="1.5" hidden="1" customHeight="1" thickBot="1">
      <c r="A853" s="551"/>
      <c r="B853" s="301"/>
      <c r="C853" s="361"/>
      <c r="D853" s="296"/>
      <c r="E853" s="296"/>
      <c r="F853" s="569">
        <v>424</v>
      </c>
      <c r="G853" s="562" t="s">
        <v>3787</v>
      </c>
      <c r="H853" s="667"/>
      <c r="I853" s="650"/>
      <c r="J853" s="668"/>
    </row>
    <row r="854" spans="1:10" ht="15.75" hidden="1" thickBot="1">
      <c r="A854" s="551"/>
      <c r="B854" s="301"/>
      <c r="C854" s="361"/>
      <c r="D854" s="296"/>
      <c r="E854" s="296"/>
      <c r="F854" s="302">
        <v>482</v>
      </c>
      <c r="G854" s="562" t="s">
        <v>4196</v>
      </c>
      <c r="H854" s="667"/>
      <c r="I854" s="650"/>
      <c r="J854" s="668"/>
    </row>
    <row r="855" spans="1:10">
      <c r="E855" s="559"/>
      <c r="F855" s="570"/>
      <c r="G855" s="371" t="s">
        <v>4389</v>
      </c>
      <c r="H855" s="636"/>
      <c r="I855" s="662"/>
      <c r="J855" s="637"/>
    </row>
    <row r="856" spans="1:10">
      <c r="E856" s="267"/>
      <c r="F856" s="682" t="s">
        <v>234</v>
      </c>
      <c r="G856" s="683" t="s">
        <v>235</v>
      </c>
      <c r="H856" s="638">
        <f>SUM(H851:H854)</f>
        <v>5100000</v>
      </c>
      <c r="I856" s="639"/>
      <c r="J856" s="639">
        <f>SUM(H856:I856)</f>
        <v>5100000</v>
      </c>
    </row>
    <row r="857" spans="1:10" ht="0.75" customHeight="1" thickBot="1">
      <c r="F857" s="682" t="s">
        <v>236</v>
      </c>
      <c r="G857" s="683" t="s">
        <v>237</v>
      </c>
      <c r="J857" s="639">
        <f t="shared" ref="J857:J871" si="34">SUM(H857:I857)</f>
        <v>0</v>
      </c>
    </row>
    <row r="858" spans="1:10" ht="15.75" hidden="1" thickBot="1">
      <c r="F858" s="682" t="s">
        <v>238</v>
      </c>
      <c r="G858" s="683" t="s">
        <v>239</v>
      </c>
      <c r="J858" s="639">
        <f t="shared" si="34"/>
        <v>0</v>
      </c>
    </row>
    <row r="859" spans="1:10" ht="15.75" hidden="1" thickBot="1">
      <c r="F859" s="682" t="s">
        <v>240</v>
      </c>
      <c r="G859" s="683" t="s">
        <v>241</v>
      </c>
      <c r="J859" s="639">
        <f t="shared" si="34"/>
        <v>0</v>
      </c>
    </row>
    <row r="860" spans="1:10" ht="15.75" hidden="1" thickBot="1">
      <c r="F860" s="682" t="s">
        <v>242</v>
      </c>
      <c r="G860" s="683" t="s">
        <v>243</v>
      </c>
      <c r="J860" s="639">
        <f t="shared" si="34"/>
        <v>0</v>
      </c>
    </row>
    <row r="861" spans="1:10" ht="15.75" hidden="1" thickBot="1">
      <c r="F861" s="682" t="s">
        <v>244</v>
      </c>
      <c r="G861" s="683" t="s">
        <v>245</v>
      </c>
      <c r="J861" s="639">
        <f t="shared" si="34"/>
        <v>0</v>
      </c>
    </row>
    <row r="862" spans="1:10" ht="15.75" hidden="1" thickBot="1">
      <c r="F862" s="682" t="s">
        <v>246</v>
      </c>
      <c r="G862" s="683" t="s">
        <v>5121</v>
      </c>
      <c r="J862" s="639">
        <f t="shared" si="34"/>
        <v>0</v>
      </c>
    </row>
    <row r="863" spans="1:10" ht="15.75" hidden="1" thickBot="1">
      <c r="F863" s="682" t="s">
        <v>247</v>
      </c>
      <c r="G863" s="683" t="s">
        <v>5120</v>
      </c>
      <c r="J863" s="639">
        <f t="shared" si="34"/>
        <v>0</v>
      </c>
    </row>
    <row r="864" spans="1:10" ht="15.75" hidden="1" thickBot="1">
      <c r="F864" s="682" t="s">
        <v>248</v>
      </c>
      <c r="G864" s="683" t="s">
        <v>57</v>
      </c>
      <c r="J864" s="639">
        <f t="shared" si="34"/>
        <v>0</v>
      </c>
    </row>
    <row r="865" spans="5:10" ht="15.75" hidden="1" thickBot="1">
      <c r="F865" s="682" t="s">
        <v>249</v>
      </c>
      <c r="G865" s="683" t="s">
        <v>250</v>
      </c>
      <c r="J865" s="639">
        <f t="shared" si="34"/>
        <v>0</v>
      </c>
    </row>
    <row r="866" spans="5:10" ht="15.75" hidden="1" thickBot="1">
      <c r="F866" s="682" t="s">
        <v>251</v>
      </c>
      <c r="G866" s="683" t="s">
        <v>252</v>
      </c>
      <c r="J866" s="639">
        <f t="shared" si="34"/>
        <v>0</v>
      </c>
    </row>
    <row r="867" spans="5:10" ht="15.75" hidden="1" thickBot="1">
      <c r="F867" s="682" t="s">
        <v>253</v>
      </c>
      <c r="G867" s="683" t="s">
        <v>254</v>
      </c>
      <c r="J867" s="639">
        <f t="shared" si="34"/>
        <v>0</v>
      </c>
    </row>
    <row r="868" spans="5:10" ht="15.75" hidden="1" thickBot="1">
      <c r="F868" s="682" t="s">
        <v>255</v>
      </c>
      <c r="G868" s="683" t="s">
        <v>256</v>
      </c>
      <c r="J868" s="639">
        <f t="shared" si="34"/>
        <v>0</v>
      </c>
    </row>
    <row r="869" spans="5:10" ht="15.75" hidden="1" thickBot="1">
      <c r="F869" s="682" t="s">
        <v>257</v>
      </c>
      <c r="G869" s="683" t="s">
        <v>258</v>
      </c>
      <c r="J869" s="639">
        <f t="shared" si="34"/>
        <v>0</v>
      </c>
    </row>
    <row r="870" spans="5:10" ht="15.75" hidden="1" thickBot="1">
      <c r="F870" s="682" t="s">
        <v>259</v>
      </c>
      <c r="G870" s="683" t="s">
        <v>260</v>
      </c>
      <c r="J870" s="639">
        <f t="shared" si="34"/>
        <v>0</v>
      </c>
    </row>
    <row r="871" spans="5:10" ht="15.75" hidden="1" thickBot="1">
      <c r="F871" s="682" t="s">
        <v>261</v>
      </c>
      <c r="G871" s="683" t="s">
        <v>262</v>
      </c>
      <c r="H871" s="638"/>
      <c r="I871" s="639"/>
      <c r="J871" s="639">
        <f t="shared" si="34"/>
        <v>0</v>
      </c>
    </row>
    <row r="872" spans="5:10" ht="15.75" thickBot="1">
      <c r="G872" s="274" t="s">
        <v>4390</v>
      </c>
      <c r="H872" s="640">
        <f>SUM(H856:H871)</f>
        <v>5100000</v>
      </c>
      <c r="I872" s="641">
        <f>SUM(I857:I871)</f>
        <v>0</v>
      </c>
      <c r="J872" s="641">
        <f>SUM(J856:J871)</f>
        <v>5100000</v>
      </c>
    </row>
    <row r="873" spans="5:10">
      <c r="E873" s="559"/>
      <c r="F873" s="570"/>
      <c r="G873" s="276" t="s">
        <v>4230</v>
      </c>
      <c r="H873" s="642"/>
      <c r="I873" s="663"/>
      <c r="J873" s="643"/>
    </row>
    <row r="874" spans="5:10" ht="15.75" thickBot="1">
      <c r="E874" s="267"/>
      <c r="F874" s="682" t="s">
        <v>234</v>
      </c>
      <c r="G874" s="683" t="s">
        <v>235</v>
      </c>
      <c r="H874" s="638">
        <f>SUM(H851:H854)</f>
        <v>5100000</v>
      </c>
      <c r="I874" s="639"/>
      <c r="J874" s="639">
        <f>SUM(H874:I874)</f>
        <v>5100000</v>
      </c>
    </row>
    <row r="875" spans="5:10" ht="9" hidden="1" customHeight="1" thickBot="1">
      <c r="F875" s="682" t="s">
        <v>236</v>
      </c>
      <c r="G875" s="683" t="s">
        <v>237</v>
      </c>
      <c r="J875" s="639">
        <f t="shared" ref="J875:J889" si="35">SUM(H875:I875)</f>
        <v>0</v>
      </c>
    </row>
    <row r="876" spans="5:10" ht="15.75" hidden="1" thickBot="1">
      <c r="F876" s="682" t="s">
        <v>238</v>
      </c>
      <c r="G876" s="683" t="s">
        <v>239</v>
      </c>
      <c r="J876" s="639">
        <f t="shared" si="35"/>
        <v>0</v>
      </c>
    </row>
    <row r="877" spans="5:10" ht="15.75" hidden="1" thickBot="1">
      <c r="F877" s="682" t="s">
        <v>240</v>
      </c>
      <c r="G877" s="683" t="s">
        <v>241</v>
      </c>
      <c r="J877" s="639">
        <f t="shared" si="35"/>
        <v>0</v>
      </c>
    </row>
    <row r="878" spans="5:10" ht="15.75" hidden="1" thickBot="1">
      <c r="F878" s="682" t="s">
        <v>242</v>
      </c>
      <c r="G878" s="683" t="s">
        <v>243</v>
      </c>
      <c r="J878" s="639">
        <f t="shared" si="35"/>
        <v>0</v>
      </c>
    </row>
    <row r="879" spans="5:10" ht="15.75" hidden="1" thickBot="1">
      <c r="F879" s="682" t="s">
        <v>244</v>
      </c>
      <c r="G879" s="683" t="s">
        <v>245</v>
      </c>
      <c r="J879" s="639">
        <f t="shared" si="35"/>
        <v>0</v>
      </c>
    </row>
    <row r="880" spans="5:10" ht="15.75" hidden="1" thickBot="1">
      <c r="F880" s="682" t="s">
        <v>246</v>
      </c>
      <c r="G880" s="683" t="s">
        <v>5121</v>
      </c>
      <c r="J880" s="639">
        <f t="shared" si="35"/>
        <v>0</v>
      </c>
    </row>
    <row r="881" spans="6:10" ht="15.75" hidden="1" thickBot="1">
      <c r="F881" s="682" t="s">
        <v>247</v>
      </c>
      <c r="G881" s="683" t="s">
        <v>5120</v>
      </c>
      <c r="J881" s="639">
        <f t="shared" si="35"/>
        <v>0</v>
      </c>
    </row>
    <row r="882" spans="6:10" ht="15.75" hidden="1" thickBot="1">
      <c r="F882" s="682" t="s">
        <v>248</v>
      </c>
      <c r="G882" s="683" t="s">
        <v>57</v>
      </c>
      <c r="J882" s="639">
        <f t="shared" si="35"/>
        <v>0</v>
      </c>
    </row>
    <row r="883" spans="6:10" ht="15.75" hidden="1" thickBot="1">
      <c r="F883" s="682" t="s">
        <v>249</v>
      </c>
      <c r="G883" s="683" t="s">
        <v>250</v>
      </c>
      <c r="J883" s="639">
        <f t="shared" si="35"/>
        <v>0</v>
      </c>
    </row>
    <row r="884" spans="6:10" ht="15.75" hidden="1" thickBot="1">
      <c r="F884" s="682" t="s">
        <v>251</v>
      </c>
      <c r="G884" s="683" t="s">
        <v>252</v>
      </c>
      <c r="J884" s="639">
        <f t="shared" si="35"/>
        <v>0</v>
      </c>
    </row>
    <row r="885" spans="6:10" ht="15.75" hidden="1" thickBot="1">
      <c r="F885" s="682" t="s">
        <v>253</v>
      </c>
      <c r="G885" s="683" t="s">
        <v>254</v>
      </c>
      <c r="J885" s="639">
        <f t="shared" si="35"/>
        <v>0</v>
      </c>
    </row>
    <row r="886" spans="6:10" ht="15.75" hidden="1" thickBot="1">
      <c r="F886" s="682" t="s">
        <v>255</v>
      </c>
      <c r="G886" s="683" t="s">
        <v>256</v>
      </c>
      <c r="J886" s="639">
        <f t="shared" si="35"/>
        <v>0</v>
      </c>
    </row>
    <row r="887" spans="6:10" ht="15.75" hidden="1" thickBot="1">
      <c r="F887" s="682" t="s">
        <v>257</v>
      </c>
      <c r="G887" s="683" t="s">
        <v>258</v>
      </c>
      <c r="J887" s="639">
        <f t="shared" si="35"/>
        <v>0</v>
      </c>
    </row>
    <row r="888" spans="6:10" ht="15.75" hidden="1" thickBot="1">
      <c r="F888" s="682" t="s">
        <v>259</v>
      </c>
      <c r="G888" s="683" t="s">
        <v>260</v>
      </c>
      <c r="J888" s="639">
        <f t="shared" si="35"/>
        <v>0</v>
      </c>
    </row>
    <row r="889" spans="6:10" ht="15.75" hidden="1" thickBot="1">
      <c r="F889" s="682" t="s">
        <v>261</v>
      </c>
      <c r="G889" s="683" t="s">
        <v>262</v>
      </c>
      <c r="H889" s="638"/>
      <c r="I889" s="639"/>
      <c r="J889" s="639">
        <f t="shared" si="35"/>
        <v>0</v>
      </c>
    </row>
    <row r="890" spans="6:10" ht="15.75" thickBot="1">
      <c r="G890" s="274" t="s">
        <v>5172</v>
      </c>
      <c r="H890" s="640">
        <f>SUM(H874:H889)</f>
        <v>5100000</v>
      </c>
      <c r="I890" s="641">
        <f>SUM(I875:I889)</f>
        <v>0</v>
      </c>
      <c r="J890" s="641">
        <f>SUM(J874:J889)</f>
        <v>5100000</v>
      </c>
    </row>
    <row r="891" spans="6:10" hidden="1">
      <c r="G891" s="331"/>
      <c r="H891" s="644"/>
      <c r="I891" s="645"/>
      <c r="J891" s="645"/>
    </row>
    <row r="892" spans="6:10" hidden="1">
      <c r="G892" s="331"/>
      <c r="H892" s="644"/>
      <c r="I892" s="645"/>
      <c r="J892" s="645"/>
    </row>
    <row r="893" spans="6:10" hidden="1">
      <c r="G893" s="331"/>
      <c r="H893" s="644"/>
      <c r="I893" s="645"/>
      <c r="J893" s="645"/>
    </row>
    <row r="894" spans="6:10" hidden="1">
      <c r="G894" s="331"/>
      <c r="H894" s="644"/>
      <c r="I894" s="645"/>
      <c r="J894" s="645"/>
    </row>
    <row r="895" spans="6:10" hidden="1">
      <c r="G895" s="331"/>
      <c r="H895" s="644"/>
      <c r="I895" s="645"/>
      <c r="J895" s="645"/>
    </row>
    <row r="896" spans="6:10" hidden="1">
      <c r="G896" s="331"/>
      <c r="H896" s="644"/>
      <c r="I896" s="645"/>
      <c r="J896" s="645"/>
    </row>
    <row r="897" spans="1:25" hidden="1">
      <c r="G897" s="331"/>
      <c r="H897" s="644"/>
      <c r="I897" s="645"/>
      <c r="J897" s="645"/>
    </row>
    <row r="898" spans="1:25" hidden="1">
      <c r="G898" s="331"/>
      <c r="H898" s="644"/>
      <c r="I898" s="645"/>
      <c r="J898" s="645"/>
    </row>
    <row r="899" spans="1:25" hidden="1">
      <c r="G899" s="331"/>
      <c r="H899" s="644"/>
      <c r="I899" s="645"/>
      <c r="J899" s="645"/>
    </row>
    <row r="900" spans="1:25" hidden="1">
      <c r="G900" s="331"/>
      <c r="H900" s="644"/>
      <c r="I900" s="645"/>
      <c r="J900" s="645"/>
    </row>
    <row r="901" spans="1:25" hidden="1">
      <c r="G901" s="331"/>
      <c r="H901" s="644"/>
      <c r="I901" s="645"/>
      <c r="J901" s="645"/>
    </row>
    <row r="902" spans="1:25" hidden="1">
      <c r="G902" s="331"/>
      <c r="H902" s="644"/>
      <c r="I902" s="645"/>
      <c r="J902" s="645"/>
    </row>
    <row r="903" spans="1:25" hidden="1">
      <c r="G903" s="331"/>
      <c r="H903" s="644"/>
      <c r="I903" s="645"/>
      <c r="J903" s="645"/>
    </row>
    <row r="904" spans="1:25" hidden="1">
      <c r="G904" s="331"/>
      <c r="H904" s="644"/>
      <c r="I904" s="645"/>
      <c r="J904" s="645"/>
    </row>
    <row r="905" spans="1:25" hidden="1">
      <c r="G905" s="331"/>
      <c r="H905" s="644"/>
      <c r="I905" s="645"/>
      <c r="J905" s="645"/>
    </row>
    <row r="906" spans="1:25" hidden="1">
      <c r="G906" s="331"/>
      <c r="H906" s="644"/>
      <c r="I906" s="645"/>
      <c r="J906" s="645"/>
    </row>
    <row r="907" spans="1:25" hidden="1">
      <c r="G907" s="331"/>
      <c r="H907" s="644"/>
      <c r="I907" s="645"/>
      <c r="J907" s="645"/>
    </row>
    <row r="908" spans="1:25" s="88" customFormat="1" hidden="1">
      <c r="A908" s="551"/>
      <c r="B908" s="301"/>
      <c r="C908" s="321" t="s">
        <v>5099</v>
      </c>
      <c r="D908" s="264"/>
      <c r="E908" s="264"/>
      <c r="F908" s="322"/>
      <c r="G908" s="352" t="s">
        <v>5100</v>
      </c>
      <c r="H908" s="667"/>
      <c r="I908" s="650"/>
      <c r="J908" s="668"/>
      <c r="K908" s="575"/>
      <c r="L908" s="575"/>
      <c r="M908" s="575"/>
      <c r="N908" s="575"/>
      <c r="O908" s="575"/>
      <c r="P908" s="575"/>
      <c r="Q908" s="575"/>
      <c r="R908" s="575"/>
      <c r="S908" s="575"/>
      <c r="T908" s="575"/>
      <c r="U908" s="575"/>
      <c r="V908" s="575"/>
      <c r="W908" s="575"/>
      <c r="X908" s="575"/>
      <c r="Y908" s="575"/>
    </row>
    <row r="909" spans="1:25" s="88" customFormat="1" hidden="1">
      <c r="A909" s="551"/>
      <c r="B909" s="301"/>
      <c r="C909" s="310"/>
      <c r="D909" s="357">
        <v>620</v>
      </c>
      <c r="E909" s="357"/>
      <c r="F909" s="357"/>
      <c r="G909" s="370" t="s">
        <v>182</v>
      </c>
      <c r="H909" s="667"/>
      <c r="I909" s="650"/>
      <c r="J909" s="668"/>
      <c r="K909" s="575"/>
      <c r="L909" s="575"/>
      <c r="M909" s="575"/>
      <c r="N909" s="575"/>
      <c r="O909" s="575"/>
      <c r="P909" s="575"/>
      <c r="Q909" s="575"/>
      <c r="R909" s="575"/>
      <c r="S909" s="575"/>
      <c r="T909" s="575"/>
      <c r="U909" s="575"/>
      <c r="V909" s="575"/>
      <c r="W909" s="575"/>
      <c r="X909" s="575"/>
      <c r="Y909" s="575"/>
    </row>
    <row r="910" spans="1:25" s="88" customFormat="1" hidden="1">
      <c r="A910" s="551"/>
      <c r="B910" s="301"/>
      <c r="C910" s="310"/>
      <c r="D910" s="357"/>
      <c r="E910" s="357"/>
      <c r="F910" s="263">
        <v>411</v>
      </c>
      <c r="G910" s="562" t="s">
        <v>4173</v>
      </c>
      <c r="H910" s="667"/>
      <c r="I910" s="650"/>
      <c r="J910" s="668"/>
      <c r="K910" s="575"/>
      <c r="L910" s="575"/>
      <c r="M910" s="575"/>
      <c r="N910" s="575"/>
      <c r="O910" s="575"/>
      <c r="P910" s="575"/>
      <c r="Q910" s="575"/>
      <c r="R910" s="575"/>
      <c r="S910" s="575"/>
      <c r="T910" s="575"/>
      <c r="U910" s="575"/>
      <c r="V910" s="575"/>
      <c r="W910" s="575"/>
      <c r="X910" s="575"/>
      <c r="Y910" s="575"/>
    </row>
    <row r="911" spans="1:25" s="88" customFormat="1" hidden="1">
      <c r="A911" s="551"/>
      <c r="B911" s="301"/>
      <c r="C911" s="310"/>
      <c r="D911" s="357"/>
      <c r="E911" s="357"/>
      <c r="F911" s="263">
        <v>412</v>
      </c>
      <c r="G911" s="558" t="s">
        <v>3770</v>
      </c>
      <c r="H911" s="667"/>
      <c r="I911" s="650"/>
      <c r="J911" s="668"/>
      <c r="K911" s="575"/>
      <c r="L911" s="575"/>
      <c r="M911" s="575"/>
      <c r="N911" s="575"/>
      <c r="O911" s="575"/>
      <c r="P911" s="575"/>
      <c r="Q911" s="575"/>
      <c r="R911" s="575"/>
      <c r="S911" s="575"/>
      <c r="T911" s="575"/>
      <c r="U911" s="575"/>
      <c r="V911" s="575"/>
      <c r="W911" s="575"/>
      <c r="X911" s="575"/>
      <c r="Y911" s="575"/>
    </row>
    <row r="912" spans="1:25" s="88" customFormat="1" hidden="1">
      <c r="A912" s="551"/>
      <c r="B912" s="301"/>
      <c r="C912" s="361"/>
      <c r="D912" s="296"/>
      <c r="E912" s="296"/>
      <c r="F912" s="569">
        <v>422</v>
      </c>
      <c r="G912" s="562" t="s">
        <v>3784</v>
      </c>
      <c r="H912" s="667"/>
      <c r="I912" s="650"/>
      <c r="J912" s="668"/>
      <c r="K912" s="575"/>
      <c r="L912" s="575"/>
      <c r="M912" s="575"/>
      <c r="N912" s="575"/>
      <c r="O912" s="575"/>
      <c r="P912" s="575"/>
      <c r="Q912" s="575"/>
      <c r="R912" s="575"/>
      <c r="S912" s="575"/>
      <c r="T912" s="575"/>
      <c r="U912" s="575"/>
      <c r="V912" s="575"/>
      <c r="W912" s="575"/>
      <c r="X912" s="575"/>
      <c r="Y912" s="575"/>
    </row>
    <row r="913" spans="1:25" s="88" customFormat="1" hidden="1">
      <c r="A913" s="551"/>
      <c r="B913" s="301"/>
      <c r="C913" s="361"/>
      <c r="D913" s="296"/>
      <c r="E913" s="296"/>
      <c r="F913" s="569">
        <v>423</v>
      </c>
      <c r="G913" s="562" t="s">
        <v>3785</v>
      </c>
      <c r="H913" s="667"/>
      <c r="I913" s="650"/>
      <c r="J913" s="668"/>
      <c r="K913" s="575"/>
      <c r="L913" s="575"/>
      <c r="M913" s="575"/>
      <c r="N913" s="575"/>
      <c r="O913" s="575"/>
      <c r="P913" s="575"/>
      <c r="Q913" s="575"/>
      <c r="R913" s="575"/>
      <c r="S913" s="575"/>
      <c r="T913" s="575"/>
      <c r="U913" s="575"/>
      <c r="V913" s="575"/>
      <c r="W913" s="575"/>
      <c r="X913" s="575"/>
      <c r="Y913" s="575"/>
    </row>
    <row r="914" spans="1:25" s="88" customFormat="1" hidden="1">
      <c r="A914" s="551"/>
      <c r="B914" s="301"/>
      <c r="C914" s="361"/>
      <c r="D914" s="296"/>
      <c r="E914" s="296"/>
      <c r="F914" s="569">
        <v>424</v>
      </c>
      <c r="G914" s="562" t="s">
        <v>3787</v>
      </c>
      <c r="H914" s="667"/>
      <c r="I914" s="650"/>
      <c r="J914" s="668"/>
      <c r="K914" s="575"/>
      <c r="L914" s="575"/>
      <c r="M914" s="575"/>
      <c r="N914" s="575"/>
      <c r="O914" s="575"/>
      <c r="P914" s="575"/>
      <c r="Q914" s="575"/>
      <c r="R914" s="575"/>
      <c r="S914" s="575"/>
      <c r="T914" s="575"/>
      <c r="U914" s="575"/>
      <c r="V914" s="575"/>
      <c r="W914" s="575"/>
      <c r="X914" s="575"/>
      <c r="Y914" s="575"/>
    </row>
    <row r="915" spans="1:25" s="88" customFormat="1" hidden="1">
      <c r="A915" s="551"/>
      <c r="B915" s="301"/>
      <c r="C915" s="361"/>
      <c r="D915" s="296"/>
      <c r="E915" s="296"/>
      <c r="F915" s="569">
        <v>425</v>
      </c>
      <c r="G915" s="562" t="s">
        <v>4186</v>
      </c>
      <c r="H915" s="667"/>
      <c r="I915" s="650"/>
      <c r="J915" s="668"/>
      <c r="K915" s="575"/>
      <c r="L915" s="575"/>
      <c r="M915" s="575"/>
      <c r="N915" s="575"/>
      <c r="O915" s="575"/>
      <c r="P915" s="575"/>
      <c r="Q915" s="575"/>
      <c r="R915" s="575"/>
      <c r="S915" s="575"/>
      <c r="T915" s="575"/>
      <c r="U915" s="575"/>
      <c r="V915" s="575"/>
      <c r="W915" s="575"/>
      <c r="X915" s="575"/>
      <c r="Y915" s="575"/>
    </row>
    <row r="916" spans="1:25" s="88" customFormat="1" hidden="1">
      <c r="A916" s="551"/>
      <c r="B916" s="301"/>
      <c r="C916" s="361"/>
      <c r="D916" s="296"/>
      <c r="E916" s="296"/>
      <c r="F916" s="569">
        <v>426</v>
      </c>
      <c r="G916" s="562" t="s">
        <v>3791</v>
      </c>
      <c r="H916" s="667"/>
      <c r="I916" s="650"/>
      <c r="J916" s="668"/>
      <c r="K916" s="575"/>
      <c r="L916" s="575"/>
      <c r="M916" s="575"/>
      <c r="N916" s="575"/>
      <c r="O916" s="575"/>
      <c r="P916" s="575"/>
      <c r="Q916" s="575"/>
      <c r="R916" s="575"/>
      <c r="S916" s="575"/>
      <c r="T916" s="575"/>
      <c r="U916" s="575"/>
      <c r="V916" s="575"/>
      <c r="W916" s="575"/>
      <c r="X916" s="575"/>
      <c r="Y916" s="575"/>
    </row>
    <row r="917" spans="1:25" s="88" customFormat="1" hidden="1">
      <c r="A917" s="551"/>
      <c r="B917" s="301"/>
      <c r="C917" s="361"/>
      <c r="D917" s="296"/>
      <c r="E917" s="296"/>
      <c r="F917" s="569">
        <v>482</v>
      </c>
      <c r="G917" s="562" t="s">
        <v>4196</v>
      </c>
      <c r="H917" s="667"/>
      <c r="I917" s="650"/>
      <c r="J917" s="668"/>
      <c r="K917" s="575"/>
      <c r="L917" s="575"/>
      <c r="M917" s="575"/>
      <c r="N917" s="575"/>
      <c r="O917" s="575"/>
      <c r="P917" s="575"/>
      <c r="Q917" s="575"/>
      <c r="R917" s="575"/>
      <c r="S917" s="575"/>
      <c r="T917" s="575"/>
      <c r="U917" s="575"/>
      <c r="V917" s="575"/>
      <c r="W917" s="575"/>
      <c r="X917" s="575"/>
      <c r="Y917" s="575"/>
    </row>
    <row r="918" spans="1:25" s="88" customFormat="1" hidden="1">
      <c r="A918" s="551"/>
      <c r="B918" s="301"/>
      <c r="C918" s="361"/>
      <c r="D918" s="296"/>
      <c r="E918" s="296"/>
      <c r="F918" s="569">
        <v>511</v>
      </c>
      <c r="G918" s="566" t="s">
        <v>4200</v>
      </c>
      <c r="H918" s="667"/>
      <c r="I918" s="650"/>
      <c r="J918" s="668"/>
      <c r="K918" s="575"/>
      <c r="L918" s="575"/>
      <c r="M918" s="575"/>
      <c r="N918" s="575"/>
      <c r="O918" s="575"/>
      <c r="P918" s="575"/>
      <c r="Q918" s="575"/>
      <c r="R918" s="575"/>
      <c r="S918" s="575"/>
      <c r="T918" s="575"/>
      <c r="U918" s="575"/>
      <c r="V918" s="575"/>
      <c r="W918" s="575"/>
      <c r="X918" s="575"/>
      <c r="Y918" s="575"/>
    </row>
    <row r="919" spans="1:25" s="88" customFormat="1" hidden="1">
      <c r="A919" s="551"/>
      <c r="B919" s="301"/>
      <c r="C919" s="361"/>
      <c r="D919" s="296"/>
      <c r="E919" s="296"/>
      <c r="F919" s="569">
        <v>541</v>
      </c>
      <c r="G919" s="566" t="s">
        <v>4206</v>
      </c>
      <c r="H919" s="667"/>
      <c r="I919" s="650"/>
      <c r="J919" s="668"/>
      <c r="K919" s="575"/>
      <c r="L919" s="575"/>
      <c r="M919" s="575"/>
      <c r="N919" s="575"/>
      <c r="O919" s="575"/>
      <c r="P919" s="575"/>
      <c r="Q919" s="575"/>
      <c r="R919" s="575"/>
      <c r="S919" s="575"/>
      <c r="T919" s="575"/>
      <c r="U919" s="575"/>
      <c r="V919" s="575"/>
      <c r="W919" s="575"/>
      <c r="X919" s="575"/>
      <c r="Y919" s="575"/>
    </row>
    <row r="920" spans="1:25" hidden="1">
      <c r="E920" s="559"/>
      <c r="F920" s="570"/>
      <c r="G920" s="372" t="s">
        <v>4350</v>
      </c>
      <c r="H920" s="636"/>
      <c r="I920" s="662"/>
      <c r="J920" s="637"/>
    </row>
    <row r="921" spans="1:25" hidden="1">
      <c r="E921" s="267"/>
      <c r="F921" s="294" t="s">
        <v>234</v>
      </c>
      <c r="G921" s="297" t="s">
        <v>235</v>
      </c>
      <c r="H921" s="638">
        <f>SUM(H910:H919)</f>
        <v>0</v>
      </c>
      <c r="I921" s="639"/>
      <c r="J921" s="639">
        <f t="shared" ref="J921:J936" si="36">SUM(H921:I921)</f>
        <v>0</v>
      </c>
    </row>
    <row r="922" spans="1:25" hidden="1">
      <c r="F922" s="294" t="s">
        <v>236</v>
      </c>
      <c r="G922" s="297" t="s">
        <v>237</v>
      </c>
      <c r="J922" s="639">
        <f t="shared" si="36"/>
        <v>0</v>
      </c>
    </row>
    <row r="923" spans="1:25" hidden="1">
      <c r="F923" s="294" t="s">
        <v>238</v>
      </c>
      <c r="G923" s="297" t="s">
        <v>239</v>
      </c>
      <c r="J923" s="639">
        <f t="shared" si="36"/>
        <v>0</v>
      </c>
    </row>
    <row r="924" spans="1:25" hidden="1">
      <c r="F924" s="294" t="s">
        <v>240</v>
      </c>
      <c r="G924" s="297" t="s">
        <v>241</v>
      </c>
      <c r="J924" s="639">
        <f t="shared" si="36"/>
        <v>0</v>
      </c>
    </row>
    <row r="925" spans="1:25" hidden="1">
      <c r="F925" s="294" t="s">
        <v>242</v>
      </c>
      <c r="G925" s="297" t="s">
        <v>243</v>
      </c>
      <c r="J925" s="639">
        <f t="shared" si="36"/>
        <v>0</v>
      </c>
    </row>
    <row r="926" spans="1:25" hidden="1">
      <c r="F926" s="294" t="s">
        <v>244</v>
      </c>
      <c r="G926" s="297" t="s">
        <v>245</v>
      </c>
      <c r="J926" s="639">
        <f t="shared" si="36"/>
        <v>0</v>
      </c>
    </row>
    <row r="927" spans="1:25" hidden="1">
      <c r="F927" s="294" t="s">
        <v>246</v>
      </c>
      <c r="G927" s="683" t="s">
        <v>5121</v>
      </c>
      <c r="J927" s="639">
        <f t="shared" si="36"/>
        <v>0</v>
      </c>
    </row>
    <row r="928" spans="1:25" hidden="1">
      <c r="F928" s="294" t="s">
        <v>247</v>
      </c>
      <c r="G928" s="683" t="s">
        <v>5120</v>
      </c>
      <c r="J928" s="639">
        <f t="shared" si="36"/>
        <v>0</v>
      </c>
    </row>
    <row r="929" spans="5:10" hidden="1">
      <c r="F929" s="294" t="s">
        <v>248</v>
      </c>
      <c r="G929" s="297" t="s">
        <v>57</v>
      </c>
      <c r="J929" s="639">
        <f t="shared" si="36"/>
        <v>0</v>
      </c>
    </row>
    <row r="930" spans="5:10" hidden="1">
      <c r="F930" s="294" t="s">
        <v>249</v>
      </c>
      <c r="G930" s="297" t="s">
        <v>250</v>
      </c>
      <c r="J930" s="639">
        <f t="shared" si="36"/>
        <v>0</v>
      </c>
    </row>
    <row r="931" spans="5:10" hidden="1">
      <c r="F931" s="294" t="s">
        <v>251</v>
      </c>
      <c r="G931" s="297" t="s">
        <v>252</v>
      </c>
      <c r="J931" s="639">
        <f t="shared" si="36"/>
        <v>0</v>
      </c>
    </row>
    <row r="932" spans="5:10" hidden="1">
      <c r="F932" s="294" t="s">
        <v>253</v>
      </c>
      <c r="G932" s="297" t="s">
        <v>254</v>
      </c>
      <c r="J932" s="639">
        <f t="shared" si="36"/>
        <v>0</v>
      </c>
    </row>
    <row r="933" spans="5:10" hidden="1">
      <c r="F933" s="294" t="s">
        <v>255</v>
      </c>
      <c r="G933" s="297" t="s">
        <v>256</v>
      </c>
      <c r="J933" s="639">
        <f t="shared" si="36"/>
        <v>0</v>
      </c>
    </row>
    <row r="934" spans="5:10" hidden="1">
      <c r="F934" s="294" t="s">
        <v>257</v>
      </c>
      <c r="G934" s="297" t="s">
        <v>258</v>
      </c>
      <c r="J934" s="639">
        <f t="shared" si="36"/>
        <v>0</v>
      </c>
    </row>
    <row r="935" spans="5:10" hidden="1">
      <c r="F935" s="294" t="s">
        <v>259</v>
      </c>
      <c r="G935" s="297" t="s">
        <v>260</v>
      </c>
      <c r="J935" s="639">
        <f t="shared" si="36"/>
        <v>0</v>
      </c>
    </row>
    <row r="936" spans="5:10" hidden="1">
      <c r="F936" s="294" t="s">
        <v>261</v>
      </c>
      <c r="G936" s="297" t="s">
        <v>262</v>
      </c>
      <c r="H936" s="638"/>
      <c r="I936" s="639"/>
      <c r="J936" s="639">
        <f t="shared" si="36"/>
        <v>0</v>
      </c>
    </row>
    <row r="937" spans="5:10" ht="15.75" hidden="1" thickBot="1">
      <c r="G937" s="274" t="s">
        <v>4351</v>
      </c>
      <c r="H937" s="640">
        <f>SUM(H921:H936)</f>
        <v>0</v>
      </c>
      <c r="I937" s="641">
        <f>SUM(I922:I936)</f>
        <v>0</v>
      </c>
      <c r="J937" s="641">
        <f>SUM(J921:J936)</f>
        <v>0</v>
      </c>
    </row>
    <row r="938" spans="5:10" hidden="1" collapsed="1">
      <c r="E938" s="559"/>
      <c r="F938" s="570"/>
      <c r="G938" s="276" t="s">
        <v>4400</v>
      </c>
      <c r="H938" s="642"/>
      <c r="I938" s="663"/>
      <c r="J938" s="643"/>
    </row>
    <row r="939" spans="5:10" hidden="1">
      <c r="E939" s="267"/>
      <c r="F939" s="294" t="s">
        <v>234</v>
      </c>
      <c r="G939" s="297" t="s">
        <v>235</v>
      </c>
      <c r="H939" s="638">
        <f>SUM(H910:H919)</f>
        <v>0</v>
      </c>
      <c r="I939" s="639"/>
      <c r="J939" s="639">
        <f>SUM(H939:I939)</f>
        <v>0</v>
      </c>
    </row>
    <row r="940" spans="5:10" hidden="1">
      <c r="F940" s="294" t="s">
        <v>236</v>
      </c>
      <c r="G940" s="297" t="s">
        <v>237</v>
      </c>
      <c r="J940" s="639">
        <f t="shared" ref="J940:J954" si="37">SUM(H940:I940)</f>
        <v>0</v>
      </c>
    </row>
    <row r="941" spans="5:10" hidden="1">
      <c r="F941" s="294" t="s">
        <v>238</v>
      </c>
      <c r="G941" s="297" t="s">
        <v>239</v>
      </c>
      <c r="J941" s="639">
        <f t="shared" si="37"/>
        <v>0</v>
      </c>
    </row>
    <row r="942" spans="5:10" hidden="1">
      <c r="F942" s="294" t="s">
        <v>240</v>
      </c>
      <c r="G942" s="297" t="s">
        <v>241</v>
      </c>
      <c r="J942" s="639">
        <f t="shared" si="37"/>
        <v>0</v>
      </c>
    </row>
    <row r="943" spans="5:10" hidden="1">
      <c r="F943" s="294" t="s">
        <v>242</v>
      </c>
      <c r="G943" s="297" t="s">
        <v>243</v>
      </c>
      <c r="J943" s="639">
        <f t="shared" si="37"/>
        <v>0</v>
      </c>
    </row>
    <row r="944" spans="5:10" hidden="1">
      <c r="F944" s="294" t="s">
        <v>244</v>
      </c>
      <c r="G944" s="297" t="s">
        <v>245</v>
      </c>
      <c r="J944" s="639">
        <f t="shared" si="37"/>
        <v>0</v>
      </c>
    </row>
    <row r="945" spans="6:25" hidden="1">
      <c r="F945" s="294" t="s">
        <v>246</v>
      </c>
      <c r="G945" s="683" t="s">
        <v>5121</v>
      </c>
      <c r="J945" s="639">
        <f t="shared" si="37"/>
        <v>0</v>
      </c>
    </row>
    <row r="946" spans="6:25" hidden="1">
      <c r="F946" s="294" t="s">
        <v>247</v>
      </c>
      <c r="G946" s="683" t="s">
        <v>5120</v>
      </c>
      <c r="J946" s="639">
        <f t="shared" si="37"/>
        <v>0</v>
      </c>
    </row>
    <row r="947" spans="6:25" hidden="1">
      <c r="F947" s="294" t="s">
        <v>248</v>
      </c>
      <c r="G947" s="297" t="s">
        <v>57</v>
      </c>
      <c r="J947" s="639">
        <f t="shared" si="37"/>
        <v>0</v>
      </c>
    </row>
    <row r="948" spans="6:25" hidden="1">
      <c r="F948" s="294" t="s">
        <v>249</v>
      </c>
      <c r="G948" s="297" t="s">
        <v>250</v>
      </c>
      <c r="J948" s="639">
        <f t="shared" si="37"/>
        <v>0</v>
      </c>
    </row>
    <row r="949" spans="6:25" hidden="1">
      <c r="F949" s="294" t="s">
        <v>251</v>
      </c>
      <c r="G949" s="297" t="s">
        <v>252</v>
      </c>
      <c r="J949" s="639">
        <f t="shared" si="37"/>
        <v>0</v>
      </c>
    </row>
    <row r="950" spans="6:25" hidden="1">
      <c r="F950" s="294" t="s">
        <v>253</v>
      </c>
      <c r="G950" s="297" t="s">
        <v>254</v>
      </c>
      <c r="J950" s="639">
        <f t="shared" si="37"/>
        <v>0</v>
      </c>
    </row>
    <row r="951" spans="6:25" hidden="1">
      <c r="F951" s="294" t="s">
        <v>255</v>
      </c>
      <c r="G951" s="297" t="s">
        <v>256</v>
      </c>
      <c r="J951" s="639">
        <f t="shared" si="37"/>
        <v>0</v>
      </c>
    </row>
    <row r="952" spans="6:25" hidden="1">
      <c r="F952" s="294" t="s">
        <v>257</v>
      </c>
      <c r="G952" s="297" t="s">
        <v>258</v>
      </c>
      <c r="J952" s="639">
        <f t="shared" si="37"/>
        <v>0</v>
      </c>
    </row>
    <row r="953" spans="6:25" hidden="1">
      <c r="F953" s="294" t="s">
        <v>259</v>
      </c>
      <c r="G953" s="297" t="s">
        <v>260</v>
      </c>
      <c r="J953" s="639">
        <f t="shared" si="37"/>
        <v>0</v>
      </c>
    </row>
    <row r="954" spans="6:25" hidden="1">
      <c r="F954" s="294" t="s">
        <v>261</v>
      </c>
      <c r="G954" s="297" t="s">
        <v>262</v>
      </c>
      <c r="H954" s="638"/>
      <c r="I954" s="639"/>
      <c r="J954" s="639">
        <f t="shared" si="37"/>
        <v>0</v>
      </c>
    </row>
    <row r="955" spans="6:25" ht="15.75" hidden="1" collapsed="1" thickBot="1">
      <c r="G955" s="274" t="s">
        <v>4401</v>
      </c>
      <c r="H955" s="640">
        <f>SUM(H939:H954)</f>
        <v>0</v>
      </c>
      <c r="I955" s="641">
        <f>SUM(I940:I954)</f>
        <v>0</v>
      </c>
      <c r="J955" s="641">
        <f>SUM(J939:J954)</f>
        <v>0</v>
      </c>
    </row>
    <row r="956" spans="6:25" hidden="1">
      <c r="G956" s="331"/>
      <c r="H956" s="644"/>
      <c r="I956" s="645"/>
      <c r="J956" s="645"/>
    </row>
    <row r="957" spans="6:25" s="88" customFormat="1" hidden="1">
      <c r="K957" s="575"/>
      <c r="L957" s="575"/>
      <c r="M957" s="575"/>
      <c r="N957" s="575"/>
      <c r="O957" s="575"/>
      <c r="P957" s="575"/>
      <c r="Q957" s="575"/>
      <c r="R957" s="575"/>
      <c r="S957" s="575"/>
      <c r="T957" s="575"/>
      <c r="U957" s="575"/>
      <c r="V957" s="575"/>
      <c r="W957" s="575"/>
      <c r="X957" s="575"/>
      <c r="Y957" s="575"/>
    </row>
    <row r="958" spans="6:25" s="88" customFormat="1" hidden="1">
      <c r="K958" s="575"/>
      <c r="L958" s="575"/>
      <c r="M958" s="575"/>
      <c r="N958" s="575"/>
      <c r="O958" s="575"/>
      <c r="P958" s="575"/>
      <c r="Q958" s="575"/>
      <c r="R958" s="575"/>
      <c r="S958" s="575"/>
      <c r="T958" s="575"/>
      <c r="U958" s="575"/>
      <c r="V958" s="575"/>
      <c r="W958" s="575"/>
      <c r="X958" s="575"/>
      <c r="Y958" s="575"/>
    </row>
    <row r="959" spans="6:25" s="88" customFormat="1" hidden="1">
      <c r="K959" s="575"/>
      <c r="L959" s="575"/>
      <c r="M959" s="575"/>
      <c r="N959" s="575"/>
      <c r="O959" s="575"/>
      <c r="P959" s="575"/>
      <c r="Q959" s="575"/>
      <c r="R959" s="575"/>
      <c r="S959" s="575"/>
      <c r="T959" s="575"/>
      <c r="U959" s="575"/>
      <c r="V959" s="575"/>
      <c r="W959" s="575"/>
      <c r="X959" s="575"/>
      <c r="Y959" s="575"/>
    </row>
    <row r="960" spans="6:25" s="88" customFormat="1" hidden="1">
      <c r="K960" s="575"/>
      <c r="L960" s="575"/>
      <c r="M960" s="575"/>
      <c r="N960" s="575"/>
      <c r="O960" s="575"/>
      <c r="P960" s="575"/>
      <c r="Q960" s="575"/>
      <c r="R960" s="575"/>
      <c r="S960" s="575"/>
      <c r="T960" s="575"/>
      <c r="U960" s="575"/>
      <c r="V960" s="575"/>
      <c r="W960" s="575"/>
      <c r="X960" s="575"/>
      <c r="Y960" s="575"/>
    </row>
    <row r="961" spans="1:25" s="88" customFormat="1" hidden="1">
      <c r="K961" s="575"/>
      <c r="L961" s="575"/>
      <c r="M961" s="575"/>
      <c r="N961" s="575"/>
      <c r="O961" s="575"/>
      <c r="P961" s="575"/>
      <c r="Q961" s="575"/>
      <c r="R961" s="575"/>
      <c r="S961" s="575"/>
      <c r="T961" s="575"/>
      <c r="U961" s="575"/>
      <c r="V961" s="575"/>
      <c r="W961" s="575"/>
      <c r="X961" s="575"/>
      <c r="Y961" s="575"/>
    </row>
    <row r="962" spans="1:25" s="88" customFormat="1" hidden="1">
      <c r="K962" s="575"/>
      <c r="L962" s="575"/>
      <c r="M962" s="575"/>
      <c r="N962" s="575"/>
      <c r="O962" s="575"/>
      <c r="P962" s="575"/>
      <c r="Q962" s="575"/>
      <c r="R962" s="575"/>
      <c r="S962" s="575"/>
      <c r="T962" s="575"/>
      <c r="U962" s="575"/>
      <c r="V962" s="575"/>
      <c r="W962" s="575"/>
      <c r="X962" s="575"/>
      <c r="Y962" s="575"/>
    </row>
    <row r="963" spans="1:25" hidden="1">
      <c r="A963" s="84"/>
      <c r="B963" s="84"/>
      <c r="C963" s="84"/>
      <c r="D963" s="84"/>
      <c r="E963" s="84"/>
      <c r="F963" s="84"/>
      <c r="G963" s="84"/>
      <c r="H963" s="84"/>
      <c r="I963" s="84"/>
      <c r="J963" s="84"/>
    </row>
    <row r="964" spans="1:25" hidden="1">
      <c r="A964" s="84"/>
      <c r="B964" s="84"/>
      <c r="C964" s="84"/>
      <c r="D964" s="84"/>
      <c r="E964" s="84"/>
      <c r="F964" s="84"/>
      <c r="G964" s="84"/>
      <c r="H964" s="84"/>
      <c r="I964" s="84"/>
      <c r="J964" s="84"/>
    </row>
    <row r="965" spans="1:25" hidden="1">
      <c r="A965" s="84"/>
      <c r="B965" s="84"/>
      <c r="C965" s="84"/>
      <c r="D965" s="84"/>
      <c r="E965" s="84"/>
      <c r="F965" s="84"/>
      <c r="G965" s="84"/>
      <c r="H965" s="84"/>
      <c r="I965" s="84"/>
      <c r="J965" s="84"/>
    </row>
    <row r="966" spans="1:25" hidden="1">
      <c r="A966" s="84"/>
      <c r="B966" s="84"/>
      <c r="C966" s="84"/>
      <c r="D966" s="84"/>
      <c r="E966" s="84"/>
      <c r="F966" s="84"/>
      <c r="G966" s="84"/>
      <c r="H966" s="84"/>
      <c r="I966" s="84"/>
      <c r="J966" s="84"/>
    </row>
    <row r="967" spans="1:25" hidden="1">
      <c r="A967" s="84"/>
      <c r="B967" s="84"/>
      <c r="C967" s="84"/>
      <c r="D967" s="84"/>
      <c r="E967" s="84"/>
      <c r="F967" s="84"/>
      <c r="G967" s="84"/>
      <c r="H967" s="84"/>
      <c r="I967" s="84"/>
      <c r="J967" s="84"/>
    </row>
    <row r="968" spans="1:25" hidden="1">
      <c r="A968" s="84"/>
      <c r="B968" s="84"/>
      <c r="C968" s="84"/>
      <c r="D968" s="84"/>
      <c r="E968" s="84"/>
      <c r="F968" s="84"/>
      <c r="G968" s="84"/>
      <c r="H968" s="84"/>
      <c r="I968" s="84"/>
      <c r="J968" s="84"/>
    </row>
    <row r="969" spans="1:25" hidden="1">
      <c r="A969" s="84"/>
      <c r="B969" s="84"/>
      <c r="C969" s="84"/>
      <c r="D969" s="84"/>
      <c r="E969" s="84"/>
      <c r="F969" s="84"/>
      <c r="G969" s="84"/>
      <c r="H969" s="84"/>
      <c r="I969" s="84"/>
      <c r="J969" s="84"/>
    </row>
    <row r="970" spans="1:25" hidden="1">
      <c r="A970" s="84"/>
      <c r="B970" s="84"/>
      <c r="C970" s="84"/>
      <c r="D970" s="84"/>
      <c r="E970" s="84"/>
      <c r="F970" s="84"/>
      <c r="G970" s="84"/>
      <c r="H970" s="84"/>
      <c r="I970" s="84"/>
      <c r="J970" s="84"/>
    </row>
    <row r="971" spans="1:25" hidden="1">
      <c r="A971" s="84"/>
      <c r="B971" s="84"/>
      <c r="C971" s="84"/>
      <c r="D971" s="84"/>
      <c r="E971" s="84"/>
      <c r="F971" s="84"/>
      <c r="G971" s="84"/>
      <c r="H971" s="84"/>
      <c r="I971" s="84"/>
      <c r="J971" s="84"/>
    </row>
    <row r="972" spans="1:25" hidden="1">
      <c r="A972" s="84"/>
      <c r="B972" s="84"/>
      <c r="C972" s="84"/>
      <c r="D972" s="84"/>
      <c r="E972" s="84"/>
      <c r="F972" s="84"/>
      <c r="G972" s="84"/>
      <c r="H972" s="84"/>
      <c r="I972" s="84"/>
      <c r="J972" s="84"/>
    </row>
    <row r="973" spans="1:25" hidden="1">
      <c r="A973" s="84"/>
      <c r="B973" s="84"/>
      <c r="C973" s="84"/>
      <c r="D973" s="84"/>
      <c r="E973" s="84"/>
      <c r="F973" s="84"/>
      <c r="G973" s="84"/>
      <c r="H973" s="84"/>
      <c r="I973" s="84"/>
      <c r="J973" s="84"/>
    </row>
    <row r="974" spans="1:25" hidden="1">
      <c r="A974" s="84"/>
      <c r="B974" s="84"/>
      <c r="C974" s="84"/>
      <c r="D974" s="84"/>
      <c r="E974" s="84"/>
      <c r="F974" s="84"/>
      <c r="G974" s="84"/>
      <c r="H974" s="84"/>
      <c r="I974" s="84"/>
      <c r="J974" s="84"/>
    </row>
    <row r="975" spans="1:25" hidden="1">
      <c r="A975" s="84"/>
      <c r="B975" s="84"/>
      <c r="C975" s="84"/>
      <c r="D975" s="84"/>
      <c r="E975" s="84"/>
      <c r="F975" s="84"/>
      <c r="G975" s="84"/>
      <c r="H975" s="84"/>
      <c r="I975" s="84"/>
      <c r="J975" s="84"/>
    </row>
    <row r="976" spans="1:25" hidden="1">
      <c r="A976" s="84"/>
      <c r="B976" s="84"/>
      <c r="C976" s="84"/>
      <c r="D976" s="84"/>
      <c r="E976" s="84"/>
      <c r="F976" s="84"/>
      <c r="G976" s="84"/>
      <c r="H976" s="84"/>
      <c r="I976" s="84"/>
      <c r="J976" s="84"/>
    </row>
    <row r="977" spans="1:10" hidden="1">
      <c r="A977" s="84"/>
      <c r="B977" s="84"/>
      <c r="C977" s="84"/>
      <c r="D977" s="84"/>
      <c r="E977" s="84"/>
      <c r="F977" s="84"/>
      <c r="G977" s="84"/>
      <c r="H977" s="84"/>
      <c r="I977" s="84"/>
      <c r="J977" s="84"/>
    </row>
    <row r="978" spans="1:10" hidden="1">
      <c r="A978" s="84"/>
      <c r="B978" s="84"/>
      <c r="C978" s="84"/>
      <c r="D978" s="84"/>
      <c r="E978" s="84"/>
      <c r="F978" s="84"/>
      <c r="G978" s="84"/>
      <c r="H978" s="84"/>
      <c r="I978" s="84"/>
      <c r="J978" s="84"/>
    </row>
    <row r="979" spans="1:10" hidden="1">
      <c r="A979" s="84"/>
      <c r="B979" s="84"/>
      <c r="C979" s="84"/>
      <c r="D979" s="84"/>
      <c r="E979" s="84"/>
      <c r="F979" s="84"/>
      <c r="G979" s="84"/>
      <c r="H979" s="84"/>
      <c r="I979" s="84"/>
      <c r="J979" s="84"/>
    </row>
    <row r="980" spans="1:10" hidden="1">
      <c r="A980" s="84"/>
      <c r="B980" s="84"/>
      <c r="C980" s="84"/>
      <c r="D980" s="84"/>
      <c r="E980" s="84"/>
      <c r="F980" s="84"/>
      <c r="G980" s="84"/>
      <c r="H980" s="84"/>
      <c r="I980" s="84"/>
      <c r="J980" s="84"/>
    </row>
    <row r="981" spans="1:10" hidden="1" collapsed="1">
      <c r="A981" s="84"/>
      <c r="B981" s="84"/>
      <c r="C981" s="84"/>
      <c r="D981" s="84"/>
      <c r="E981" s="84"/>
      <c r="F981" s="84"/>
      <c r="G981" s="84"/>
      <c r="H981" s="84"/>
      <c r="I981" s="84"/>
      <c r="J981" s="84"/>
    </row>
    <row r="982" spans="1:10" hidden="1">
      <c r="A982" s="84"/>
      <c r="B982" s="84"/>
      <c r="C982" s="84"/>
      <c r="D982" s="84"/>
      <c r="E982" s="84"/>
      <c r="F982" s="84"/>
      <c r="G982" s="84"/>
      <c r="H982" s="84"/>
      <c r="I982" s="84"/>
      <c r="J982" s="84"/>
    </row>
    <row r="983" spans="1:10" hidden="1">
      <c r="A983" s="84"/>
      <c r="B983" s="84"/>
      <c r="C983" s="84"/>
      <c r="D983" s="84"/>
      <c r="E983" s="84"/>
      <c r="F983" s="84"/>
      <c r="G983" s="84"/>
      <c r="H983" s="84"/>
      <c r="I983" s="84"/>
      <c r="J983" s="84"/>
    </row>
    <row r="984" spans="1:10" hidden="1">
      <c r="A984" s="84"/>
      <c r="B984" s="84"/>
      <c r="C984" s="84"/>
      <c r="D984" s="84"/>
      <c r="E984" s="84"/>
      <c r="F984" s="84"/>
      <c r="G984" s="84"/>
      <c r="H984" s="84"/>
      <c r="I984" s="84"/>
      <c r="J984" s="84"/>
    </row>
    <row r="985" spans="1:10" hidden="1">
      <c r="A985" s="84"/>
      <c r="B985" s="84"/>
      <c r="C985" s="84"/>
      <c r="D985" s="84"/>
      <c r="E985" s="84"/>
      <c r="F985" s="84"/>
      <c r="G985" s="84"/>
      <c r="H985" s="84"/>
      <c r="I985" s="84"/>
      <c r="J985" s="84"/>
    </row>
    <row r="986" spans="1:10" hidden="1">
      <c r="A986" s="84"/>
      <c r="B986" s="84"/>
      <c r="C986" s="84"/>
      <c r="D986" s="84"/>
      <c r="E986" s="84"/>
      <c r="F986" s="84"/>
      <c r="G986" s="84"/>
      <c r="H986" s="84"/>
      <c r="I986" s="84"/>
      <c r="J986" s="84"/>
    </row>
    <row r="987" spans="1:10" hidden="1">
      <c r="A987" s="84"/>
      <c r="B987" s="84"/>
      <c r="C987" s="84"/>
      <c r="D987" s="84"/>
      <c r="E987" s="84"/>
      <c r="F987" s="84"/>
      <c r="G987" s="84"/>
      <c r="H987" s="84"/>
      <c r="I987" s="84"/>
      <c r="J987" s="84"/>
    </row>
    <row r="988" spans="1:10" hidden="1">
      <c r="A988" s="84"/>
      <c r="B988" s="84"/>
      <c r="C988" s="84"/>
      <c r="D988" s="84"/>
      <c r="E988" s="84"/>
      <c r="F988" s="84"/>
      <c r="G988" s="84"/>
      <c r="H988" s="84"/>
      <c r="I988" s="84"/>
      <c r="J988" s="84"/>
    </row>
    <row r="989" spans="1:10" hidden="1">
      <c r="A989" s="84"/>
      <c r="B989" s="84"/>
      <c r="C989" s="84"/>
      <c r="D989" s="84"/>
      <c r="E989" s="84"/>
      <c r="F989" s="84"/>
      <c r="G989" s="84"/>
      <c r="H989" s="84"/>
      <c r="I989" s="84"/>
      <c r="J989" s="84"/>
    </row>
    <row r="990" spans="1:10" hidden="1">
      <c r="A990" s="84"/>
      <c r="B990" s="84"/>
      <c r="C990" s="84"/>
      <c r="D990" s="84"/>
      <c r="E990" s="84"/>
      <c r="F990" s="84"/>
      <c r="G990" s="84"/>
      <c r="H990" s="84"/>
      <c r="I990" s="84"/>
      <c r="J990" s="84"/>
    </row>
    <row r="991" spans="1:10" hidden="1">
      <c r="A991" s="84"/>
      <c r="B991" s="84"/>
      <c r="C991" s="84"/>
      <c r="D991" s="84"/>
      <c r="E991" s="84"/>
      <c r="F991" s="84"/>
      <c r="G991" s="84"/>
      <c r="H991" s="84"/>
      <c r="I991" s="84"/>
      <c r="J991" s="84"/>
    </row>
    <row r="992" spans="1:10" hidden="1">
      <c r="A992" s="84"/>
      <c r="B992" s="84"/>
      <c r="C992" s="84"/>
      <c r="D992" s="84"/>
      <c r="E992" s="84"/>
      <c r="F992" s="84"/>
      <c r="G992" s="84"/>
      <c r="H992" s="84"/>
      <c r="I992" s="84"/>
      <c r="J992" s="84"/>
    </row>
    <row r="993" spans="1:25" hidden="1">
      <c r="A993" s="84"/>
      <c r="B993" s="84"/>
      <c r="C993" s="84"/>
      <c r="D993" s="84"/>
      <c r="E993" s="84"/>
      <c r="F993" s="84"/>
      <c r="G993" s="84"/>
      <c r="H993" s="84"/>
      <c r="I993" s="84"/>
      <c r="J993" s="84"/>
    </row>
    <row r="994" spans="1:25" hidden="1">
      <c r="A994" s="84"/>
      <c r="B994" s="84"/>
      <c r="C994" s="84"/>
      <c r="D994" s="84"/>
      <c r="E994" s="84"/>
      <c r="F994" s="84"/>
      <c r="G994" s="84"/>
      <c r="H994" s="84"/>
      <c r="I994" s="84"/>
      <c r="J994" s="84"/>
    </row>
    <row r="995" spans="1:25" hidden="1">
      <c r="A995" s="84"/>
      <c r="B995" s="84"/>
      <c r="C995" s="84"/>
      <c r="D995" s="84"/>
      <c r="E995" s="84"/>
      <c r="F995" s="84"/>
      <c r="G995" s="84"/>
      <c r="H995" s="84"/>
      <c r="I995" s="84"/>
      <c r="J995" s="84"/>
    </row>
    <row r="996" spans="1:25" hidden="1">
      <c r="A996" s="84"/>
      <c r="B996" s="84"/>
      <c r="C996" s="84"/>
      <c r="D996" s="84"/>
      <c r="E996" s="84"/>
      <c r="F996" s="84"/>
      <c r="G996" s="84"/>
      <c r="H996" s="84"/>
      <c r="I996" s="84"/>
      <c r="J996" s="84"/>
    </row>
    <row r="997" spans="1:25" hidden="1">
      <c r="A997" s="84"/>
      <c r="B997" s="84"/>
      <c r="C997" s="84"/>
      <c r="D997" s="84"/>
      <c r="E997" s="84"/>
      <c r="F997" s="84"/>
      <c r="G997" s="84"/>
      <c r="H997" s="84"/>
      <c r="I997" s="84"/>
      <c r="J997" s="84"/>
    </row>
    <row r="998" spans="1:25" hidden="1">
      <c r="A998" s="84"/>
      <c r="B998" s="84"/>
      <c r="C998" s="84"/>
      <c r="D998" s="84"/>
      <c r="E998" s="84"/>
      <c r="F998" s="84"/>
      <c r="G998" s="84"/>
      <c r="H998" s="84"/>
      <c r="I998" s="84"/>
      <c r="J998" s="84"/>
    </row>
    <row r="999" spans="1:25" s="88" customFormat="1" ht="14.25" customHeight="1">
      <c r="A999" s="306"/>
      <c r="B999" s="301"/>
      <c r="C999" s="361"/>
      <c r="D999" s="296"/>
      <c r="E999" s="296"/>
      <c r="F999" s="302"/>
      <c r="G999" s="339"/>
      <c r="H999" s="667"/>
      <c r="I999" s="650"/>
      <c r="J999" s="668"/>
      <c r="K999" s="575"/>
      <c r="L999" s="575"/>
      <c r="M999" s="575"/>
      <c r="N999" s="575"/>
      <c r="O999" s="575"/>
      <c r="P999" s="575"/>
      <c r="Q999" s="575"/>
      <c r="R999" s="575"/>
      <c r="S999" s="575"/>
      <c r="T999" s="575"/>
      <c r="U999" s="575"/>
      <c r="V999" s="575"/>
      <c r="W999" s="575"/>
      <c r="X999" s="575"/>
      <c r="Y999" s="575"/>
    </row>
    <row r="1000" spans="1:25" s="88" customFormat="1">
      <c r="A1000" s="306"/>
      <c r="B1000" s="301"/>
      <c r="C1000" s="361"/>
      <c r="D1000" s="296"/>
      <c r="E1000" s="296"/>
      <c r="F1000" s="309"/>
      <c r="G1000" s="295" t="s">
        <v>4209</v>
      </c>
      <c r="H1000" s="646"/>
      <c r="I1000" s="664"/>
      <c r="J1000" s="647"/>
      <c r="K1000" s="575"/>
      <c r="L1000" s="575"/>
      <c r="M1000" s="575"/>
      <c r="N1000" s="575"/>
      <c r="O1000" s="575"/>
      <c r="P1000" s="575"/>
      <c r="Q1000" s="575"/>
      <c r="R1000" s="575"/>
      <c r="S1000" s="575"/>
      <c r="T1000" s="575"/>
      <c r="U1000" s="575"/>
      <c r="V1000" s="575"/>
      <c r="W1000" s="575"/>
      <c r="X1000" s="575"/>
      <c r="Y1000" s="575"/>
    </row>
    <row r="1001" spans="1:25" s="88" customFormat="1" ht="15.75" thickBot="1">
      <c r="A1001" s="306"/>
      <c r="B1001" s="301"/>
      <c r="C1001" s="361"/>
      <c r="D1001" s="296"/>
      <c r="E1001" s="296"/>
      <c r="F1001" s="294" t="s">
        <v>234</v>
      </c>
      <c r="G1001" s="297" t="s">
        <v>235</v>
      </c>
      <c r="H1001" s="638">
        <f>SUM(H856,H813,H770)</f>
        <v>100091153</v>
      </c>
      <c r="I1001" s="639"/>
      <c r="J1001" s="639">
        <f>SUM(H1001:I1001)</f>
        <v>100091153</v>
      </c>
      <c r="K1001" s="575"/>
      <c r="L1001" s="575"/>
      <c r="M1001" s="575"/>
      <c r="N1001" s="575"/>
      <c r="O1001" s="575"/>
      <c r="P1001" s="575"/>
      <c r="Q1001" s="575"/>
      <c r="R1001" s="575"/>
      <c r="S1001" s="575"/>
      <c r="T1001" s="575"/>
      <c r="U1001" s="575"/>
      <c r="V1001" s="575"/>
      <c r="W1001" s="575"/>
      <c r="X1001" s="575"/>
      <c r="Y1001" s="575"/>
    </row>
    <row r="1002" spans="1:25" s="88" customFormat="1" ht="15.75" hidden="1" thickBot="1">
      <c r="A1002" s="306"/>
      <c r="B1002" s="301"/>
      <c r="C1002" s="361"/>
      <c r="D1002" s="296"/>
      <c r="E1002" s="296"/>
      <c r="F1002" s="294" t="s">
        <v>236</v>
      </c>
      <c r="G1002" s="297" t="s">
        <v>237</v>
      </c>
      <c r="H1002" s="634"/>
      <c r="I1002" s="635"/>
      <c r="J1002" s="639">
        <f t="shared" ref="J1002:J1016" si="38">SUM(H1002:I1002)</f>
        <v>0</v>
      </c>
      <c r="K1002" s="575"/>
      <c r="L1002" s="575"/>
      <c r="M1002" s="575"/>
      <c r="N1002" s="575"/>
      <c r="O1002" s="575"/>
      <c r="P1002" s="575"/>
      <c r="Q1002" s="575"/>
      <c r="R1002" s="575"/>
      <c r="S1002" s="575"/>
      <c r="T1002" s="575"/>
      <c r="U1002" s="575"/>
      <c r="V1002" s="575"/>
      <c r="W1002" s="575"/>
      <c r="X1002" s="575"/>
      <c r="Y1002" s="575"/>
    </row>
    <row r="1003" spans="1:25" s="88" customFormat="1" ht="15.75" hidden="1" thickBot="1">
      <c r="A1003" s="306"/>
      <c r="B1003" s="301"/>
      <c r="C1003" s="361"/>
      <c r="D1003" s="296"/>
      <c r="E1003" s="296"/>
      <c r="F1003" s="294" t="s">
        <v>238</v>
      </c>
      <c r="G1003" s="297" t="s">
        <v>239</v>
      </c>
      <c r="H1003" s="634"/>
      <c r="I1003" s="635"/>
      <c r="J1003" s="639">
        <f t="shared" si="38"/>
        <v>0</v>
      </c>
      <c r="K1003" s="575"/>
      <c r="L1003" s="575"/>
      <c r="M1003" s="575"/>
      <c r="N1003" s="575"/>
      <c r="O1003" s="575"/>
      <c r="P1003" s="575"/>
      <c r="Q1003" s="575"/>
      <c r="R1003" s="575"/>
      <c r="S1003" s="575"/>
      <c r="T1003" s="575"/>
      <c r="U1003" s="575"/>
      <c r="V1003" s="575"/>
      <c r="W1003" s="575"/>
      <c r="X1003" s="575"/>
      <c r="Y1003" s="575"/>
    </row>
    <row r="1004" spans="1:25" s="88" customFormat="1" ht="15.75" hidden="1" thickBot="1">
      <c r="A1004" s="306"/>
      <c r="B1004" s="301"/>
      <c r="C1004" s="361"/>
      <c r="D1004" s="296"/>
      <c r="E1004" s="296"/>
      <c r="F1004" s="294" t="s">
        <v>240</v>
      </c>
      <c r="G1004" s="297" t="s">
        <v>241</v>
      </c>
      <c r="H1004" s="634"/>
      <c r="I1004" s="635"/>
      <c r="J1004" s="639">
        <f t="shared" si="38"/>
        <v>0</v>
      </c>
      <c r="K1004" s="575"/>
      <c r="L1004" s="575"/>
      <c r="M1004" s="575"/>
      <c r="N1004" s="575"/>
      <c r="O1004" s="575"/>
      <c r="P1004" s="575"/>
      <c r="Q1004" s="575"/>
      <c r="R1004" s="575"/>
      <c r="S1004" s="575"/>
      <c r="T1004" s="575"/>
      <c r="U1004" s="575"/>
      <c r="V1004" s="575"/>
      <c r="W1004" s="575"/>
      <c r="X1004" s="575"/>
      <c r="Y1004" s="575"/>
    </row>
    <row r="1005" spans="1:25" s="88" customFormat="1" ht="15.75" hidden="1" thickBot="1">
      <c r="A1005" s="306"/>
      <c r="B1005" s="301"/>
      <c r="C1005" s="361"/>
      <c r="D1005" s="296"/>
      <c r="E1005" s="296"/>
      <c r="F1005" s="294" t="s">
        <v>242</v>
      </c>
      <c r="G1005" s="297" t="s">
        <v>243</v>
      </c>
      <c r="H1005" s="634"/>
      <c r="I1005" s="635"/>
      <c r="J1005" s="639">
        <f t="shared" si="38"/>
        <v>0</v>
      </c>
      <c r="K1005" s="575"/>
      <c r="L1005" s="575"/>
      <c r="M1005" s="575"/>
      <c r="N1005" s="575"/>
      <c r="O1005" s="575"/>
      <c r="P1005" s="575"/>
      <c r="Q1005" s="575"/>
      <c r="R1005" s="575"/>
      <c r="S1005" s="575"/>
      <c r="T1005" s="575"/>
      <c r="U1005" s="575"/>
      <c r="V1005" s="575"/>
      <c r="W1005" s="575"/>
      <c r="X1005" s="575"/>
      <c r="Y1005" s="575"/>
    </row>
    <row r="1006" spans="1:25" s="88" customFormat="1" ht="15.75" hidden="1" thickBot="1">
      <c r="A1006" s="306"/>
      <c r="B1006" s="301"/>
      <c r="C1006" s="361"/>
      <c r="D1006" s="296"/>
      <c r="E1006" s="296"/>
      <c r="F1006" s="294" t="s">
        <v>244</v>
      </c>
      <c r="G1006" s="297" t="s">
        <v>245</v>
      </c>
      <c r="H1006" s="634"/>
      <c r="I1006" s="635"/>
      <c r="J1006" s="639">
        <f t="shared" si="38"/>
        <v>0</v>
      </c>
      <c r="K1006" s="575"/>
      <c r="L1006" s="575"/>
      <c r="M1006" s="575"/>
      <c r="N1006" s="575"/>
      <c r="O1006" s="575"/>
      <c r="P1006" s="575"/>
      <c r="Q1006" s="575"/>
      <c r="R1006" s="575"/>
      <c r="S1006" s="575"/>
      <c r="T1006" s="575"/>
      <c r="U1006" s="575"/>
      <c r="V1006" s="575"/>
      <c r="W1006" s="575"/>
      <c r="X1006" s="575"/>
      <c r="Y1006" s="575"/>
    </row>
    <row r="1007" spans="1:25" s="88" customFormat="1" ht="15.75" hidden="1" thickBot="1">
      <c r="A1007" s="306"/>
      <c r="B1007" s="301"/>
      <c r="C1007" s="361"/>
      <c r="D1007" s="296"/>
      <c r="E1007" s="296"/>
      <c r="F1007" s="294" t="s">
        <v>246</v>
      </c>
      <c r="G1007" s="683" t="s">
        <v>5121</v>
      </c>
      <c r="H1007" s="634"/>
      <c r="I1007" s="635"/>
      <c r="J1007" s="639">
        <f t="shared" si="38"/>
        <v>0</v>
      </c>
      <c r="K1007" s="575"/>
      <c r="L1007" s="575"/>
      <c r="M1007" s="575"/>
      <c r="N1007" s="575"/>
      <c r="O1007" s="575"/>
      <c r="P1007" s="575"/>
      <c r="Q1007" s="575"/>
      <c r="R1007" s="575"/>
      <c r="S1007" s="575"/>
      <c r="T1007" s="575"/>
      <c r="U1007" s="575"/>
      <c r="V1007" s="575"/>
      <c r="W1007" s="575"/>
      <c r="X1007" s="575"/>
      <c r="Y1007" s="575"/>
    </row>
    <row r="1008" spans="1:25" s="88" customFormat="1" ht="15.75" hidden="1" thickBot="1">
      <c r="A1008" s="306"/>
      <c r="B1008" s="301"/>
      <c r="C1008" s="361"/>
      <c r="D1008" s="296"/>
      <c r="E1008" s="296"/>
      <c r="F1008" s="294" t="s">
        <v>247</v>
      </c>
      <c r="G1008" s="683" t="s">
        <v>5120</v>
      </c>
      <c r="H1008" s="634"/>
      <c r="I1008" s="635"/>
      <c r="J1008" s="639">
        <f t="shared" si="38"/>
        <v>0</v>
      </c>
      <c r="K1008" s="575"/>
      <c r="L1008" s="575"/>
      <c r="M1008" s="575"/>
      <c r="N1008" s="575"/>
      <c r="O1008" s="575"/>
      <c r="P1008" s="575"/>
      <c r="Q1008" s="575"/>
      <c r="R1008" s="575"/>
      <c r="S1008" s="575"/>
      <c r="T1008" s="575"/>
      <c r="U1008" s="575"/>
      <c r="V1008" s="575"/>
      <c r="W1008" s="575"/>
      <c r="X1008" s="575"/>
      <c r="Y1008" s="575"/>
    </row>
    <row r="1009" spans="1:25" s="88" customFormat="1" ht="15.75" hidden="1" thickBot="1">
      <c r="A1009" s="306"/>
      <c r="B1009" s="301"/>
      <c r="C1009" s="361"/>
      <c r="D1009" s="296"/>
      <c r="E1009" s="296"/>
      <c r="F1009" s="294" t="s">
        <v>248</v>
      </c>
      <c r="G1009" s="297" t="s">
        <v>57</v>
      </c>
      <c r="H1009" s="634"/>
      <c r="I1009" s="635"/>
      <c r="J1009" s="639">
        <f t="shared" si="38"/>
        <v>0</v>
      </c>
      <c r="K1009" s="575"/>
      <c r="L1009" s="575"/>
      <c r="M1009" s="575"/>
      <c r="N1009" s="575"/>
      <c r="O1009" s="575"/>
      <c r="P1009" s="575"/>
      <c r="Q1009" s="575"/>
      <c r="R1009" s="575"/>
      <c r="S1009" s="575"/>
      <c r="T1009" s="575"/>
      <c r="U1009" s="575"/>
      <c r="V1009" s="575"/>
      <c r="W1009" s="575"/>
      <c r="X1009" s="575"/>
      <c r="Y1009" s="575"/>
    </row>
    <row r="1010" spans="1:25" s="88" customFormat="1" ht="15.75" hidden="1" thickBot="1">
      <c r="A1010" s="306"/>
      <c r="B1010" s="301"/>
      <c r="C1010" s="361"/>
      <c r="D1010" s="296"/>
      <c r="E1010" s="296"/>
      <c r="F1010" s="294" t="s">
        <v>249</v>
      </c>
      <c r="G1010" s="297" t="s">
        <v>250</v>
      </c>
      <c r="H1010" s="634"/>
      <c r="I1010" s="635"/>
      <c r="J1010" s="639">
        <f t="shared" si="38"/>
        <v>0</v>
      </c>
      <c r="K1010" s="575"/>
      <c r="L1010" s="575"/>
      <c r="M1010" s="575"/>
      <c r="N1010" s="575"/>
      <c r="O1010" s="575"/>
      <c r="P1010" s="575"/>
      <c r="Q1010" s="575"/>
      <c r="R1010" s="575"/>
      <c r="S1010" s="575"/>
      <c r="T1010" s="575"/>
      <c r="U1010" s="575"/>
      <c r="V1010" s="575"/>
      <c r="W1010" s="575"/>
      <c r="X1010" s="575"/>
      <c r="Y1010" s="575"/>
    </row>
    <row r="1011" spans="1:25" s="88" customFormat="1" ht="15.75" hidden="1" thickBot="1">
      <c r="A1011" s="306"/>
      <c r="B1011" s="301"/>
      <c r="C1011" s="361"/>
      <c r="D1011" s="296"/>
      <c r="E1011" s="296"/>
      <c r="F1011" s="294" t="s">
        <v>251</v>
      </c>
      <c r="G1011" s="297" t="s">
        <v>252</v>
      </c>
      <c r="H1011" s="634"/>
      <c r="I1011" s="635"/>
      <c r="J1011" s="639">
        <f t="shared" si="38"/>
        <v>0</v>
      </c>
      <c r="K1011" s="575"/>
      <c r="L1011" s="575"/>
      <c r="M1011" s="575"/>
      <c r="N1011" s="575"/>
      <c r="O1011" s="575"/>
      <c r="P1011" s="575"/>
      <c r="Q1011" s="575"/>
      <c r="R1011" s="575"/>
      <c r="S1011" s="575"/>
      <c r="T1011" s="575"/>
      <c r="U1011" s="575"/>
      <c r="V1011" s="575"/>
      <c r="W1011" s="575"/>
      <c r="X1011" s="575"/>
      <c r="Y1011" s="575"/>
    </row>
    <row r="1012" spans="1:25" s="88" customFormat="1" ht="15.75" hidden="1" thickBot="1">
      <c r="A1012" s="306"/>
      <c r="B1012" s="301"/>
      <c r="C1012" s="361"/>
      <c r="D1012" s="296"/>
      <c r="E1012" s="296"/>
      <c r="F1012" s="294" t="s">
        <v>253</v>
      </c>
      <c r="G1012" s="297" t="s">
        <v>254</v>
      </c>
      <c r="H1012" s="634"/>
      <c r="I1012" s="635"/>
      <c r="J1012" s="639">
        <f t="shared" si="38"/>
        <v>0</v>
      </c>
      <c r="K1012" s="575"/>
      <c r="L1012" s="575"/>
      <c r="M1012" s="575"/>
      <c r="N1012" s="575"/>
      <c r="O1012" s="575"/>
      <c r="P1012" s="575"/>
      <c r="Q1012" s="575"/>
      <c r="R1012" s="575"/>
      <c r="S1012" s="575"/>
      <c r="T1012" s="575"/>
      <c r="U1012" s="575"/>
      <c r="V1012" s="575"/>
      <c r="W1012" s="575"/>
      <c r="X1012" s="575"/>
      <c r="Y1012" s="575"/>
    </row>
    <row r="1013" spans="1:25" s="88" customFormat="1" ht="15.75" hidden="1" thickBot="1">
      <c r="A1013" s="306"/>
      <c r="B1013" s="301"/>
      <c r="C1013" s="361"/>
      <c r="D1013" s="296"/>
      <c r="E1013" s="296"/>
      <c r="F1013" s="294" t="s">
        <v>255</v>
      </c>
      <c r="G1013" s="297" t="s">
        <v>256</v>
      </c>
      <c r="H1013" s="634"/>
      <c r="I1013" s="635"/>
      <c r="J1013" s="639">
        <f t="shared" si="38"/>
        <v>0</v>
      </c>
      <c r="K1013" s="575"/>
      <c r="L1013" s="575"/>
      <c r="M1013" s="575"/>
      <c r="N1013" s="575"/>
      <c r="O1013" s="575"/>
      <c r="P1013" s="575"/>
      <c r="Q1013" s="575"/>
      <c r="R1013" s="575"/>
      <c r="S1013" s="575"/>
      <c r="T1013" s="575"/>
      <c r="U1013" s="575"/>
      <c r="V1013" s="575"/>
      <c r="W1013" s="575"/>
      <c r="X1013" s="575"/>
      <c r="Y1013" s="575"/>
    </row>
    <row r="1014" spans="1:25" s="88" customFormat="1" ht="15.75" hidden="1" thickBot="1">
      <c r="A1014" s="306"/>
      <c r="B1014" s="301"/>
      <c r="C1014" s="361"/>
      <c r="D1014" s="296"/>
      <c r="E1014" s="296"/>
      <c r="F1014" s="294" t="s">
        <v>257</v>
      </c>
      <c r="G1014" s="297" t="s">
        <v>258</v>
      </c>
      <c r="H1014" s="634"/>
      <c r="I1014" s="635"/>
      <c r="J1014" s="639">
        <f t="shared" si="38"/>
        <v>0</v>
      </c>
      <c r="K1014" s="575"/>
      <c r="L1014" s="575"/>
      <c r="M1014" s="575"/>
      <c r="N1014" s="575"/>
      <c r="O1014" s="575"/>
      <c r="P1014" s="575"/>
      <c r="Q1014" s="575"/>
      <c r="R1014" s="575"/>
      <c r="S1014" s="575"/>
      <c r="T1014" s="575"/>
      <c r="U1014" s="575"/>
      <c r="V1014" s="575"/>
      <c r="W1014" s="575"/>
      <c r="X1014" s="575"/>
      <c r="Y1014" s="575"/>
    </row>
    <row r="1015" spans="1:25" s="88" customFormat="1" ht="15.75" hidden="1" thickBot="1">
      <c r="A1015" s="306"/>
      <c r="B1015" s="301"/>
      <c r="C1015" s="361"/>
      <c r="D1015" s="296"/>
      <c r="E1015" s="296"/>
      <c r="F1015" s="294" t="s">
        <v>259</v>
      </c>
      <c r="G1015" s="297" t="s">
        <v>260</v>
      </c>
      <c r="H1015" s="634"/>
      <c r="I1015" s="635"/>
      <c r="J1015" s="639">
        <f t="shared" si="38"/>
        <v>0</v>
      </c>
      <c r="K1015" s="575"/>
      <c r="L1015" s="575"/>
      <c r="M1015" s="575"/>
      <c r="N1015" s="575"/>
      <c r="O1015" s="575"/>
      <c r="P1015" s="575"/>
      <c r="Q1015" s="575"/>
      <c r="R1015" s="575"/>
      <c r="S1015" s="575"/>
      <c r="T1015" s="575"/>
      <c r="U1015" s="575"/>
      <c r="V1015" s="575"/>
      <c r="W1015" s="575"/>
      <c r="X1015" s="575"/>
      <c r="Y1015" s="575"/>
    </row>
    <row r="1016" spans="1:25" s="88" customFormat="1" ht="15.75" hidden="1" thickBot="1">
      <c r="A1016" s="306"/>
      <c r="B1016" s="301"/>
      <c r="C1016" s="361"/>
      <c r="D1016" s="296"/>
      <c r="E1016" s="296"/>
      <c r="F1016" s="294" t="s">
        <v>261</v>
      </c>
      <c r="G1016" s="297" t="s">
        <v>262</v>
      </c>
      <c r="H1016" s="638"/>
      <c r="I1016" s="639"/>
      <c r="J1016" s="639">
        <f t="shared" si="38"/>
        <v>0</v>
      </c>
      <c r="K1016" s="575"/>
      <c r="L1016" s="575"/>
      <c r="M1016" s="575"/>
      <c r="N1016" s="575"/>
      <c r="O1016" s="575"/>
      <c r="P1016" s="575"/>
      <c r="Q1016" s="575"/>
      <c r="R1016" s="575"/>
      <c r="S1016" s="575"/>
      <c r="T1016" s="575"/>
      <c r="U1016" s="575"/>
      <c r="V1016" s="575"/>
      <c r="W1016" s="575"/>
      <c r="X1016" s="575"/>
      <c r="Y1016" s="575"/>
    </row>
    <row r="1017" spans="1:25" s="88" customFormat="1" ht="22.5" customHeight="1" thickBot="1">
      <c r="A1017" s="306"/>
      <c r="B1017" s="301"/>
      <c r="C1017" s="361"/>
      <c r="D1017" s="296"/>
      <c r="E1017" s="296"/>
      <c r="F1017" s="263"/>
      <c r="G1017" s="274" t="s">
        <v>4210</v>
      </c>
      <c r="H1017" s="640">
        <f>SUM(H1001:H1016)</f>
        <v>100091153</v>
      </c>
      <c r="I1017" s="641">
        <f>SUM(I1002:I1016)</f>
        <v>0</v>
      </c>
      <c r="J1017" s="641">
        <f>SUM(J1001:J1016)</f>
        <v>100091153</v>
      </c>
      <c r="K1017" s="575"/>
      <c r="L1017" s="575"/>
      <c r="M1017" s="575"/>
      <c r="N1017" s="575"/>
      <c r="O1017" s="575"/>
      <c r="P1017" s="575"/>
      <c r="Q1017" s="575"/>
      <c r="R1017" s="575"/>
      <c r="S1017" s="575"/>
      <c r="T1017" s="575"/>
      <c r="U1017" s="575"/>
      <c r="V1017" s="575"/>
      <c r="W1017" s="575"/>
      <c r="X1017" s="575"/>
      <c r="Y1017" s="575"/>
    </row>
    <row r="1018" spans="1:25" s="88" customFormat="1" hidden="1">
      <c r="A1018" s="306"/>
      <c r="B1018" s="301"/>
      <c r="C1018" s="361"/>
      <c r="D1018" s="296"/>
      <c r="E1018" s="296"/>
      <c r="F1018" s="302"/>
      <c r="G1018" s="339"/>
      <c r="H1018" s="667"/>
      <c r="I1018" s="650"/>
      <c r="J1018" s="668"/>
      <c r="K1018" s="575"/>
      <c r="L1018" s="575"/>
      <c r="M1018" s="575"/>
      <c r="N1018" s="313"/>
      <c r="O1018" s="575"/>
      <c r="P1018" s="575"/>
      <c r="Q1018" s="575"/>
      <c r="R1018" s="575"/>
      <c r="S1018" s="575"/>
      <c r="T1018" s="575"/>
      <c r="U1018" s="575"/>
      <c r="V1018" s="575"/>
      <c r="W1018" s="575"/>
      <c r="X1018" s="575"/>
      <c r="Y1018" s="575"/>
    </row>
    <row r="1019" spans="1:25" s="88" customFormat="1" ht="22.5" hidden="1" customHeight="1">
      <c r="A1019" s="306"/>
      <c r="B1019" s="301"/>
      <c r="C1019" s="361"/>
      <c r="D1019" s="296"/>
      <c r="E1019" s="296"/>
      <c r="F1019" s="302"/>
      <c r="G1019" s="339"/>
      <c r="H1019" s="667"/>
      <c r="I1019" s="650"/>
      <c r="J1019" s="668"/>
      <c r="K1019" s="575"/>
      <c r="L1019" s="575"/>
      <c r="M1019" s="575"/>
      <c r="N1019" s="313"/>
      <c r="O1019" s="575"/>
      <c r="P1019" s="575"/>
      <c r="Q1019" s="575"/>
      <c r="R1019" s="575"/>
      <c r="S1019" s="575"/>
      <c r="T1019" s="575"/>
      <c r="U1019" s="575"/>
      <c r="V1019" s="575"/>
      <c r="W1019" s="575"/>
      <c r="X1019" s="575"/>
      <c r="Y1019" s="575"/>
    </row>
    <row r="1020" spans="1:25" s="88" customFormat="1">
      <c r="A1020" s="306"/>
      <c r="B1020" s="301"/>
      <c r="C1020" s="310" t="s">
        <v>3576</v>
      </c>
      <c r="D1020" s="310"/>
      <c r="E1020" s="293"/>
      <c r="F1020" s="293"/>
      <c r="G1020" s="351" t="s">
        <v>4252</v>
      </c>
      <c r="H1020" s="651"/>
      <c r="I1020" s="652"/>
      <c r="J1020" s="652"/>
      <c r="K1020" s="575"/>
      <c r="L1020" s="575"/>
      <c r="M1020" s="575"/>
      <c r="N1020" s="575"/>
      <c r="O1020" s="575"/>
      <c r="P1020" s="575"/>
      <c r="Q1020" s="575"/>
      <c r="R1020" s="575"/>
      <c r="S1020" s="575"/>
      <c r="T1020" s="575"/>
      <c r="U1020" s="575"/>
      <c r="V1020" s="575"/>
      <c r="W1020" s="575"/>
      <c r="X1020" s="575"/>
      <c r="Y1020" s="575"/>
    </row>
    <row r="1021" spans="1:25">
      <c r="C1021" s="273" t="s">
        <v>4482</v>
      </c>
      <c r="D1021" s="264"/>
      <c r="G1021" s="553" t="s">
        <v>4108</v>
      </c>
    </row>
    <row r="1022" spans="1:25" s="88" customFormat="1">
      <c r="A1022" s="306"/>
      <c r="B1022" s="301"/>
      <c r="C1022" s="310"/>
      <c r="D1022" s="373">
        <v>620</v>
      </c>
      <c r="E1022" s="374"/>
      <c r="F1022" s="374"/>
      <c r="G1022" s="375" t="s">
        <v>182</v>
      </c>
      <c r="H1022" s="651"/>
      <c r="I1022" s="652"/>
      <c r="J1022" s="652"/>
      <c r="K1022" s="575"/>
      <c r="L1022" s="575"/>
      <c r="M1022" s="575"/>
      <c r="N1022" s="575"/>
      <c r="O1022" s="575"/>
      <c r="P1022" s="575"/>
      <c r="Q1022" s="575"/>
      <c r="R1022" s="575"/>
      <c r="S1022" s="575"/>
      <c r="T1022" s="575"/>
      <c r="U1022" s="575"/>
      <c r="V1022" s="575"/>
      <c r="W1022" s="575"/>
      <c r="X1022" s="575"/>
      <c r="Y1022" s="575"/>
    </row>
    <row r="1023" spans="1:25" hidden="1">
      <c r="F1023" s="308">
        <v>411</v>
      </c>
      <c r="G1023" s="340" t="s">
        <v>4173</v>
      </c>
      <c r="J1023" s="635">
        <f>SUM(H1023:I1023)</f>
        <v>0</v>
      </c>
      <c r="L1023" s="578"/>
      <c r="M1023" s="578"/>
      <c r="N1023" s="318"/>
    </row>
    <row r="1024" spans="1:25" hidden="1">
      <c r="F1024" s="308">
        <v>412</v>
      </c>
      <c r="G1024" s="337" t="s">
        <v>3770</v>
      </c>
      <c r="J1024" s="635">
        <f t="shared" ref="J1024:J1082" si="39">SUM(H1024:I1024)</f>
        <v>0</v>
      </c>
    </row>
    <row r="1025" spans="5:10" hidden="1">
      <c r="F1025" s="308">
        <v>413</v>
      </c>
      <c r="G1025" s="340" t="s">
        <v>4174</v>
      </c>
      <c r="J1025" s="635">
        <f t="shared" si="39"/>
        <v>0</v>
      </c>
    </row>
    <row r="1026" spans="5:10" hidden="1">
      <c r="F1026" s="308">
        <v>414</v>
      </c>
      <c r="G1026" s="340" t="s">
        <v>3773</v>
      </c>
      <c r="J1026" s="635">
        <f t="shared" si="39"/>
        <v>0</v>
      </c>
    </row>
    <row r="1027" spans="5:10" hidden="1">
      <c r="F1027" s="308">
        <v>415</v>
      </c>
      <c r="G1027" s="340" t="s">
        <v>4183</v>
      </c>
      <c r="J1027" s="635">
        <f t="shared" si="39"/>
        <v>0</v>
      </c>
    </row>
    <row r="1028" spans="5:10" hidden="1">
      <c r="F1028" s="308">
        <v>416</v>
      </c>
      <c r="G1028" s="340" t="s">
        <v>4184</v>
      </c>
      <c r="J1028" s="635">
        <f t="shared" si="39"/>
        <v>0</v>
      </c>
    </row>
    <row r="1029" spans="5:10" hidden="1">
      <c r="F1029" s="308">
        <v>417</v>
      </c>
      <c r="G1029" s="340" t="s">
        <v>4185</v>
      </c>
      <c r="J1029" s="635">
        <f t="shared" si="39"/>
        <v>0</v>
      </c>
    </row>
    <row r="1030" spans="5:10" hidden="1">
      <c r="F1030" s="308">
        <v>418</v>
      </c>
      <c r="G1030" s="340" t="s">
        <v>3779</v>
      </c>
      <c r="J1030" s="635">
        <f t="shared" si="39"/>
        <v>0</v>
      </c>
    </row>
    <row r="1031" spans="5:10" hidden="1">
      <c r="F1031" s="308">
        <v>421</v>
      </c>
      <c r="G1031" s="340" t="s">
        <v>3783</v>
      </c>
      <c r="J1031" s="635">
        <f t="shared" si="39"/>
        <v>0</v>
      </c>
    </row>
    <row r="1032" spans="5:10" hidden="1">
      <c r="F1032" s="308">
        <v>422</v>
      </c>
      <c r="G1032" s="340" t="s">
        <v>3784</v>
      </c>
      <c r="J1032" s="635">
        <f t="shared" si="39"/>
        <v>0</v>
      </c>
    </row>
    <row r="1033" spans="5:10" hidden="1">
      <c r="F1033" s="308">
        <v>423</v>
      </c>
      <c r="G1033" s="340" t="s">
        <v>3785</v>
      </c>
      <c r="J1033" s="635">
        <f t="shared" si="39"/>
        <v>0</v>
      </c>
    </row>
    <row r="1034" spans="5:10" ht="88.5" customHeight="1">
      <c r="E1034" s="263">
        <v>50</v>
      </c>
      <c r="F1034" s="308">
        <v>424</v>
      </c>
      <c r="G1034" s="776" t="s">
        <v>5399</v>
      </c>
      <c r="H1034" s="634">
        <v>78600000</v>
      </c>
      <c r="J1034" s="635">
        <f t="shared" si="39"/>
        <v>78600000</v>
      </c>
    </row>
    <row r="1035" spans="5:10" hidden="1">
      <c r="F1035" s="308">
        <v>425</v>
      </c>
      <c r="G1035" s="340" t="s">
        <v>4186</v>
      </c>
      <c r="J1035" s="635">
        <f t="shared" si="39"/>
        <v>0</v>
      </c>
    </row>
    <row r="1036" spans="5:10" hidden="1">
      <c r="F1036" s="308">
        <v>426</v>
      </c>
      <c r="G1036" s="340" t="s">
        <v>3791</v>
      </c>
      <c r="J1036" s="635">
        <f t="shared" si="39"/>
        <v>0</v>
      </c>
    </row>
    <row r="1037" spans="5:10" hidden="1">
      <c r="F1037" s="308">
        <v>431</v>
      </c>
      <c r="G1037" s="340" t="s">
        <v>4187</v>
      </c>
      <c r="J1037" s="635">
        <f t="shared" si="39"/>
        <v>0</v>
      </c>
    </row>
    <row r="1038" spans="5:10" hidden="1">
      <c r="F1038" s="308">
        <v>432</v>
      </c>
      <c r="G1038" s="340" t="s">
        <v>4188</v>
      </c>
      <c r="J1038" s="635">
        <f t="shared" si="39"/>
        <v>0</v>
      </c>
    </row>
    <row r="1039" spans="5:10" hidden="1">
      <c r="F1039" s="308">
        <v>433</v>
      </c>
      <c r="G1039" s="340" t="s">
        <v>4189</v>
      </c>
      <c r="J1039" s="635">
        <f t="shared" si="39"/>
        <v>0</v>
      </c>
    </row>
    <row r="1040" spans="5:10" hidden="1">
      <c r="F1040" s="308">
        <v>434</v>
      </c>
      <c r="G1040" s="340" t="s">
        <v>4190</v>
      </c>
      <c r="J1040" s="635">
        <f t="shared" si="39"/>
        <v>0</v>
      </c>
    </row>
    <row r="1041" spans="6:10" hidden="1">
      <c r="F1041" s="308">
        <v>435</v>
      </c>
      <c r="G1041" s="340" t="s">
        <v>3798</v>
      </c>
      <c r="J1041" s="635">
        <f t="shared" si="39"/>
        <v>0</v>
      </c>
    </row>
    <row r="1042" spans="6:10" hidden="1">
      <c r="F1042" s="308">
        <v>441</v>
      </c>
      <c r="G1042" s="340" t="s">
        <v>4191</v>
      </c>
      <c r="J1042" s="635">
        <f t="shared" si="39"/>
        <v>0</v>
      </c>
    </row>
    <row r="1043" spans="6:10" hidden="1">
      <c r="F1043" s="308">
        <v>442</v>
      </c>
      <c r="G1043" s="340" t="s">
        <v>4192</v>
      </c>
      <c r="J1043" s="635">
        <f t="shared" si="39"/>
        <v>0</v>
      </c>
    </row>
    <row r="1044" spans="6:10" hidden="1">
      <c r="F1044" s="308">
        <v>443</v>
      </c>
      <c r="G1044" s="340" t="s">
        <v>3803</v>
      </c>
      <c r="J1044" s="635">
        <f t="shared" si="39"/>
        <v>0</v>
      </c>
    </row>
    <row r="1045" spans="6:10" hidden="1">
      <c r="F1045" s="308">
        <v>444</v>
      </c>
      <c r="G1045" s="340" t="s">
        <v>3804</v>
      </c>
      <c r="J1045" s="635">
        <f t="shared" si="39"/>
        <v>0</v>
      </c>
    </row>
    <row r="1046" spans="6:10" ht="30" hidden="1">
      <c r="F1046" s="308">
        <v>4511</v>
      </c>
      <c r="G1046" s="268" t="s">
        <v>1690</v>
      </c>
      <c r="J1046" s="635">
        <f t="shared" si="39"/>
        <v>0</v>
      </c>
    </row>
    <row r="1047" spans="6:10" ht="30" hidden="1">
      <c r="F1047" s="308">
        <v>4512</v>
      </c>
      <c r="G1047" s="268" t="s">
        <v>1699</v>
      </c>
      <c r="J1047" s="635">
        <f t="shared" si="39"/>
        <v>0</v>
      </c>
    </row>
    <row r="1048" spans="6:10" hidden="1">
      <c r="F1048" s="308">
        <v>452</v>
      </c>
      <c r="G1048" s="340" t="s">
        <v>4193</v>
      </c>
      <c r="J1048" s="635">
        <f t="shared" si="39"/>
        <v>0</v>
      </c>
    </row>
    <row r="1049" spans="6:10" hidden="1">
      <c r="F1049" s="308">
        <v>453</v>
      </c>
      <c r="G1049" s="340" t="s">
        <v>4194</v>
      </c>
      <c r="J1049" s="635">
        <f t="shared" si="39"/>
        <v>0</v>
      </c>
    </row>
    <row r="1050" spans="6:10" hidden="1">
      <c r="F1050" s="308">
        <v>454</v>
      </c>
      <c r="G1050" s="340" t="s">
        <v>3809</v>
      </c>
      <c r="J1050" s="635">
        <f t="shared" si="39"/>
        <v>0</v>
      </c>
    </row>
    <row r="1051" spans="6:10" hidden="1">
      <c r="F1051" s="308">
        <v>461</v>
      </c>
      <c r="G1051" s="340" t="s">
        <v>4175</v>
      </c>
      <c r="J1051" s="635">
        <f t="shared" si="39"/>
        <v>0</v>
      </c>
    </row>
    <row r="1052" spans="6:10" hidden="1">
      <c r="F1052" s="308">
        <v>462</v>
      </c>
      <c r="G1052" s="340" t="s">
        <v>3812</v>
      </c>
      <c r="J1052" s="635">
        <f t="shared" si="39"/>
        <v>0</v>
      </c>
    </row>
    <row r="1053" spans="6:10" hidden="1">
      <c r="F1053" s="308">
        <v>4631</v>
      </c>
      <c r="G1053" s="340" t="s">
        <v>3813</v>
      </c>
      <c r="J1053" s="635">
        <f t="shared" si="39"/>
        <v>0</v>
      </c>
    </row>
    <row r="1054" spans="6:10" hidden="1">
      <c r="F1054" s="308">
        <v>4632</v>
      </c>
      <c r="G1054" s="340" t="s">
        <v>3814</v>
      </c>
      <c r="J1054" s="635">
        <f t="shared" si="39"/>
        <v>0</v>
      </c>
    </row>
    <row r="1055" spans="6:10" hidden="1">
      <c r="F1055" s="308">
        <v>464</v>
      </c>
      <c r="G1055" s="340" t="s">
        <v>3815</v>
      </c>
      <c r="J1055" s="635">
        <f t="shared" si="39"/>
        <v>0</v>
      </c>
    </row>
    <row r="1056" spans="6:10" hidden="1">
      <c r="F1056" s="308">
        <v>465</v>
      </c>
      <c r="G1056" s="340" t="s">
        <v>4176</v>
      </c>
      <c r="J1056" s="635">
        <f t="shared" si="39"/>
        <v>0</v>
      </c>
    </row>
    <row r="1057" spans="5:10" hidden="1">
      <c r="F1057" s="308">
        <v>472</v>
      </c>
      <c r="G1057" s="340" t="s">
        <v>3819</v>
      </c>
      <c r="J1057" s="635">
        <f t="shared" si="39"/>
        <v>0</v>
      </c>
    </row>
    <row r="1058" spans="5:10" hidden="1">
      <c r="F1058" s="308">
        <v>481</v>
      </c>
      <c r="G1058" s="340" t="s">
        <v>4195</v>
      </c>
      <c r="J1058" s="635">
        <f t="shared" si="39"/>
        <v>0</v>
      </c>
    </row>
    <row r="1059" spans="5:10" hidden="1">
      <c r="F1059" s="308">
        <v>482</v>
      </c>
      <c r="G1059" s="340" t="s">
        <v>4196</v>
      </c>
      <c r="J1059" s="635">
        <f t="shared" si="39"/>
        <v>0</v>
      </c>
    </row>
    <row r="1060" spans="5:10" hidden="1">
      <c r="F1060" s="308">
        <v>483</v>
      </c>
      <c r="G1060" s="343" t="s">
        <v>4197</v>
      </c>
      <c r="J1060" s="635">
        <f t="shared" si="39"/>
        <v>0</v>
      </c>
    </row>
    <row r="1061" spans="5:10" ht="30" hidden="1">
      <c r="F1061" s="308">
        <v>484</v>
      </c>
      <c r="G1061" s="340" t="s">
        <v>4198</v>
      </c>
      <c r="J1061" s="635">
        <f t="shared" si="39"/>
        <v>0</v>
      </c>
    </row>
    <row r="1062" spans="5:10" ht="30" hidden="1">
      <c r="F1062" s="308">
        <v>485</v>
      </c>
      <c r="G1062" s="340" t="s">
        <v>4199</v>
      </c>
      <c r="J1062" s="635">
        <f t="shared" si="39"/>
        <v>0</v>
      </c>
    </row>
    <row r="1063" spans="5:10" ht="30" hidden="1">
      <c r="F1063" s="308">
        <v>489</v>
      </c>
      <c r="G1063" s="340" t="s">
        <v>3827</v>
      </c>
      <c r="J1063" s="635">
        <f t="shared" si="39"/>
        <v>0</v>
      </c>
    </row>
    <row r="1064" spans="5:10" hidden="1">
      <c r="F1064" s="308">
        <v>494</v>
      </c>
      <c r="G1064" s="340" t="s">
        <v>4177</v>
      </c>
      <c r="J1064" s="635">
        <f t="shared" si="39"/>
        <v>0</v>
      </c>
    </row>
    <row r="1065" spans="5:10" ht="30" hidden="1">
      <c r="F1065" s="308">
        <v>495</v>
      </c>
      <c r="G1065" s="340" t="s">
        <v>4178</v>
      </c>
      <c r="J1065" s="635">
        <f t="shared" si="39"/>
        <v>0</v>
      </c>
    </row>
    <row r="1066" spans="5:10" ht="30" hidden="1">
      <c r="F1066" s="308">
        <v>496</v>
      </c>
      <c r="G1066" s="340" t="s">
        <v>4179</v>
      </c>
      <c r="J1066" s="635">
        <f t="shared" si="39"/>
        <v>0</v>
      </c>
    </row>
    <row r="1067" spans="5:10" hidden="1">
      <c r="F1067" s="308">
        <v>499</v>
      </c>
      <c r="G1067" s="340" t="s">
        <v>4180</v>
      </c>
      <c r="J1067" s="635">
        <f t="shared" si="39"/>
        <v>0</v>
      </c>
    </row>
    <row r="1068" spans="5:10" ht="120.75" thickBot="1">
      <c r="E1068" s="263">
        <v>51</v>
      </c>
      <c r="F1068" s="308">
        <v>511</v>
      </c>
      <c r="G1068" s="777" t="s">
        <v>5400</v>
      </c>
      <c r="H1068" s="634">
        <v>35060000</v>
      </c>
      <c r="J1068" s="635">
        <f t="shared" si="39"/>
        <v>35060000</v>
      </c>
    </row>
    <row r="1069" spans="5:10" ht="15.75" hidden="1" thickBot="1">
      <c r="F1069" s="308">
        <v>512</v>
      </c>
      <c r="G1069" s="343" t="s">
        <v>4201</v>
      </c>
      <c r="J1069" s="635">
        <f t="shared" si="39"/>
        <v>0</v>
      </c>
    </row>
    <row r="1070" spans="5:10" ht="15.75" hidden="1" thickBot="1">
      <c r="F1070" s="308">
        <v>513</v>
      </c>
      <c r="G1070" s="343" t="s">
        <v>4202</v>
      </c>
      <c r="J1070" s="635">
        <f t="shared" si="39"/>
        <v>0</v>
      </c>
    </row>
    <row r="1071" spans="5:10" ht="15.75" hidden="1" thickBot="1">
      <c r="F1071" s="308">
        <v>514</v>
      </c>
      <c r="G1071" s="340" t="s">
        <v>4203</v>
      </c>
      <c r="J1071" s="635">
        <f t="shared" si="39"/>
        <v>0</v>
      </c>
    </row>
    <row r="1072" spans="5:10" ht="15.75" hidden="1" thickBot="1">
      <c r="F1072" s="308">
        <v>515</v>
      </c>
      <c r="G1072" s="340" t="s">
        <v>3838</v>
      </c>
      <c r="J1072" s="635">
        <f t="shared" si="39"/>
        <v>0</v>
      </c>
    </row>
    <row r="1073" spans="5:10" ht="15.75" hidden="1" thickBot="1">
      <c r="F1073" s="308">
        <v>521</v>
      </c>
      <c r="G1073" s="340" t="s">
        <v>4204</v>
      </c>
      <c r="J1073" s="635">
        <f t="shared" si="39"/>
        <v>0</v>
      </c>
    </row>
    <row r="1074" spans="5:10" ht="15.75" hidden="1" thickBot="1">
      <c r="F1074" s="308">
        <v>522</v>
      </c>
      <c r="G1074" s="340" t="s">
        <v>4205</v>
      </c>
      <c r="J1074" s="635">
        <f t="shared" si="39"/>
        <v>0</v>
      </c>
    </row>
    <row r="1075" spans="5:10" ht="15.75" hidden="1" thickBot="1">
      <c r="F1075" s="308">
        <v>523</v>
      </c>
      <c r="G1075" s="340" t="s">
        <v>3843</v>
      </c>
      <c r="J1075" s="635">
        <f t="shared" si="39"/>
        <v>0</v>
      </c>
    </row>
    <row r="1076" spans="5:10" ht="15.75" hidden="1" thickBot="1">
      <c r="F1076" s="308">
        <v>531</v>
      </c>
      <c r="G1076" s="337" t="s">
        <v>4181</v>
      </c>
      <c r="J1076" s="635">
        <f t="shared" si="39"/>
        <v>0</v>
      </c>
    </row>
    <row r="1077" spans="5:10" ht="15.75" hidden="1" thickBot="1">
      <c r="F1077" s="308">
        <v>541</v>
      </c>
      <c r="G1077" s="340" t="s">
        <v>4206</v>
      </c>
      <c r="J1077" s="635">
        <f t="shared" si="39"/>
        <v>0</v>
      </c>
    </row>
    <row r="1078" spans="5:10" ht="15.75" hidden="1" thickBot="1">
      <c r="F1078" s="308">
        <v>542</v>
      </c>
      <c r="G1078" s="340" t="s">
        <v>4207</v>
      </c>
      <c r="J1078" s="635">
        <f t="shared" si="39"/>
        <v>0</v>
      </c>
    </row>
    <row r="1079" spans="5:10" ht="15.75" hidden="1" thickBot="1">
      <c r="F1079" s="308">
        <v>543</v>
      </c>
      <c r="G1079" s="340" t="s">
        <v>3848</v>
      </c>
      <c r="J1079" s="635">
        <f t="shared" si="39"/>
        <v>0</v>
      </c>
    </row>
    <row r="1080" spans="5:10" ht="30.75" hidden="1" thickBot="1">
      <c r="F1080" s="308">
        <v>551</v>
      </c>
      <c r="G1080" s="340" t="s">
        <v>4182</v>
      </c>
      <c r="J1080" s="635">
        <f t="shared" si="39"/>
        <v>0</v>
      </c>
    </row>
    <row r="1081" spans="5:10" ht="15.75" hidden="1" thickBot="1">
      <c r="F1081" s="309">
        <v>611</v>
      </c>
      <c r="G1081" s="344" t="s">
        <v>3854</v>
      </c>
      <c r="J1081" s="635">
        <f t="shared" si="39"/>
        <v>0</v>
      </c>
    </row>
    <row r="1082" spans="5:10" ht="15.75" hidden="1" thickBot="1">
      <c r="F1082" s="309">
        <v>620</v>
      </c>
      <c r="G1082" s="344" t="s">
        <v>88</v>
      </c>
      <c r="J1082" s="635">
        <f t="shared" si="39"/>
        <v>0</v>
      </c>
    </row>
    <row r="1083" spans="5:10">
      <c r="E1083" s="338"/>
      <c r="F1083" s="346"/>
      <c r="G1083" s="372" t="s">
        <v>4350</v>
      </c>
      <c r="H1083" s="636"/>
      <c r="I1083" s="662"/>
      <c r="J1083" s="637"/>
    </row>
    <row r="1084" spans="5:10" ht="15.75" thickBot="1">
      <c r="E1084" s="267"/>
      <c r="F1084" s="294" t="s">
        <v>234</v>
      </c>
      <c r="G1084" s="297" t="s">
        <v>235</v>
      </c>
      <c r="H1084" s="638">
        <f>SUM(H1023:H1082)</f>
        <v>113660000</v>
      </c>
      <c r="I1084" s="639"/>
      <c r="J1084" s="639">
        <f t="shared" ref="J1084:J1099" si="40">SUM(H1084:I1084)</f>
        <v>113660000</v>
      </c>
    </row>
    <row r="1085" spans="5:10" ht="15.75" hidden="1" thickBot="1">
      <c r="F1085" s="294" t="s">
        <v>236</v>
      </c>
      <c r="G1085" s="297" t="s">
        <v>237</v>
      </c>
      <c r="J1085" s="639">
        <f t="shared" si="40"/>
        <v>0</v>
      </c>
    </row>
    <row r="1086" spans="5:10" ht="15.75" hidden="1" thickBot="1">
      <c r="F1086" s="294" t="s">
        <v>238</v>
      </c>
      <c r="G1086" s="297" t="s">
        <v>239</v>
      </c>
      <c r="J1086" s="639">
        <f t="shared" si="40"/>
        <v>0</v>
      </c>
    </row>
    <row r="1087" spans="5:10" ht="15.75" hidden="1" thickBot="1">
      <c r="F1087" s="294" t="s">
        <v>240</v>
      </c>
      <c r="G1087" s="297" t="s">
        <v>241</v>
      </c>
      <c r="J1087" s="639">
        <f t="shared" si="40"/>
        <v>0</v>
      </c>
    </row>
    <row r="1088" spans="5:10" ht="15.75" hidden="1" thickBot="1">
      <c r="F1088" s="294" t="s">
        <v>242</v>
      </c>
      <c r="G1088" s="297" t="s">
        <v>243</v>
      </c>
      <c r="J1088" s="639">
        <f t="shared" si="40"/>
        <v>0</v>
      </c>
    </row>
    <row r="1089" spans="5:10" ht="15.75" hidden="1" thickBot="1">
      <c r="F1089" s="294" t="s">
        <v>244</v>
      </c>
      <c r="G1089" s="297" t="s">
        <v>245</v>
      </c>
      <c r="J1089" s="639">
        <f t="shared" si="40"/>
        <v>0</v>
      </c>
    </row>
    <row r="1090" spans="5:10" ht="15.75" hidden="1" thickBot="1">
      <c r="F1090" s="294" t="s">
        <v>246</v>
      </c>
      <c r="G1090" s="683" t="s">
        <v>5121</v>
      </c>
      <c r="J1090" s="639">
        <f t="shared" si="40"/>
        <v>0</v>
      </c>
    </row>
    <row r="1091" spans="5:10" ht="15.75" hidden="1" thickBot="1">
      <c r="F1091" s="294" t="s">
        <v>247</v>
      </c>
      <c r="G1091" s="683" t="s">
        <v>5120</v>
      </c>
      <c r="J1091" s="639">
        <f t="shared" si="40"/>
        <v>0</v>
      </c>
    </row>
    <row r="1092" spans="5:10" ht="15.75" hidden="1" thickBot="1">
      <c r="F1092" s="294" t="s">
        <v>248</v>
      </c>
      <c r="G1092" s="297" t="s">
        <v>57</v>
      </c>
      <c r="J1092" s="639">
        <f t="shared" si="40"/>
        <v>0</v>
      </c>
    </row>
    <row r="1093" spans="5:10" ht="15.75" hidden="1" thickBot="1">
      <c r="F1093" s="294" t="s">
        <v>249</v>
      </c>
      <c r="G1093" s="297" t="s">
        <v>250</v>
      </c>
      <c r="J1093" s="639">
        <f t="shared" si="40"/>
        <v>0</v>
      </c>
    </row>
    <row r="1094" spans="5:10" ht="15.75" hidden="1" thickBot="1">
      <c r="F1094" s="294" t="s">
        <v>251</v>
      </c>
      <c r="G1094" s="297" t="s">
        <v>252</v>
      </c>
      <c r="J1094" s="639">
        <f t="shared" si="40"/>
        <v>0</v>
      </c>
    </row>
    <row r="1095" spans="5:10" ht="15.75" hidden="1" thickBot="1">
      <c r="F1095" s="294" t="s">
        <v>253</v>
      </c>
      <c r="G1095" s="297" t="s">
        <v>254</v>
      </c>
      <c r="J1095" s="639">
        <f t="shared" si="40"/>
        <v>0</v>
      </c>
    </row>
    <row r="1096" spans="5:10" ht="15.75" hidden="1" thickBot="1">
      <c r="F1096" s="294" t="s">
        <v>255</v>
      </c>
      <c r="G1096" s="297" t="s">
        <v>256</v>
      </c>
      <c r="J1096" s="639">
        <f t="shared" si="40"/>
        <v>0</v>
      </c>
    </row>
    <row r="1097" spans="5:10" ht="15.75" hidden="1" thickBot="1">
      <c r="F1097" s="294" t="s">
        <v>257</v>
      </c>
      <c r="G1097" s="297" t="s">
        <v>258</v>
      </c>
      <c r="J1097" s="639">
        <f t="shared" si="40"/>
        <v>0</v>
      </c>
    </row>
    <row r="1098" spans="5:10" ht="15.75" hidden="1" thickBot="1">
      <c r="F1098" s="294" t="s">
        <v>259</v>
      </c>
      <c r="G1098" s="297" t="s">
        <v>260</v>
      </c>
      <c r="J1098" s="639">
        <f t="shared" si="40"/>
        <v>0</v>
      </c>
    </row>
    <row r="1099" spans="5:10" ht="15.75" hidden="1" thickBot="1">
      <c r="F1099" s="294" t="s">
        <v>261</v>
      </c>
      <c r="G1099" s="297" t="s">
        <v>262</v>
      </c>
      <c r="H1099" s="638"/>
      <c r="I1099" s="639"/>
      <c r="J1099" s="639">
        <f t="shared" si="40"/>
        <v>0</v>
      </c>
    </row>
    <row r="1100" spans="5:10" ht="15.75" thickBot="1">
      <c r="G1100" s="274" t="s">
        <v>4351</v>
      </c>
      <c r="H1100" s="640">
        <f>SUM(H1084:H1099)</f>
        <v>113660000</v>
      </c>
      <c r="I1100" s="641">
        <f>SUM(I1085:I1099)</f>
        <v>0</v>
      </c>
      <c r="J1100" s="641">
        <f>SUM(J1084:J1099)</f>
        <v>113660000</v>
      </c>
    </row>
    <row r="1101" spans="5:10" collapsed="1">
      <c r="E1101" s="338"/>
      <c r="F1101" s="346"/>
      <c r="G1101" s="276" t="s">
        <v>5059</v>
      </c>
      <c r="H1101" s="642"/>
      <c r="I1101" s="663"/>
      <c r="J1101" s="643"/>
    </row>
    <row r="1102" spans="5:10" ht="15.75" thickBot="1">
      <c r="E1102" s="267"/>
      <c r="F1102" s="294" t="s">
        <v>234</v>
      </c>
      <c r="G1102" s="297" t="s">
        <v>235</v>
      </c>
      <c r="H1102" s="638">
        <f>SUM(H1023:H1082)</f>
        <v>113660000</v>
      </c>
      <c r="I1102" s="639"/>
      <c r="J1102" s="639">
        <f>SUM(H1102:I1102)</f>
        <v>113660000</v>
      </c>
    </row>
    <row r="1103" spans="5:10" ht="15.75" hidden="1" thickBot="1">
      <c r="F1103" s="294" t="s">
        <v>236</v>
      </c>
      <c r="G1103" s="297" t="s">
        <v>237</v>
      </c>
      <c r="J1103" s="639">
        <f t="shared" ref="J1103:J1117" si="41">SUM(H1103:I1103)</f>
        <v>0</v>
      </c>
    </row>
    <row r="1104" spans="5:10" ht="15.75" hidden="1" thickBot="1">
      <c r="F1104" s="294" t="s">
        <v>238</v>
      </c>
      <c r="G1104" s="297" t="s">
        <v>239</v>
      </c>
      <c r="J1104" s="639">
        <f t="shared" si="41"/>
        <v>0</v>
      </c>
    </row>
    <row r="1105" spans="1:25" ht="15.75" hidden="1" thickBot="1">
      <c r="F1105" s="294" t="s">
        <v>240</v>
      </c>
      <c r="G1105" s="297" t="s">
        <v>241</v>
      </c>
      <c r="J1105" s="639">
        <f t="shared" si="41"/>
        <v>0</v>
      </c>
    </row>
    <row r="1106" spans="1:25" ht="15.75" hidden="1" thickBot="1">
      <c r="F1106" s="294" t="s">
        <v>242</v>
      </c>
      <c r="G1106" s="297" t="s">
        <v>243</v>
      </c>
      <c r="J1106" s="639">
        <f t="shared" si="41"/>
        <v>0</v>
      </c>
    </row>
    <row r="1107" spans="1:25" ht="15.75" hidden="1" thickBot="1">
      <c r="F1107" s="294" t="s">
        <v>244</v>
      </c>
      <c r="G1107" s="297" t="s">
        <v>245</v>
      </c>
      <c r="J1107" s="639">
        <f t="shared" si="41"/>
        <v>0</v>
      </c>
    </row>
    <row r="1108" spans="1:25" ht="15.75" hidden="1" thickBot="1">
      <c r="F1108" s="294" t="s">
        <v>246</v>
      </c>
      <c r="G1108" s="683" t="s">
        <v>5121</v>
      </c>
      <c r="J1108" s="639">
        <f t="shared" si="41"/>
        <v>0</v>
      </c>
    </row>
    <row r="1109" spans="1:25" ht="15.75" hidden="1" thickBot="1">
      <c r="F1109" s="294" t="s">
        <v>247</v>
      </c>
      <c r="G1109" s="683" t="s">
        <v>5120</v>
      </c>
      <c r="J1109" s="639">
        <f t="shared" si="41"/>
        <v>0</v>
      </c>
    </row>
    <row r="1110" spans="1:25" ht="15.75" hidden="1" thickBot="1">
      <c r="F1110" s="294" t="s">
        <v>248</v>
      </c>
      <c r="G1110" s="297" t="s">
        <v>57</v>
      </c>
      <c r="J1110" s="639">
        <f t="shared" si="41"/>
        <v>0</v>
      </c>
    </row>
    <row r="1111" spans="1:25" ht="15.75" hidden="1" thickBot="1">
      <c r="F1111" s="294" t="s">
        <v>249</v>
      </c>
      <c r="G1111" s="297" t="s">
        <v>250</v>
      </c>
      <c r="J1111" s="639">
        <f t="shared" si="41"/>
        <v>0</v>
      </c>
    </row>
    <row r="1112" spans="1:25" ht="15.75" hidden="1" thickBot="1">
      <c r="F1112" s="294" t="s">
        <v>251</v>
      </c>
      <c r="G1112" s="297" t="s">
        <v>252</v>
      </c>
      <c r="J1112" s="639">
        <f t="shared" si="41"/>
        <v>0</v>
      </c>
    </row>
    <row r="1113" spans="1:25" ht="15.75" hidden="1" thickBot="1">
      <c r="F1113" s="294" t="s">
        <v>253</v>
      </c>
      <c r="G1113" s="297" t="s">
        <v>254</v>
      </c>
      <c r="J1113" s="639">
        <f t="shared" si="41"/>
        <v>0</v>
      </c>
    </row>
    <row r="1114" spans="1:25" ht="15.75" hidden="1" thickBot="1">
      <c r="F1114" s="294" t="s">
        <v>255</v>
      </c>
      <c r="G1114" s="297" t="s">
        <v>256</v>
      </c>
      <c r="J1114" s="639">
        <f t="shared" si="41"/>
        <v>0</v>
      </c>
    </row>
    <row r="1115" spans="1:25" ht="15.75" hidden="1" thickBot="1">
      <c r="F1115" s="294" t="s">
        <v>257</v>
      </c>
      <c r="G1115" s="297" t="s">
        <v>258</v>
      </c>
      <c r="J1115" s="639">
        <f t="shared" si="41"/>
        <v>0</v>
      </c>
    </row>
    <row r="1116" spans="1:25" ht="15.75" hidden="1" thickBot="1">
      <c r="F1116" s="294" t="s">
        <v>259</v>
      </c>
      <c r="G1116" s="297" t="s">
        <v>260</v>
      </c>
      <c r="J1116" s="639">
        <f t="shared" si="41"/>
        <v>0</v>
      </c>
    </row>
    <row r="1117" spans="1:25" ht="15.75" hidden="1" thickBot="1">
      <c r="F1117" s="294" t="s">
        <v>261</v>
      </c>
      <c r="G1117" s="297" t="s">
        <v>262</v>
      </c>
      <c r="H1117" s="638"/>
      <c r="I1117" s="639"/>
      <c r="J1117" s="639">
        <f t="shared" si="41"/>
        <v>0</v>
      </c>
    </row>
    <row r="1118" spans="1:25" ht="15" customHeight="1" collapsed="1" thickBot="1">
      <c r="G1118" s="274" t="s">
        <v>5060</v>
      </c>
      <c r="H1118" s="640">
        <f>SUM(H1102:H1117)</f>
        <v>113660000</v>
      </c>
      <c r="I1118" s="641">
        <f>SUM(I1103:I1117)</f>
        <v>0</v>
      </c>
      <c r="J1118" s="641">
        <f>SUM(J1102:J1117)</f>
        <v>113660000</v>
      </c>
    </row>
    <row r="1119" spans="1:25" s="88" customFormat="1" hidden="1">
      <c r="A1119" s="306"/>
      <c r="B1119" s="301"/>
      <c r="C1119" s="361"/>
      <c r="D1119" s="296"/>
      <c r="E1119" s="296"/>
      <c r="F1119" s="302"/>
      <c r="G1119" s="339"/>
      <c r="H1119" s="667"/>
      <c r="I1119" s="650"/>
      <c r="J1119" s="668"/>
      <c r="K1119" s="575"/>
      <c r="L1119" s="575"/>
      <c r="M1119" s="575"/>
      <c r="N1119" s="313"/>
      <c r="O1119" s="575"/>
      <c r="P1119" s="575"/>
      <c r="Q1119" s="575"/>
      <c r="R1119" s="575"/>
      <c r="S1119" s="575"/>
      <c r="T1119" s="575"/>
      <c r="U1119" s="575"/>
      <c r="V1119" s="575"/>
      <c r="W1119" s="575"/>
      <c r="X1119" s="575"/>
      <c r="Y1119" s="575"/>
    </row>
    <row r="1120" spans="1:25" hidden="1">
      <c r="C1120" s="273"/>
      <c r="D1120" s="264"/>
      <c r="G1120" s="307" t="s">
        <v>4088</v>
      </c>
    </row>
    <row r="1121" spans="3:14" hidden="1">
      <c r="C1121" s="273"/>
      <c r="D1121" s="373">
        <v>411</v>
      </c>
      <c r="E1121" s="374"/>
      <c r="F1121" s="374"/>
      <c r="G1121" s="375" t="s">
        <v>135</v>
      </c>
    </row>
    <row r="1122" spans="3:14" hidden="1">
      <c r="F1122" s="308">
        <v>411</v>
      </c>
      <c r="G1122" s="340" t="s">
        <v>4173</v>
      </c>
      <c r="J1122" s="635">
        <f>SUM(H1122:I1122)</f>
        <v>0</v>
      </c>
      <c r="L1122" s="578"/>
      <c r="M1122" s="578"/>
      <c r="N1122" s="318"/>
    </row>
    <row r="1123" spans="3:14" hidden="1">
      <c r="F1123" s="308">
        <v>412</v>
      </c>
      <c r="G1123" s="337" t="s">
        <v>3770</v>
      </c>
      <c r="J1123" s="635">
        <f t="shared" ref="J1123:J1181" si="42">SUM(H1123:I1123)</f>
        <v>0</v>
      </c>
    </row>
    <row r="1124" spans="3:14" hidden="1">
      <c r="F1124" s="308">
        <v>413</v>
      </c>
      <c r="G1124" s="340" t="s">
        <v>4174</v>
      </c>
      <c r="J1124" s="635">
        <f t="shared" si="42"/>
        <v>0</v>
      </c>
    </row>
    <row r="1125" spans="3:14" hidden="1">
      <c r="F1125" s="308">
        <v>414</v>
      </c>
      <c r="G1125" s="340" t="s">
        <v>3773</v>
      </c>
      <c r="J1125" s="635">
        <f t="shared" si="42"/>
        <v>0</v>
      </c>
    </row>
    <row r="1126" spans="3:14" hidden="1">
      <c r="F1126" s="308">
        <v>415</v>
      </c>
      <c r="G1126" s="340" t="s">
        <v>4183</v>
      </c>
      <c r="J1126" s="635">
        <f t="shared" si="42"/>
        <v>0</v>
      </c>
    </row>
    <row r="1127" spans="3:14" hidden="1">
      <c r="F1127" s="308">
        <v>416</v>
      </c>
      <c r="G1127" s="340" t="s">
        <v>4184</v>
      </c>
      <c r="J1127" s="635">
        <f t="shared" si="42"/>
        <v>0</v>
      </c>
    </row>
    <row r="1128" spans="3:14" hidden="1">
      <c r="F1128" s="308">
        <v>417</v>
      </c>
      <c r="G1128" s="340" t="s">
        <v>4185</v>
      </c>
      <c r="J1128" s="635">
        <f t="shared" si="42"/>
        <v>0</v>
      </c>
    </row>
    <row r="1129" spans="3:14" hidden="1">
      <c r="F1129" s="308">
        <v>418</v>
      </c>
      <c r="G1129" s="340" t="s">
        <v>3779</v>
      </c>
      <c r="J1129" s="635">
        <f t="shared" si="42"/>
        <v>0</v>
      </c>
    </row>
    <row r="1130" spans="3:14" hidden="1">
      <c r="F1130" s="308">
        <v>421</v>
      </c>
      <c r="G1130" s="340" t="s">
        <v>3783</v>
      </c>
      <c r="J1130" s="635">
        <f t="shared" si="42"/>
        <v>0</v>
      </c>
    </row>
    <row r="1131" spans="3:14" hidden="1">
      <c r="F1131" s="308">
        <v>422</v>
      </c>
      <c r="G1131" s="340" t="s">
        <v>3784</v>
      </c>
      <c r="J1131" s="635">
        <f t="shared" si="42"/>
        <v>0</v>
      </c>
    </row>
    <row r="1132" spans="3:14" hidden="1">
      <c r="F1132" s="308">
        <v>423</v>
      </c>
      <c r="G1132" s="340" t="s">
        <v>3785</v>
      </c>
      <c r="J1132" s="635">
        <f t="shared" si="42"/>
        <v>0</v>
      </c>
    </row>
    <row r="1133" spans="3:14" hidden="1">
      <c r="F1133" s="308">
        <v>424</v>
      </c>
      <c r="G1133" s="340" t="s">
        <v>3787</v>
      </c>
      <c r="J1133" s="635">
        <f t="shared" si="42"/>
        <v>0</v>
      </c>
    </row>
    <row r="1134" spans="3:14" hidden="1">
      <c r="F1134" s="308">
        <v>425</v>
      </c>
      <c r="G1134" s="340" t="s">
        <v>4186</v>
      </c>
      <c r="J1134" s="635">
        <f t="shared" si="42"/>
        <v>0</v>
      </c>
    </row>
    <row r="1135" spans="3:14" hidden="1">
      <c r="F1135" s="308">
        <v>426</v>
      </c>
      <c r="G1135" s="340" t="s">
        <v>3791</v>
      </c>
      <c r="J1135" s="635">
        <f t="shared" si="42"/>
        <v>0</v>
      </c>
    </row>
    <row r="1136" spans="3:14" hidden="1">
      <c r="F1136" s="308">
        <v>431</v>
      </c>
      <c r="G1136" s="340" t="s">
        <v>4187</v>
      </c>
      <c r="J1136" s="635">
        <f t="shared" si="42"/>
        <v>0</v>
      </c>
    </row>
    <row r="1137" spans="6:10" hidden="1">
      <c r="F1137" s="308">
        <v>432</v>
      </c>
      <c r="G1137" s="340" t="s">
        <v>4188</v>
      </c>
      <c r="J1137" s="635">
        <f t="shared" si="42"/>
        <v>0</v>
      </c>
    </row>
    <row r="1138" spans="6:10" hidden="1">
      <c r="F1138" s="308">
        <v>433</v>
      </c>
      <c r="G1138" s="340" t="s">
        <v>4189</v>
      </c>
      <c r="J1138" s="635">
        <f t="shared" si="42"/>
        <v>0</v>
      </c>
    </row>
    <row r="1139" spans="6:10" hidden="1">
      <c r="F1139" s="308">
        <v>434</v>
      </c>
      <c r="G1139" s="340" t="s">
        <v>4190</v>
      </c>
      <c r="J1139" s="635">
        <f t="shared" si="42"/>
        <v>0</v>
      </c>
    </row>
    <row r="1140" spans="6:10" hidden="1">
      <c r="F1140" s="308">
        <v>435</v>
      </c>
      <c r="G1140" s="340" t="s">
        <v>3798</v>
      </c>
      <c r="J1140" s="635">
        <f t="shared" si="42"/>
        <v>0</v>
      </c>
    </row>
    <row r="1141" spans="6:10" hidden="1">
      <c r="F1141" s="308">
        <v>441</v>
      </c>
      <c r="G1141" s="340" t="s">
        <v>4191</v>
      </c>
      <c r="J1141" s="635">
        <f t="shared" si="42"/>
        <v>0</v>
      </c>
    </row>
    <row r="1142" spans="6:10" hidden="1">
      <c r="F1142" s="308">
        <v>442</v>
      </c>
      <c r="G1142" s="340" t="s">
        <v>4192</v>
      </c>
      <c r="J1142" s="635">
        <f t="shared" si="42"/>
        <v>0</v>
      </c>
    </row>
    <row r="1143" spans="6:10" hidden="1">
      <c r="F1143" s="308">
        <v>443</v>
      </c>
      <c r="G1143" s="340" t="s">
        <v>3803</v>
      </c>
      <c r="J1143" s="635">
        <f t="shared" si="42"/>
        <v>0</v>
      </c>
    </row>
    <row r="1144" spans="6:10" hidden="1">
      <c r="F1144" s="308">
        <v>444</v>
      </c>
      <c r="G1144" s="340" t="s">
        <v>3804</v>
      </c>
      <c r="J1144" s="635">
        <f t="shared" si="42"/>
        <v>0</v>
      </c>
    </row>
    <row r="1145" spans="6:10" ht="30" hidden="1">
      <c r="F1145" s="308">
        <v>4511</v>
      </c>
      <c r="G1145" s="268" t="s">
        <v>1690</v>
      </c>
      <c r="J1145" s="635">
        <f t="shared" si="42"/>
        <v>0</v>
      </c>
    </row>
    <row r="1146" spans="6:10" ht="30" hidden="1">
      <c r="F1146" s="308">
        <v>4512</v>
      </c>
      <c r="G1146" s="268" t="s">
        <v>1699</v>
      </c>
      <c r="J1146" s="635">
        <f t="shared" si="42"/>
        <v>0</v>
      </c>
    </row>
    <row r="1147" spans="6:10" hidden="1">
      <c r="F1147" s="308">
        <v>452</v>
      </c>
      <c r="G1147" s="340" t="s">
        <v>4193</v>
      </c>
      <c r="J1147" s="635">
        <f t="shared" si="42"/>
        <v>0</v>
      </c>
    </row>
    <row r="1148" spans="6:10" hidden="1">
      <c r="F1148" s="308">
        <v>453</v>
      </c>
      <c r="G1148" s="340" t="s">
        <v>4194</v>
      </c>
      <c r="J1148" s="635">
        <f t="shared" si="42"/>
        <v>0</v>
      </c>
    </row>
    <row r="1149" spans="6:10" hidden="1">
      <c r="F1149" s="308">
        <v>454</v>
      </c>
      <c r="G1149" s="340" t="s">
        <v>3809</v>
      </c>
      <c r="J1149" s="635">
        <f t="shared" si="42"/>
        <v>0</v>
      </c>
    </row>
    <row r="1150" spans="6:10" hidden="1">
      <c r="F1150" s="308">
        <v>461</v>
      </c>
      <c r="G1150" s="340" t="s">
        <v>4175</v>
      </c>
      <c r="J1150" s="635">
        <f t="shared" si="42"/>
        <v>0</v>
      </c>
    </row>
    <row r="1151" spans="6:10" hidden="1">
      <c r="F1151" s="308">
        <v>462</v>
      </c>
      <c r="G1151" s="340" t="s">
        <v>3812</v>
      </c>
      <c r="J1151" s="635">
        <f t="shared" si="42"/>
        <v>0</v>
      </c>
    </row>
    <row r="1152" spans="6:10" hidden="1">
      <c r="F1152" s="308">
        <v>4631</v>
      </c>
      <c r="G1152" s="340" t="s">
        <v>3813</v>
      </c>
      <c r="J1152" s="635">
        <f t="shared" si="42"/>
        <v>0</v>
      </c>
    </row>
    <row r="1153" spans="6:10" hidden="1">
      <c r="F1153" s="308">
        <v>4632</v>
      </c>
      <c r="G1153" s="340" t="s">
        <v>3814</v>
      </c>
      <c r="J1153" s="635">
        <f t="shared" si="42"/>
        <v>0</v>
      </c>
    </row>
    <row r="1154" spans="6:10" hidden="1">
      <c r="F1154" s="308">
        <v>464</v>
      </c>
      <c r="G1154" s="340" t="s">
        <v>3815</v>
      </c>
      <c r="J1154" s="635">
        <f t="shared" si="42"/>
        <v>0</v>
      </c>
    </row>
    <row r="1155" spans="6:10" hidden="1">
      <c r="F1155" s="308">
        <v>465</v>
      </c>
      <c r="G1155" s="340" t="s">
        <v>4176</v>
      </c>
      <c r="J1155" s="635">
        <f t="shared" si="42"/>
        <v>0</v>
      </c>
    </row>
    <row r="1156" spans="6:10" hidden="1">
      <c r="F1156" s="308">
        <v>472</v>
      </c>
      <c r="G1156" s="340" t="s">
        <v>3819</v>
      </c>
      <c r="J1156" s="635">
        <f t="shared" si="42"/>
        <v>0</v>
      </c>
    </row>
    <row r="1157" spans="6:10" hidden="1">
      <c r="F1157" s="308">
        <v>481</v>
      </c>
      <c r="G1157" s="340" t="s">
        <v>4195</v>
      </c>
      <c r="J1157" s="635">
        <f t="shared" si="42"/>
        <v>0</v>
      </c>
    </row>
    <row r="1158" spans="6:10" hidden="1">
      <c r="F1158" s="308">
        <v>482</v>
      </c>
      <c r="G1158" s="340" t="s">
        <v>4196</v>
      </c>
      <c r="J1158" s="635">
        <f t="shared" si="42"/>
        <v>0</v>
      </c>
    </row>
    <row r="1159" spans="6:10" hidden="1">
      <c r="F1159" s="308">
        <v>483</v>
      </c>
      <c r="G1159" s="343" t="s">
        <v>4197</v>
      </c>
      <c r="J1159" s="635">
        <f t="shared" si="42"/>
        <v>0</v>
      </c>
    </row>
    <row r="1160" spans="6:10" ht="30" hidden="1">
      <c r="F1160" s="308">
        <v>484</v>
      </c>
      <c r="G1160" s="340" t="s">
        <v>4198</v>
      </c>
      <c r="J1160" s="635">
        <f t="shared" si="42"/>
        <v>0</v>
      </c>
    </row>
    <row r="1161" spans="6:10" ht="30" hidden="1">
      <c r="F1161" s="308">
        <v>485</v>
      </c>
      <c r="G1161" s="340" t="s">
        <v>4199</v>
      </c>
      <c r="J1161" s="635">
        <f t="shared" si="42"/>
        <v>0</v>
      </c>
    </row>
    <row r="1162" spans="6:10" ht="30" hidden="1">
      <c r="F1162" s="308">
        <v>489</v>
      </c>
      <c r="G1162" s="340" t="s">
        <v>3827</v>
      </c>
      <c r="J1162" s="635">
        <f t="shared" si="42"/>
        <v>0</v>
      </c>
    </row>
    <row r="1163" spans="6:10" hidden="1">
      <c r="F1163" s="308">
        <v>494</v>
      </c>
      <c r="G1163" s="340" t="s">
        <v>4177</v>
      </c>
      <c r="J1163" s="635">
        <f t="shared" si="42"/>
        <v>0</v>
      </c>
    </row>
    <row r="1164" spans="6:10" ht="30" hidden="1">
      <c r="F1164" s="308">
        <v>495</v>
      </c>
      <c r="G1164" s="340" t="s">
        <v>4178</v>
      </c>
      <c r="J1164" s="635">
        <f t="shared" si="42"/>
        <v>0</v>
      </c>
    </row>
    <row r="1165" spans="6:10" ht="30" hidden="1">
      <c r="F1165" s="308">
        <v>496</v>
      </c>
      <c r="G1165" s="340" t="s">
        <v>4179</v>
      </c>
      <c r="J1165" s="635">
        <f t="shared" si="42"/>
        <v>0</v>
      </c>
    </row>
    <row r="1166" spans="6:10" hidden="1">
      <c r="F1166" s="308">
        <v>499</v>
      </c>
      <c r="G1166" s="340" t="s">
        <v>4180</v>
      </c>
      <c r="J1166" s="635">
        <f t="shared" si="42"/>
        <v>0</v>
      </c>
    </row>
    <row r="1167" spans="6:10" hidden="1">
      <c r="F1167" s="308">
        <v>511</v>
      </c>
      <c r="G1167" s="343" t="s">
        <v>4200</v>
      </c>
      <c r="J1167" s="635">
        <f t="shared" si="42"/>
        <v>0</v>
      </c>
    </row>
    <row r="1168" spans="6:10" hidden="1">
      <c r="F1168" s="308">
        <v>512</v>
      </c>
      <c r="G1168" s="343" t="s">
        <v>4201</v>
      </c>
      <c r="J1168" s="635">
        <f t="shared" si="42"/>
        <v>0</v>
      </c>
    </row>
    <row r="1169" spans="5:10" hidden="1">
      <c r="F1169" s="308">
        <v>513</v>
      </c>
      <c r="G1169" s="343" t="s">
        <v>4202</v>
      </c>
      <c r="J1169" s="635">
        <f t="shared" si="42"/>
        <v>0</v>
      </c>
    </row>
    <row r="1170" spans="5:10" hidden="1">
      <c r="F1170" s="308">
        <v>514</v>
      </c>
      <c r="G1170" s="340" t="s">
        <v>4203</v>
      </c>
      <c r="J1170" s="635">
        <f t="shared" si="42"/>
        <v>0</v>
      </c>
    </row>
    <row r="1171" spans="5:10" hidden="1">
      <c r="F1171" s="308">
        <v>515</v>
      </c>
      <c r="G1171" s="340" t="s">
        <v>3838</v>
      </c>
      <c r="J1171" s="635">
        <f t="shared" si="42"/>
        <v>0</v>
      </c>
    </row>
    <row r="1172" spans="5:10" hidden="1">
      <c r="F1172" s="308">
        <v>521</v>
      </c>
      <c r="G1172" s="340" t="s">
        <v>4204</v>
      </c>
      <c r="J1172" s="635">
        <f t="shared" si="42"/>
        <v>0</v>
      </c>
    </row>
    <row r="1173" spans="5:10" hidden="1">
      <c r="F1173" s="308">
        <v>522</v>
      </c>
      <c r="G1173" s="340" t="s">
        <v>4205</v>
      </c>
      <c r="J1173" s="635">
        <f t="shared" si="42"/>
        <v>0</v>
      </c>
    </row>
    <row r="1174" spans="5:10" hidden="1">
      <c r="F1174" s="308">
        <v>523</v>
      </c>
      <c r="G1174" s="340" t="s">
        <v>3843</v>
      </c>
      <c r="J1174" s="635">
        <f t="shared" si="42"/>
        <v>0</v>
      </c>
    </row>
    <row r="1175" spans="5:10" hidden="1">
      <c r="F1175" s="308">
        <v>531</v>
      </c>
      <c r="G1175" s="337" t="s">
        <v>4181</v>
      </c>
      <c r="J1175" s="635">
        <f t="shared" si="42"/>
        <v>0</v>
      </c>
    </row>
    <row r="1176" spans="5:10" hidden="1">
      <c r="F1176" s="308">
        <v>541</v>
      </c>
      <c r="G1176" s="340" t="s">
        <v>4206</v>
      </c>
      <c r="J1176" s="635">
        <f t="shared" si="42"/>
        <v>0</v>
      </c>
    </row>
    <row r="1177" spans="5:10" hidden="1">
      <c r="F1177" s="308">
        <v>542</v>
      </c>
      <c r="G1177" s="340" t="s">
        <v>4207</v>
      </c>
      <c r="J1177" s="635">
        <f t="shared" si="42"/>
        <v>0</v>
      </c>
    </row>
    <row r="1178" spans="5:10" hidden="1">
      <c r="F1178" s="308">
        <v>543</v>
      </c>
      <c r="G1178" s="340" t="s">
        <v>3848</v>
      </c>
      <c r="J1178" s="635">
        <f t="shared" si="42"/>
        <v>0</v>
      </c>
    </row>
    <row r="1179" spans="5:10" ht="30" hidden="1">
      <c r="F1179" s="308">
        <v>551</v>
      </c>
      <c r="G1179" s="340" t="s">
        <v>4182</v>
      </c>
      <c r="J1179" s="635">
        <f t="shared" si="42"/>
        <v>0</v>
      </c>
    </row>
    <row r="1180" spans="5:10" hidden="1">
      <c r="F1180" s="309">
        <v>611</v>
      </c>
      <c r="G1180" s="344" t="s">
        <v>3854</v>
      </c>
      <c r="J1180" s="635">
        <f t="shared" si="42"/>
        <v>0</v>
      </c>
    </row>
    <row r="1181" spans="5:10" hidden="1">
      <c r="F1181" s="309">
        <v>620</v>
      </c>
      <c r="G1181" s="344" t="s">
        <v>88</v>
      </c>
      <c r="J1181" s="635">
        <f t="shared" si="42"/>
        <v>0</v>
      </c>
    </row>
    <row r="1182" spans="5:10" hidden="1">
      <c r="E1182" s="338"/>
      <c r="F1182" s="346"/>
      <c r="G1182" s="371" t="s">
        <v>4354</v>
      </c>
      <c r="H1182" s="636"/>
      <c r="I1182" s="662"/>
      <c r="J1182" s="637"/>
    </row>
    <row r="1183" spans="5:10" hidden="1">
      <c r="E1183" s="267"/>
      <c r="F1183" s="294" t="s">
        <v>234</v>
      </c>
      <c r="G1183" s="297" t="s">
        <v>235</v>
      </c>
      <c r="H1183" s="638">
        <f>SUM(H1122:H1181)</f>
        <v>0</v>
      </c>
      <c r="I1183" s="639"/>
      <c r="J1183" s="639">
        <f>SUM(H1183:I1183)</f>
        <v>0</v>
      </c>
    </row>
    <row r="1184" spans="5:10" hidden="1">
      <c r="F1184" s="294" t="s">
        <v>236</v>
      </c>
      <c r="G1184" s="297" t="s">
        <v>237</v>
      </c>
      <c r="J1184" s="639">
        <f t="shared" ref="J1184:J1198" si="43">SUM(H1184:I1184)</f>
        <v>0</v>
      </c>
    </row>
    <row r="1185" spans="5:10" hidden="1">
      <c r="F1185" s="294" t="s">
        <v>238</v>
      </c>
      <c r="G1185" s="297" t="s">
        <v>239</v>
      </c>
      <c r="J1185" s="639">
        <f t="shared" si="43"/>
        <v>0</v>
      </c>
    </row>
    <row r="1186" spans="5:10" hidden="1">
      <c r="F1186" s="294" t="s">
        <v>240</v>
      </c>
      <c r="G1186" s="297" t="s">
        <v>241</v>
      </c>
      <c r="J1186" s="639">
        <f t="shared" si="43"/>
        <v>0</v>
      </c>
    </row>
    <row r="1187" spans="5:10" hidden="1">
      <c r="F1187" s="294" t="s">
        <v>242</v>
      </c>
      <c r="G1187" s="297" t="s">
        <v>243</v>
      </c>
      <c r="J1187" s="639">
        <f t="shared" si="43"/>
        <v>0</v>
      </c>
    </row>
    <row r="1188" spans="5:10" hidden="1">
      <c r="F1188" s="294" t="s">
        <v>244</v>
      </c>
      <c r="G1188" s="297" t="s">
        <v>245</v>
      </c>
      <c r="J1188" s="639">
        <f t="shared" si="43"/>
        <v>0</v>
      </c>
    </row>
    <row r="1189" spans="5:10" hidden="1">
      <c r="F1189" s="294" t="s">
        <v>246</v>
      </c>
      <c r="G1189" s="683" t="s">
        <v>5121</v>
      </c>
      <c r="J1189" s="639">
        <f t="shared" si="43"/>
        <v>0</v>
      </c>
    </row>
    <row r="1190" spans="5:10" hidden="1">
      <c r="F1190" s="294" t="s">
        <v>247</v>
      </c>
      <c r="G1190" s="683" t="s">
        <v>5120</v>
      </c>
      <c r="J1190" s="639">
        <f t="shared" si="43"/>
        <v>0</v>
      </c>
    </row>
    <row r="1191" spans="5:10" hidden="1">
      <c r="F1191" s="294" t="s">
        <v>248</v>
      </c>
      <c r="G1191" s="297" t="s">
        <v>57</v>
      </c>
      <c r="J1191" s="639">
        <f t="shared" si="43"/>
        <v>0</v>
      </c>
    </row>
    <row r="1192" spans="5:10" hidden="1">
      <c r="F1192" s="294" t="s">
        <v>249</v>
      </c>
      <c r="G1192" s="297" t="s">
        <v>250</v>
      </c>
      <c r="J1192" s="639">
        <f t="shared" si="43"/>
        <v>0</v>
      </c>
    </row>
    <row r="1193" spans="5:10" hidden="1">
      <c r="F1193" s="294" t="s">
        <v>251</v>
      </c>
      <c r="G1193" s="297" t="s">
        <v>252</v>
      </c>
      <c r="J1193" s="639">
        <f t="shared" si="43"/>
        <v>0</v>
      </c>
    </row>
    <row r="1194" spans="5:10" hidden="1">
      <c r="F1194" s="294" t="s">
        <v>253</v>
      </c>
      <c r="G1194" s="297" t="s">
        <v>254</v>
      </c>
      <c r="J1194" s="639">
        <f t="shared" si="43"/>
        <v>0</v>
      </c>
    </row>
    <row r="1195" spans="5:10" hidden="1">
      <c r="F1195" s="294" t="s">
        <v>255</v>
      </c>
      <c r="G1195" s="297" t="s">
        <v>256</v>
      </c>
      <c r="J1195" s="639">
        <f t="shared" si="43"/>
        <v>0</v>
      </c>
    </row>
    <row r="1196" spans="5:10" hidden="1">
      <c r="F1196" s="294" t="s">
        <v>257</v>
      </c>
      <c r="G1196" s="297" t="s">
        <v>258</v>
      </c>
      <c r="J1196" s="639">
        <f t="shared" si="43"/>
        <v>0</v>
      </c>
    </row>
    <row r="1197" spans="5:10" hidden="1">
      <c r="F1197" s="294" t="s">
        <v>259</v>
      </c>
      <c r="G1197" s="297" t="s">
        <v>260</v>
      </c>
      <c r="J1197" s="639">
        <f t="shared" si="43"/>
        <v>0</v>
      </c>
    </row>
    <row r="1198" spans="5:10" hidden="1">
      <c r="F1198" s="294" t="s">
        <v>261</v>
      </c>
      <c r="G1198" s="297" t="s">
        <v>262</v>
      </c>
      <c r="H1198" s="638"/>
      <c r="I1198" s="639"/>
      <c r="J1198" s="639">
        <f t="shared" si="43"/>
        <v>0</v>
      </c>
    </row>
    <row r="1199" spans="5:10" ht="15.75" hidden="1" thickBot="1">
      <c r="G1199" s="274" t="s">
        <v>4355</v>
      </c>
      <c r="H1199" s="640">
        <f>SUM(H1183:H1198)</f>
        <v>0</v>
      </c>
      <c r="I1199" s="641">
        <f>SUM(I1184:I1198)</f>
        <v>0</v>
      </c>
      <c r="J1199" s="641">
        <f>SUM(J1183:J1198)</f>
        <v>0</v>
      </c>
    </row>
    <row r="1200" spans="5:10" hidden="1" collapsed="1">
      <c r="E1200" s="305"/>
      <c r="F1200" s="309"/>
      <c r="G1200" s="276" t="s">
        <v>4356</v>
      </c>
      <c r="H1200" s="642"/>
      <c r="I1200" s="663"/>
      <c r="J1200" s="643"/>
    </row>
    <row r="1201" spans="5:10" hidden="1">
      <c r="E1201" s="267"/>
      <c r="F1201" s="294" t="s">
        <v>234</v>
      </c>
      <c r="G1201" s="297" t="s">
        <v>235</v>
      </c>
      <c r="H1201" s="638">
        <f>SUM(H1122:H1181)</f>
        <v>0</v>
      </c>
      <c r="I1201" s="639"/>
      <c r="J1201" s="639">
        <f>SUM(H1201:I1201)</f>
        <v>0</v>
      </c>
    </row>
    <row r="1202" spans="5:10" hidden="1">
      <c r="F1202" s="294" t="s">
        <v>236</v>
      </c>
      <c r="G1202" s="297" t="s">
        <v>237</v>
      </c>
      <c r="J1202" s="639">
        <f t="shared" ref="J1202:J1216" si="44">SUM(H1202:I1202)</f>
        <v>0</v>
      </c>
    </row>
    <row r="1203" spans="5:10" hidden="1">
      <c r="F1203" s="294" t="s">
        <v>238</v>
      </c>
      <c r="G1203" s="297" t="s">
        <v>239</v>
      </c>
      <c r="J1203" s="639">
        <f t="shared" si="44"/>
        <v>0</v>
      </c>
    </row>
    <row r="1204" spans="5:10" hidden="1">
      <c r="F1204" s="294" t="s">
        <v>240</v>
      </c>
      <c r="G1204" s="297" t="s">
        <v>241</v>
      </c>
      <c r="J1204" s="639">
        <f t="shared" si="44"/>
        <v>0</v>
      </c>
    </row>
    <row r="1205" spans="5:10" hidden="1">
      <c r="F1205" s="294" t="s">
        <v>242</v>
      </c>
      <c r="G1205" s="297" t="s">
        <v>243</v>
      </c>
      <c r="J1205" s="639">
        <f t="shared" si="44"/>
        <v>0</v>
      </c>
    </row>
    <row r="1206" spans="5:10" hidden="1">
      <c r="F1206" s="294" t="s">
        <v>244</v>
      </c>
      <c r="G1206" s="297" t="s">
        <v>245</v>
      </c>
      <c r="J1206" s="639">
        <f t="shared" si="44"/>
        <v>0</v>
      </c>
    </row>
    <row r="1207" spans="5:10" hidden="1">
      <c r="F1207" s="294" t="s">
        <v>246</v>
      </c>
      <c r="G1207" s="683" t="s">
        <v>5121</v>
      </c>
      <c r="J1207" s="639">
        <f t="shared" si="44"/>
        <v>0</v>
      </c>
    </row>
    <row r="1208" spans="5:10" hidden="1">
      <c r="F1208" s="294" t="s">
        <v>247</v>
      </c>
      <c r="G1208" s="683" t="s">
        <v>5120</v>
      </c>
      <c r="J1208" s="639">
        <f t="shared" si="44"/>
        <v>0</v>
      </c>
    </row>
    <row r="1209" spans="5:10" hidden="1">
      <c r="F1209" s="294" t="s">
        <v>248</v>
      </c>
      <c r="G1209" s="297" t="s">
        <v>57</v>
      </c>
      <c r="J1209" s="639">
        <f t="shared" si="44"/>
        <v>0</v>
      </c>
    </row>
    <row r="1210" spans="5:10" hidden="1">
      <c r="F1210" s="294" t="s">
        <v>249</v>
      </c>
      <c r="G1210" s="297" t="s">
        <v>250</v>
      </c>
      <c r="J1210" s="639">
        <f t="shared" si="44"/>
        <v>0</v>
      </c>
    </row>
    <row r="1211" spans="5:10" hidden="1">
      <c r="F1211" s="294" t="s">
        <v>251</v>
      </c>
      <c r="G1211" s="297" t="s">
        <v>252</v>
      </c>
      <c r="J1211" s="639">
        <f t="shared" si="44"/>
        <v>0</v>
      </c>
    </row>
    <row r="1212" spans="5:10" hidden="1">
      <c r="F1212" s="294" t="s">
        <v>253</v>
      </c>
      <c r="G1212" s="297" t="s">
        <v>254</v>
      </c>
      <c r="J1212" s="639">
        <f t="shared" si="44"/>
        <v>0</v>
      </c>
    </row>
    <row r="1213" spans="5:10" hidden="1">
      <c r="F1213" s="294" t="s">
        <v>255</v>
      </c>
      <c r="G1213" s="297" t="s">
        <v>256</v>
      </c>
      <c r="J1213" s="639">
        <f t="shared" si="44"/>
        <v>0</v>
      </c>
    </row>
    <row r="1214" spans="5:10" hidden="1">
      <c r="F1214" s="294" t="s">
        <v>257</v>
      </c>
      <c r="G1214" s="297" t="s">
        <v>258</v>
      </c>
      <c r="J1214" s="639">
        <f t="shared" si="44"/>
        <v>0</v>
      </c>
    </row>
    <row r="1215" spans="5:10" hidden="1">
      <c r="F1215" s="294" t="s">
        <v>259</v>
      </c>
      <c r="G1215" s="297" t="s">
        <v>260</v>
      </c>
      <c r="J1215" s="639">
        <f t="shared" si="44"/>
        <v>0</v>
      </c>
    </row>
    <row r="1216" spans="5:10" hidden="1">
      <c r="F1216" s="294" t="s">
        <v>261</v>
      </c>
      <c r="G1216" s="297" t="s">
        <v>262</v>
      </c>
      <c r="H1216" s="638"/>
      <c r="I1216" s="639"/>
      <c r="J1216" s="639">
        <f t="shared" si="44"/>
        <v>0</v>
      </c>
    </row>
    <row r="1217" spans="3:14" ht="15.75" hidden="1" collapsed="1" thickBot="1">
      <c r="G1217" s="274" t="s">
        <v>4357</v>
      </c>
      <c r="H1217" s="640">
        <f>SUM(H1201:H1216)</f>
        <v>0</v>
      </c>
      <c r="I1217" s="641">
        <f>SUM(I1202:I1216)</f>
        <v>0</v>
      </c>
      <c r="J1217" s="641">
        <f>SUM(J1201:J1216)</f>
        <v>0</v>
      </c>
    </row>
    <row r="1218" spans="3:14" hidden="1">
      <c r="C1218" s="273" t="s">
        <v>4089</v>
      </c>
      <c r="D1218" s="264"/>
      <c r="G1218" s="307" t="s">
        <v>5076</v>
      </c>
    </row>
    <row r="1219" spans="3:14" hidden="1">
      <c r="C1219" s="273"/>
      <c r="D1219" s="373">
        <v>411</v>
      </c>
      <c r="E1219" s="374"/>
      <c r="F1219" s="374"/>
      <c r="G1219" s="375" t="s">
        <v>135</v>
      </c>
    </row>
    <row r="1220" spans="3:14" hidden="1">
      <c r="F1220" s="308">
        <v>411</v>
      </c>
      <c r="G1220" s="340" t="s">
        <v>4173</v>
      </c>
      <c r="J1220" s="635">
        <f>SUM(H1220:I1220)</f>
        <v>0</v>
      </c>
      <c r="L1220" s="578"/>
      <c r="M1220" s="578"/>
      <c r="N1220" s="318"/>
    </row>
    <row r="1221" spans="3:14" hidden="1">
      <c r="F1221" s="308">
        <v>412</v>
      </c>
      <c r="G1221" s="337" t="s">
        <v>3770</v>
      </c>
      <c r="J1221" s="635">
        <f t="shared" ref="J1221:J1279" si="45">SUM(H1221:I1221)</f>
        <v>0</v>
      </c>
    </row>
    <row r="1222" spans="3:14" hidden="1">
      <c r="F1222" s="308">
        <v>413</v>
      </c>
      <c r="G1222" s="340" t="s">
        <v>4174</v>
      </c>
      <c r="J1222" s="635">
        <f t="shared" si="45"/>
        <v>0</v>
      </c>
    </row>
    <row r="1223" spans="3:14" hidden="1">
      <c r="F1223" s="308">
        <v>414</v>
      </c>
      <c r="G1223" s="340" t="s">
        <v>3773</v>
      </c>
      <c r="J1223" s="635">
        <f t="shared" si="45"/>
        <v>0</v>
      </c>
    </row>
    <row r="1224" spans="3:14" hidden="1">
      <c r="F1224" s="308">
        <v>415</v>
      </c>
      <c r="G1224" s="340" t="s">
        <v>4183</v>
      </c>
      <c r="J1224" s="635">
        <f t="shared" si="45"/>
        <v>0</v>
      </c>
    </row>
    <row r="1225" spans="3:14" hidden="1">
      <c r="F1225" s="308">
        <v>416</v>
      </c>
      <c r="G1225" s="340" t="s">
        <v>4184</v>
      </c>
      <c r="J1225" s="635">
        <f t="shared" si="45"/>
        <v>0</v>
      </c>
    </row>
    <row r="1226" spans="3:14" hidden="1">
      <c r="F1226" s="308">
        <v>417</v>
      </c>
      <c r="G1226" s="340" t="s">
        <v>4185</v>
      </c>
      <c r="J1226" s="635">
        <f t="shared" si="45"/>
        <v>0</v>
      </c>
    </row>
    <row r="1227" spans="3:14" hidden="1">
      <c r="F1227" s="308">
        <v>418</v>
      </c>
      <c r="G1227" s="340" t="s">
        <v>3779</v>
      </c>
      <c r="J1227" s="635">
        <f t="shared" si="45"/>
        <v>0</v>
      </c>
    </row>
    <row r="1228" spans="3:14" hidden="1">
      <c r="F1228" s="308">
        <v>421</v>
      </c>
      <c r="G1228" s="340" t="s">
        <v>3783</v>
      </c>
      <c r="J1228" s="635">
        <f t="shared" si="45"/>
        <v>0</v>
      </c>
    </row>
    <row r="1229" spans="3:14" hidden="1">
      <c r="F1229" s="308">
        <v>422</v>
      </c>
      <c r="G1229" s="340" t="s">
        <v>3784</v>
      </c>
      <c r="J1229" s="635">
        <f t="shared" si="45"/>
        <v>0</v>
      </c>
    </row>
    <row r="1230" spans="3:14" hidden="1">
      <c r="F1230" s="308">
        <v>423</v>
      </c>
      <c r="G1230" s="340" t="s">
        <v>3785</v>
      </c>
      <c r="J1230" s="635">
        <f t="shared" si="45"/>
        <v>0</v>
      </c>
    </row>
    <row r="1231" spans="3:14" hidden="1">
      <c r="F1231" s="308">
        <v>424</v>
      </c>
      <c r="G1231" s="340" t="s">
        <v>3787</v>
      </c>
      <c r="J1231" s="635">
        <f t="shared" si="45"/>
        <v>0</v>
      </c>
    </row>
    <row r="1232" spans="3:14" hidden="1">
      <c r="F1232" s="308">
        <v>425</v>
      </c>
      <c r="G1232" s="340" t="s">
        <v>4186</v>
      </c>
      <c r="J1232" s="635">
        <f t="shared" si="45"/>
        <v>0</v>
      </c>
    </row>
    <row r="1233" spans="6:10" hidden="1">
      <c r="F1233" s="308">
        <v>426</v>
      </c>
      <c r="G1233" s="340" t="s">
        <v>3791</v>
      </c>
      <c r="J1233" s="635">
        <f t="shared" si="45"/>
        <v>0</v>
      </c>
    </row>
    <row r="1234" spans="6:10" hidden="1">
      <c r="F1234" s="308">
        <v>431</v>
      </c>
      <c r="G1234" s="340" t="s">
        <v>4187</v>
      </c>
      <c r="J1234" s="635">
        <f t="shared" si="45"/>
        <v>0</v>
      </c>
    </row>
    <row r="1235" spans="6:10" hidden="1">
      <c r="F1235" s="308">
        <v>432</v>
      </c>
      <c r="G1235" s="340" t="s">
        <v>4188</v>
      </c>
      <c r="J1235" s="635">
        <f t="shared" si="45"/>
        <v>0</v>
      </c>
    </row>
    <row r="1236" spans="6:10" hidden="1">
      <c r="F1236" s="308">
        <v>433</v>
      </c>
      <c r="G1236" s="340" t="s">
        <v>4189</v>
      </c>
      <c r="J1236" s="635">
        <f t="shared" si="45"/>
        <v>0</v>
      </c>
    </row>
    <row r="1237" spans="6:10" hidden="1">
      <c r="F1237" s="308">
        <v>434</v>
      </c>
      <c r="G1237" s="340" t="s">
        <v>4190</v>
      </c>
      <c r="J1237" s="635">
        <f t="shared" si="45"/>
        <v>0</v>
      </c>
    </row>
    <row r="1238" spans="6:10" hidden="1">
      <c r="F1238" s="308">
        <v>435</v>
      </c>
      <c r="G1238" s="340" t="s">
        <v>3798</v>
      </c>
      <c r="J1238" s="635">
        <f t="shared" si="45"/>
        <v>0</v>
      </c>
    </row>
    <row r="1239" spans="6:10" hidden="1">
      <c r="F1239" s="308">
        <v>441</v>
      </c>
      <c r="G1239" s="340" t="s">
        <v>4191</v>
      </c>
      <c r="J1239" s="635">
        <f t="shared" si="45"/>
        <v>0</v>
      </c>
    </row>
    <row r="1240" spans="6:10" hidden="1">
      <c r="F1240" s="308">
        <v>442</v>
      </c>
      <c r="G1240" s="340" t="s">
        <v>4192</v>
      </c>
      <c r="J1240" s="635">
        <f t="shared" si="45"/>
        <v>0</v>
      </c>
    </row>
    <row r="1241" spans="6:10" hidden="1">
      <c r="F1241" s="308">
        <v>443</v>
      </c>
      <c r="G1241" s="340" t="s">
        <v>3803</v>
      </c>
      <c r="J1241" s="635">
        <f t="shared" si="45"/>
        <v>0</v>
      </c>
    </row>
    <row r="1242" spans="6:10" hidden="1">
      <c r="F1242" s="308">
        <v>444</v>
      </c>
      <c r="G1242" s="340" t="s">
        <v>3804</v>
      </c>
      <c r="J1242" s="635">
        <f t="shared" si="45"/>
        <v>0</v>
      </c>
    </row>
    <row r="1243" spans="6:10" ht="30.75" hidden="1" thickBot="1">
      <c r="F1243" s="308">
        <v>4511</v>
      </c>
      <c r="G1243" s="268" t="s">
        <v>1690</v>
      </c>
      <c r="J1243" s="635">
        <f t="shared" si="45"/>
        <v>0</v>
      </c>
    </row>
    <row r="1244" spans="6:10" ht="30.75" hidden="1" thickBot="1">
      <c r="F1244" s="308">
        <v>4512</v>
      </c>
      <c r="G1244" s="268" t="s">
        <v>1699</v>
      </c>
      <c r="J1244" s="635">
        <f t="shared" si="45"/>
        <v>0</v>
      </c>
    </row>
    <row r="1245" spans="6:10" ht="15.75" hidden="1" thickBot="1">
      <c r="F1245" s="308">
        <v>452</v>
      </c>
      <c r="G1245" s="340" t="s">
        <v>4193</v>
      </c>
      <c r="J1245" s="635">
        <f t="shared" si="45"/>
        <v>0</v>
      </c>
    </row>
    <row r="1246" spans="6:10" ht="15.75" hidden="1" thickBot="1">
      <c r="F1246" s="308">
        <v>453</v>
      </c>
      <c r="G1246" s="340" t="s">
        <v>4194</v>
      </c>
      <c r="J1246" s="635">
        <f t="shared" si="45"/>
        <v>0</v>
      </c>
    </row>
    <row r="1247" spans="6:10" ht="15.75" hidden="1" thickBot="1">
      <c r="F1247" s="308">
        <v>454</v>
      </c>
      <c r="G1247" s="340" t="s">
        <v>3809</v>
      </c>
      <c r="J1247" s="635">
        <f t="shared" si="45"/>
        <v>0</v>
      </c>
    </row>
    <row r="1248" spans="6:10" ht="15.75" hidden="1" thickBot="1">
      <c r="F1248" s="308">
        <v>461</v>
      </c>
      <c r="G1248" s="340" t="s">
        <v>4175</v>
      </c>
      <c r="J1248" s="635">
        <f t="shared" si="45"/>
        <v>0</v>
      </c>
    </row>
    <row r="1249" spans="6:10" ht="15.75" hidden="1" thickBot="1">
      <c r="F1249" s="308">
        <v>462</v>
      </c>
      <c r="G1249" s="340" t="s">
        <v>3812</v>
      </c>
      <c r="J1249" s="635">
        <f t="shared" si="45"/>
        <v>0</v>
      </c>
    </row>
    <row r="1250" spans="6:10" ht="15.75" hidden="1" thickBot="1">
      <c r="F1250" s="308">
        <v>4631</v>
      </c>
      <c r="G1250" s="340" t="s">
        <v>3813</v>
      </c>
      <c r="J1250" s="635">
        <f t="shared" si="45"/>
        <v>0</v>
      </c>
    </row>
    <row r="1251" spans="6:10" ht="15.75" hidden="1" thickBot="1">
      <c r="F1251" s="308">
        <v>4632</v>
      </c>
      <c r="G1251" s="340" t="s">
        <v>3814</v>
      </c>
      <c r="J1251" s="635">
        <f t="shared" si="45"/>
        <v>0</v>
      </c>
    </row>
    <row r="1252" spans="6:10" ht="15.75" hidden="1" thickBot="1">
      <c r="F1252" s="308">
        <v>464</v>
      </c>
      <c r="G1252" s="340" t="s">
        <v>3815</v>
      </c>
      <c r="J1252" s="635">
        <f t="shared" si="45"/>
        <v>0</v>
      </c>
    </row>
    <row r="1253" spans="6:10" ht="15.75" hidden="1" thickBot="1">
      <c r="F1253" s="308">
        <v>465</v>
      </c>
      <c r="G1253" s="340" t="s">
        <v>4176</v>
      </c>
      <c r="J1253" s="635">
        <f t="shared" si="45"/>
        <v>0</v>
      </c>
    </row>
    <row r="1254" spans="6:10" ht="15.75" hidden="1" thickBot="1">
      <c r="F1254" s="308">
        <v>472</v>
      </c>
      <c r="G1254" s="340" t="s">
        <v>3819</v>
      </c>
      <c r="J1254" s="635">
        <f t="shared" si="45"/>
        <v>0</v>
      </c>
    </row>
    <row r="1255" spans="6:10" ht="15.75" hidden="1" thickBot="1">
      <c r="F1255" s="308">
        <v>481</v>
      </c>
      <c r="G1255" s="340" t="s">
        <v>4195</v>
      </c>
      <c r="J1255" s="635">
        <f t="shared" si="45"/>
        <v>0</v>
      </c>
    </row>
    <row r="1256" spans="6:10" ht="15.75" hidden="1" thickBot="1">
      <c r="F1256" s="308">
        <v>482</v>
      </c>
      <c r="G1256" s="340" t="s">
        <v>4196</v>
      </c>
      <c r="J1256" s="635">
        <f t="shared" si="45"/>
        <v>0</v>
      </c>
    </row>
    <row r="1257" spans="6:10" ht="15.75" hidden="1" thickBot="1">
      <c r="F1257" s="308">
        <v>483</v>
      </c>
      <c r="G1257" s="343" t="s">
        <v>4197</v>
      </c>
      <c r="J1257" s="635">
        <f t="shared" si="45"/>
        <v>0</v>
      </c>
    </row>
    <row r="1258" spans="6:10" ht="30.75" hidden="1" thickBot="1">
      <c r="F1258" s="308">
        <v>484</v>
      </c>
      <c r="G1258" s="340" t="s">
        <v>4198</v>
      </c>
      <c r="J1258" s="635">
        <f t="shared" si="45"/>
        <v>0</v>
      </c>
    </row>
    <row r="1259" spans="6:10" ht="30.75" hidden="1" thickBot="1">
      <c r="F1259" s="308">
        <v>485</v>
      </c>
      <c r="G1259" s="340" t="s">
        <v>4199</v>
      </c>
      <c r="J1259" s="635">
        <f t="shared" si="45"/>
        <v>0</v>
      </c>
    </row>
    <row r="1260" spans="6:10" ht="30.75" hidden="1" thickBot="1">
      <c r="F1260" s="308">
        <v>489</v>
      </c>
      <c r="G1260" s="340" t="s">
        <v>3827</v>
      </c>
      <c r="J1260" s="635">
        <f t="shared" si="45"/>
        <v>0</v>
      </c>
    </row>
    <row r="1261" spans="6:10" ht="15.75" hidden="1" thickBot="1">
      <c r="F1261" s="308">
        <v>494</v>
      </c>
      <c r="G1261" s="340" t="s">
        <v>4177</v>
      </c>
      <c r="J1261" s="635">
        <f t="shared" si="45"/>
        <v>0</v>
      </c>
    </row>
    <row r="1262" spans="6:10" ht="30.75" hidden="1" thickBot="1">
      <c r="F1262" s="308">
        <v>495</v>
      </c>
      <c r="G1262" s="340" t="s">
        <v>4178</v>
      </c>
      <c r="J1262" s="635">
        <f t="shared" si="45"/>
        <v>0</v>
      </c>
    </row>
    <row r="1263" spans="6:10" ht="30.75" hidden="1" thickBot="1">
      <c r="F1263" s="308">
        <v>496</v>
      </c>
      <c r="G1263" s="340" t="s">
        <v>4179</v>
      </c>
      <c r="J1263" s="635">
        <f t="shared" si="45"/>
        <v>0</v>
      </c>
    </row>
    <row r="1264" spans="6:10" ht="15.75" hidden="1" thickBot="1">
      <c r="F1264" s="308">
        <v>499</v>
      </c>
      <c r="G1264" s="340" t="s">
        <v>4180</v>
      </c>
      <c r="J1264" s="635">
        <f t="shared" si="45"/>
        <v>0</v>
      </c>
    </row>
    <row r="1265" spans="5:10" ht="15.75" hidden="1" thickBot="1">
      <c r="F1265" s="308">
        <v>511</v>
      </c>
      <c r="G1265" s="343" t="s">
        <v>4200</v>
      </c>
      <c r="J1265" s="635">
        <f t="shared" si="45"/>
        <v>0</v>
      </c>
    </row>
    <row r="1266" spans="5:10" ht="15.75" hidden="1" thickBot="1">
      <c r="F1266" s="308">
        <v>512</v>
      </c>
      <c r="G1266" s="343" t="s">
        <v>4201</v>
      </c>
      <c r="J1266" s="635">
        <f t="shared" si="45"/>
        <v>0</v>
      </c>
    </row>
    <row r="1267" spans="5:10" ht="15.75" hidden="1" thickBot="1">
      <c r="F1267" s="308">
        <v>513</v>
      </c>
      <c r="G1267" s="343" t="s">
        <v>4202</v>
      </c>
      <c r="J1267" s="635">
        <f t="shared" si="45"/>
        <v>0</v>
      </c>
    </row>
    <row r="1268" spans="5:10" ht="15.75" hidden="1" thickBot="1">
      <c r="F1268" s="308">
        <v>514</v>
      </c>
      <c r="G1268" s="340" t="s">
        <v>4203</v>
      </c>
      <c r="J1268" s="635">
        <f t="shared" si="45"/>
        <v>0</v>
      </c>
    </row>
    <row r="1269" spans="5:10" ht="15.75" hidden="1" thickBot="1">
      <c r="F1269" s="308">
        <v>515</v>
      </c>
      <c r="G1269" s="340" t="s">
        <v>3838</v>
      </c>
      <c r="J1269" s="635">
        <f t="shared" si="45"/>
        <v>0</v>
      </c>
    </row>
    <row r="1270" spans="5:10" ht="15.75" hidden="1" thickBot="1">
      <c r="F1270" s="308">
        <v>521</v>
      </c>
      <c r="G1270" s="340" t="s">
        <v>4204</v>
      </c>
      <c r="J1270" s="635">
        <f t="shared" si="45"/>
        <v>0</v>
      </c>
    </row>
    <row r="1271" spans="5:10" ht="15.75" hidden="1" thickBot="1">
      <c r="F1271" s="308">
        <v>522</v>
      </c>
      <c r="G1271" s="340" t="s">
        <v>4205</v>
      </c>
      <c r="J1271" s="635">
        <f t="shared" si="45"/>
        <v>0</v>
      </c>
    </row>
    <row r="1272" spans="5:10" ht="15.75" hidden="1" thickBot="1">
      <c r="F1272" s="308">
        <v>523</v>
      </c>
      <c r="G1272" s="340" t="s">
        <v>3843</v>
      </c>
      <c r="J1272" s="635">
        <f t="shared" si="45"/>
        <v>0</v>
      </c>
    </row>
    <row r="1273" spans="5:10" ht="15.75" hidden="1" thickBot="1">
      <c r="F1273" s="308">
        <v>531</v>
      </c>
      <c r="G1273" s="337" t="s">
        <v>4181</v>
      </c>
      <c r="J1273" s="635">
        <f t="shared" si="45"/>
        <v>0</v>
      </c>
    </row>
    <row r="1274" spans="5:10" ht="15.75" hidden="1" thickBot="1">
      <c r="F1274" s="308">
        <v>541</v>
      </c>
      <c r="G1274" s="340" t="s">
        <v>4206</v>
      </c>
      <c r="J1274" s="635">
        <f t="shared" si="45"/>
        <v>0</v>
      </c>
    </row>
    <row r="1275" spans="5:10" ht="15.75" hidden="1" thickBot="1">
      <c r="F1275" s="308">
        <v>542</v>
      </c>
      <c r="G1275" s="340" t="s">
        <v>4207</v>
      </c>
      <c r="J1275" s="635">
        <f t="shared" si="45"/>
        <v>0</v>
      </c>
    </row>
    <row r="1276" spans="5:10" ht="15.75" hidden="1" thickBot="1">
      <c r="F1276" s="308">
        <v>543</v>
      </c>
      <c r="G1276" s="340" t="s">
        <v>3848</v>
      </c>
      <c r="J1276" s="635">
        <f t="shared" si="45"/>
        <v>0</v>
      </c>
    </row>
    <row r="1277" spans="5:10" ht="30.75" hidden="1" thickBot="1">
      <c r="F1277" s="308">
        <v>551</v>
      </c>
      <c r="G1277" s="340" t="s">
        <v>4182</v>
      </c>
      <c r="J1277" s="635">
        <f t="shared" si="45"/>
        <v>0</v>
      </c>
    </row>
    <row r="1278" spans="5:10" ht="15.75" hidden="1" thickBot="1">
      <c r="F1278" s="309">
        <v>611</v>
      </c>
      <c r="G1278" s="344" t="s">
        <v>3854</v>
      </c>
      <c r="J1278" s="635">
        <f t="shared" si="45"/>
        <v>0</v>
      </c>
    </row>
    <row r="1279" spans="5:10" ht="15.75" hidden="1" thickBot="1">
      <c r="F1279" s="309">
        <v>620</v>
      </c>
      <c r="G1279" s="344" t="s">
        <v>88</v>
      </c>
      <c r="J1279" s="635">
        <f t="shared" si="45"/>
        <v>0</v>
      </c>
    </row>
    <row r="1280" spans="5:10" hidden="1">
      <c r="E1280" s="338"/>
      <c r="F1280" s="346"/>
      <c r="G1280" s="372" t="s">
        <v>4354</v>
      </c>
      <c r="H1280" s="636"/>
      <c r="I1280" s="662"/>
      <c r="J1280" s="637"/>
    </row>
    <row r="1281" spans="5:10" ht="15.75" hidden="1" thickBot="1">
      <c r="E1281" s="267"/>
      <c r="F1281" s="294" t="s">
        <v>234</v>
      </c>
      <c r="G1281" s="297" t="s">
        <v>235</v>
      </c>
      <c r="H1281" s="638">
        <f>SUM(H1220:H1279)</f>
        <v>0</v>
      </c>
      <c r="I1281" s="639"/>
      <c r="J1281" s="639">
        <f t="shared" ref="J1281:J1296" si="46">SUM(H1281:I1281)</f>
        <v>0</v>
      </c>
    </row>
    <row r="1282" spans="5:10" ht="15.75" hidden="1" thickBot="1">
      <c r="F1282" s="294" t="s">
        <v>236</v>
      </c>
      <c r="G1282" s="297" t="s">
        <v>237</v>
      </c>
      <c r="J1282" s="639">
        <f t="shared" si="46"/>
        <v>0</v>
      </c>
    </row>
    <row r="1283" spans="5:10" ht="15.75" hidden="1" thickBot="1">
      <c r="F1283" s="294" t="s">
        <v>238</v>
      </c>
      <c r="G1283" s="297" t="s">
        <v>239</v>
      </c>
      <c r="J1283" s="639">
        <f t="shared" si="46"/>
        <v>0</v>
      </c>
    </row>
    <row r="1284" spans="5:10" ht="15.75" hidden="1" thickBot="1">
      <c r="F1284" s="294" t="s">
        <v>240</v>
      </c>
      <c r="G1284" s="297" t="s">
        <v>241</v>
      </c>
      <c r="J1284" s="639">
        <f t="shared" si="46"/>
        <v>0</v>
      </c>
    </row>
    <row r="1285" spans="5:10" ht="15.75" hidden="1" thickBot="1">
      <c r="F1285" s="294" t="s">
        <v>242</v>
      </c>
      <c r="G1285" s="297" t="s">
        <v>243</v>
      </c>
      <c r="J1285" s="639">
        <f t="shared" si="46"/>
        <v>0</v>
      </c>
    </row>
    <row r="1286" spans="5:10" ht="15.75" hidden="1" thickBot="1">
      <c r="F1286" s="294" t="s">
        <v>244</v>
      </c>
      <c r="G1286" s="297" t="s">
        <v>245</v>
      </c>
      <c r="J1286" s="639">
        <f t="shared" si="46"/>
        <v>0</v>
      </c>
    </row>
    <row r="1287" spans="5:10" ht="15.75" hidden="1" thickBot="1">
      <c r="F1287" s="294" t="s">
        <v>246</v>
      </c>
      <c r="G1287" s="683" t="s">
        <v>5121</v>
      </c>
      <c r="J1287" s="639">
        <f t="shared" si="46"/>
        <v>0</v>
      </c>
    </row>
    <row r="1288" spans="5:10" ht="15.75" hidden="1" thickBot="1">
      <c r="F1288" s="294" t="s">
        <v>247</v>
      </c>
      <c r="G1288" s="683" t="s">
        <v>5120</v>
      </c>
      <c r="J1288" s="639">
        <f t="shared" si="46"/>
        <v>0</v>
      </c>
    </row>
    <row r="1289" spans="5:10" ht="15.75" hidden="1" thickBot="1">
      <c r="F1289" s="294" t="s">
        <v>248</v>
      </c>
      <c r="G1289" s="297" t="s">
        <v>57</v>
      </c>
      <c r="J1289" s="639">
        <f t="shared" si="46"/>
        <v>0</v>
      </c>
    </row>
    <row r="1290" spans="5:10" ht="15.75" hidden="1" thickBot="1">
      <c r="F1290" s="294" t="s">
        <v>249</v>
      </c>
      <c r="G1290" s="297" t="s">
        <v>250</v>
      </c>
      <c r="J1290" s="639">
        <f t="shared" si="46"/>
        <v>0</v>
      </c>
    </row>
    <row r="1291" spans="5:10" ht="15.75" hidden="1" thickBot="1">
      <c r="F1291" s="294" t="s">
        <v>251</v>
      </c>
      <c r="G1291" s="297" t="s">
        <v>252</v>
      </c>
      <c r="J1291" s="639">
        <f t="shared" si="46"/>
        <v>0</v>
      </c>
    </row>
    <row r="1292" spans="5:10" ht="15.75" hidden="1" thickBot="1">
      <c r="F1292" s="294" t="s">
        <v>253</v>
      </c>
      <c r="G1292" s="297" t="s">
        <v>254</v>
      </c>
      <c r="J1292" s="639">
        <f t="shared" si="46"/>
        <v>0</v>
      </c>
    </row>
    <row r="1293" spans="5:10" ht="15.75" hidden="1" thickBot="1">
      <c r="F1293" s="294" t="s">
        <v>255</v>
      </c>
      <c r="G1293" s="297" t="s">
        <v>256</v>
      </c>
      <c r="J1293" s="639">
        <f t="shared" si="46"/>
        <v>0</v>
      </c>
    </row>
    <row r="1294" spans="5:10" ht="15.75" hidden="1" thickBot="1">
      <c r="F1294" s="294" t="s">
        <v>257</v>
      </c>
      <c r="G1294" s="297" t="s">
        <v>258</v>
      </c>
      <c r="J1294" s="639">
        <f t="shared" si="46"/>
        <v>0</v>
      </c>
    </row>
    <row r="1295" spans="5:10" ht="15.75" hidden="1" thickBot="1">
      <c r="F1295" s="294" t="s">
        <v>259</v>
      </c>
      <c r="G1295" s="297" t="s">
        <v>260</v>
      </c>
      <c r="J1295" s="639">
        <f t="shared" si="46"/>
        <v>0</v>
      </c>
    </row>
    <row r="1296" spans="5:10" ht="15.75" hidden="1" thickBot="1">
      <c r="F1296" s="294" t="s">
        <v>261</v>
      </c>
      <c r="G1296" s="297" t="s">
        <v>262</v>
      </c>
      <c r="H1296" s="638"/>
      <c r="I1296" s="639"/>
      <c r="J1296" s="639">
        <f t="shared" si="46"/>
        <v>0</v>
      </c>
    </row>
    <row r="1297" spans="5:10" ht="15.75" hidden="1" thickBot="1">
      <c r="G1297" s="274" t="s">
        <v>4355</v>
      </c>
      <c r="H1297" s="640">
        <f>SUM(H1281:H1296)</f>
        <v>0</v>
      </c>
      <c r="I1297" s="641">
        <f>SUM(I1282:I1296)</f>
        <v>0</v>
      </c>
      <c r="J1297" s="641">
        <f>SUM(J1281:J1296)</f>
        <v>0</v>
      </c>
    </row>
    <row r="1298" spans="5:10" hidden="1" collapsed="1">
      <c r="E1298" s="305"/>
      <c r="F1298" s="309"/>
      <c r="G1298" s="276" t="s">
        <v>4358</v>
      </c>
      <c r="H1298" s="642"/>
      <c r="I1298" s="663"/>
      <c r="J1298" s="643"/>
    </row>
    <row r="1299" spans="5:10" ht="15.75" hidden="1" thickBot="1">
      <c r="E1299" s="267"/>
      <c r="F1299" s="294" t="s">
        <v>234</v>
      </c>
      <c r="G1299" s="297" t="s">
        <v>235</v>
      </c>
      <c r="H1299" s="638">
        <f>SUM(H1220:H1279)</f>
        <v>0</v>
      </c>
      <c r="I1299" s="639"/>
      <c r="J1299" s="639">
        <f>SUM(H1299:I1299)</f>
        <v>0</v>
      </c>
    </row>
    <row r="1300" spans="5:10" ht="15.75" hidden="1" thickBot="1">
      <c r="F1300" s="294" t="s">
        <v>236</v>
      </c>
      <c r="G1300" s="297" t="s">
        <v>237</v>
      </c>
      <c r="J1300" s="639">
        <f t="shared" ref="J1300:J1314" si="47">SUM(H1300:I1300)</f>
        <v>0</v>
      </c>
    </row>
    <row r="1301" spans="5:10" ht="15.75" hidden="1" thickBot="1">
      <c r="F1301" s="294" t="s">
        <v>238</v>
      </c>
      <c r="G1301" s="297" t="s">
        <v>239</v>
      </c>
      <c r="J1301" s="639">
        <f t="shared" si="47"/>
        <v>0</v>
      </c>
    </row>
    <row r="1302" spans="5:10" ht="15.75" hidden="1" thickBot="1">
      <c r="F1302" s="294" t="s">
        <v>240</v>
      </c>
      <c r="G1302" s="297" t="s">
        <v>241</v>
      </c>
      <c r="J1302" s="639">
        <f t="shared" si="47"/>
        <v>0</v>
      </c>
    </row>
    <row r="1303" spans="5:10" ht="15.75" hidden="1" thickBot="1">
      <c r="F1303" s="294" t="s">
        <v>242</v>
      </c>
      <c r="G1303" s="297" t="s">
        <v>243</v>
      </c>
      <c r="J1303" s="639">
        <f t="shared" si="47"/>
        <v>0</v>
      </c>
    </row>
    <row r="1304" spans="5:10" ht="15.75" hidden="1" thickBot="1">
      <c r="F1304" s="294" t="s">
        <v>244</v>
      </c>
      <c r="G1304" s="297" t="s">
        <v>245</v>
      </c>
      <c r="J1304" s="639">
        <f t="shared" si="47"/>
        <v>0</v>
      </c>
    </row>
    <row r="1305" spans="5:10" ht="15.75" hidden="1" thickBot="1">
      <c r="F1305" s="294" t="s">
        <v>246</v>
      </c>
      <c r="G1305" s="683" t="s">
        <v>5121</v>
      </c>
      <c r="J1305" s="639">
        <f t="shared" si="47"/>
        <v>0</v>
      </c>
    </row>
    <row r="1306" spans="5:10" ht="15.75" hidden="1" thickBot="1">
      <c r="F1306" s="294" t="s">
        <v>247</v>
      </c>
      <c r="G1306" s="683" t="s">
        <v>5120</v>
      </c>
      <c r="J1306" s="639">
        <f t="shared" si="47"/>
        <v>0</v>
      </c>
    </row>
    <row r="1307" spans="5:10" ht="15.75" hidden="1" thickBot="1">
      <c r="F1307" s="294" t="s">
        <v>248</v>
      </c>
      <c r="G1307" s="297" t="s">
        <v>57</v>
      </c>
      <c r="J1307" s="639">
        <f t="shared" si="47"/>
        <v>0</v>
      </c>
    </row>
    <row r="1308" spans="5:10" ht="15.75" hidden="1" thickBot="1">
      <c r="F1308" s="294" t="s">
        <v>249</v>
      </c>
      <c r="G1308" s="297" t="s">
        <v>250</v>
      </c>
      <c r="J1308" s="639">
        <f t="shared" si="47"/>
        <v>0</v>
      </c>
    </row>
    <row r="1309" spans="5:10" ht="15.75" hidden="1" thickBot="1">
      <c r="F1309" s="294" t="s">
        <v>251</v>
      </c>
      <c r="G1309" s="297" t="s">
        <v>252</v>
      </c>
      <c r="J1309" s="639">
        <f t="shared" si="47"/>
        <v>0</v>
      </c>
    </row>
    <row r="1310" spans="5:10" ht="15.75" hidden="1" thickBot="1">
      <c r="F1310" s="294" t="s">
        <v>253</v>
      </c>
      <c r="G1310" s="297" t="s">
        <v>254</v>
      </c>
      <c r="J1310" s="639">
        <f t="shared" si="47"/>
        <v>0</v>
      </c>
    </row>
    <row r="1311" spans="5:10" ht="15.75" hidden="1" thickBot="1">
      <c r="F1311" s="294" t="s">
        <v>255</v>
      </c>
      <c r="G1311" s="297" t="s">
        <v>256</v>
      </c>
      <c r="J1311" s="639">
        <f t="shared" si="47"/>
        <v>0</v>
      </c>
    </row>
    <row r="1312" spans="5:10" ht="15.75" hidden="1" thickBot="1">
      <c r="F1312" s="294" t="s">
        <v>257</v>
      </c>
      <c r="G1312" s="297" t="s">
        <v>258</v>
      </c>
      <c r="J1312" s="639">
        <f t="shared" si="47"/>
        <v>0</v>
      </c>
    </row>
    <row r="1313" spans="1:25" ht="15.75" hidden="1" thickBot="1">
      <c r="F1313" s="294" t="s">
        <v>259</v>
      </c>
      <c r="G1313" s="297" t="s">
        <v>260</v>
      </c>
      <c r="J1313" s="639">
        <f t="shared" si="47"/>
        <v>0</v>
      </c>
    </row>
    <row r="1314" spans="1:25" ht="15.75" hidden="1" thickBot="1">
      <c r="F1314" s="294" t="s">
        <v>261</v>
      </c>
      <c r="G1314" s="297" t="s">
        <v>262</v>
      </c>
      <c r="H1314" s="638"/>
      <c r="I1314" s="639"/>
      <c r="J1314" s="639">
        <f t="shared" si="47"/>
        <v>0</v>
      </c>
    </row>
    <row r="1315" spans="1:25" ht="15.75" hidden="1" collapsed="1" thickBot="1">
      <c r="G1315" s="274" t="s">
        <v>4268</v>
      </c>
      <c r="H1315" s="640">
        <f>SUM(H1299:H1314)</f>
        <v>0</v>
      </c>
      <c r="I1315" s="641">
        <f>SUM(I1300:I1314)</f>
        <v>0</v>
      </c>
      <c r="J1315" s="641">
        <f>SUM(J1299:J1314)</f>
        <v>0</v>
      </c>
    </row>
    <row r="1316" spans="1:25" s="88" customFormat="1" hidden="1">
      <c r="A1316" s="306"/>
      <c r="B1316" s="301"/>
      <c r="C1316" s="361"/>
      <c r="D1316" s="296"/>
      <c r="E1316" s="296"/>
      <c r="F1316" s="302"/>
      <c r="G1316" s="339"/>
      <c r="H1316" s="667"/>
      <c r="I1316" s="650"/>
      <c r="J1316" s="668"/>
      <c r="K1316" s="575"/>
      <c r="L1316" s="575"/>
      <c r="M1316" s="575"/>
      <c r="N1316" s="313"/>
      <c r="O1316" s="575"/>
      <c r="P1316" s="575"/>
      <c r="Q1316" s="575"/>
      <c r="R1316" s="575"/>
      <c r="S1316" s="575"/>
      <c r="T1316" s="575"/>
      <c r="U1316" s="575"/>
      <c r="V1316" s="575"/>
      <c r="W1316" s="575"/>
      <c r="X1316" s="575"/>
      <c r="Y1316" s="575"/>
    </row>
    <row r="1317" spans="1:25" hidden="1">
      <c r="C1317" s="273" t="s">
        <v>4091</v>
      </c>
      <c r="D1317" s="264"/>
      <c r="G1317" s="307" t="s">
        <v>5077</v>
      </c>
    </row>
    <row r="1318" spans="1:25" hidden="1">
      <c r="C1318" s="273"/>
      <c r="D1318" s="373">
        <v>411</v>
      </c>
      <c r="E1318" s="374"/>
      <c r="F1318" s="374"/>
      <c r="G1318" s="375" t="s">
        <v>135</v>
      </c>
    </row>
    <row r="1319" spans="1:25" hidden="1">
      <c r="F1319" s="308">
        <v>411</v>
      </c>
      <c r="G1319" s="340" t="s">
        <v>4173</v>
      </c>
      <c r="J1319" s="635">
        <f>SUM(H1319:I1319)</f>
        <v>0</v>
      </c>
      <c r="L1319" s="578"/>
      <c r="M1319" s="578"/>
      <c r="N1319" s="318"/>
    </row>
    <row r="1320" spans="1:25" hidden="1">
      <c r="F1320" s="308">
        <v>412</v>
      </c>
      <c r="G1320" s="337" t="s">
        <v>3770</v>
      </c>
      <c r="J1320" s="635">
        <f t="shared" ref="J1320:J1378" si="48">SUM(H1320:I1320)</f>
        <v>0</v>
      </c>
    </row>
    <row r="1321" spans="1:25" hidden="1">
      <c r="F1321" s="308">
        <v>413</v>
      </c>
      <c r="G1321" s="340" t="s">
        <v>4174</v>
      </c>
      <c r="J1321" s="635">
        <f t="shared" si="48"/>
        <v>0</v>
      </c>
    </row>
    <row r="1322" spans="1:25" hidden="1">
      <c r="F1322" s="308">
        <v>414</v>
      </c>
      <c r="G1322" s="340" t="s">
        <v>3773</v>
      </c>
      <c r="J1322" s="635">
        <f t="shared" si="48"/>
        <v>0</v>
      </c>
    </row>
    <row r="1323" spans="1:25" hidden="1">
      <c r="F1323" s="308">
        <v>415</v>
      </c>
      <c r="G1323" s="340" t="s">
        <v>4183</v>
      </c>
      <c r="J1323" s="635">
        <f t="shared" si="48"/>
        <v>0</v>
      </c>
    </row>
    <row r="1324" spans="1:25" hidden="1">
      <c r="F1324" s="308">
        <v>416</v>
      </c>
      <c r="G1324" s="340" t="s">
        <v>4184</v>
      </c>
      <c r="J1324" s="635">
        <f t="shared" si="48"/>
        <v>0</v>
      </c>
    </row>
    <row r="1325" spans="1:25" hidden="1">
      <c r="F1325" s="308">
        <v>417</v>
      </c>
      <c r="G1325" s="340" t="s">
        <v>4185</v>
      </c>
      <c r="J1325" s="635">
        <f t="shared" si="48"/>
        <v>0</v>
      </c>
    </row>
    <row r="1326" spans="1:25" hidden="1">
      <c r="F1326" s="308">
        <v>418</v>
      </c>
      <c r="G1326" s="340" t="s">
        <v>3779</v>
      </c>
      <c r="J1326" s="635">
        <f t="shared" si="48"/>
        <v>0</v>
      </c>
    </row>
    <row r="1327" spans="1:25" hidden="1">
      <c r="F1327" s="308">
        <v>421</v>
      </c>
      <c r="G1327" s="340" t="s">
        <v>3783</v>
      </c>
      <c r="J1327" s="635">
        <f t="shared" si="48"/>
        <v>0</v>
      </c>
    </row>
    <row r="1328" spans="1:25" hidden="1">
      <c r="F1328" s="308">
        <v>422</v>
      </c>
      <c r="G1328" s="340" t="s">
        <v>3784</v>
      </c>
      <c r="J1328" s="635">
        <f t="shared" si="48"/>
        <v>0</v>
      </c>
    </row>
    <row r="1329" spans="6:10" hidden="1">
      <c r="F1329" s="308">
        <v>423</v>
      </c>
      <c r="G1329" s="340" t="s">
        <v>3785</v>
      </c>
      <c r="J1329" s="635">
        <f t="shared" si="48"/>
        <v>0</v>
      </c>
    </row>
    <row r="1330" spans="6:10" hidden="1">
      <c r="F1330" s="308">
        <v>424</v>
      </c>
      <c r="G1330" s="340" t="s">
        <v>3787</v>
      </c>
      <c r="J1330" s="635">
        <f t="shared" si="48"/>
        <v>0</v>
      </c>
    </row>
    <row r="1331" spans="6:10" hidden="1">
      <c r="F1331" s="308">
        <v>425</v>
      </c>
      <c r="G1331" s="340" t="s">
        <v>4186</v>
      </c>
      <c r="J1331" s="635">
        <f t="shared" si="48"/>
        <v>0</v>
      </c>
    </row>
    <row r="1332" spans="6:10" hidden="1">
      <c r="F1332" s="308">
        <v>426</v>
      </c>
      <c r="G1332" s="340" t="s">
        <v>3791</v>
      </c>
      <c r="J1332" s="635">
        <f t="shared" si="48"/>
        <v>0</v>
      </c>
    </row>
    <row r="1333" spans="6:10" hidden="1">
      <c r="F1333" s="308">
        <v>431</v>
      </c>
      <c r="G1333" s="340" t="s">
        <v>4187</v>
      </c>
      <c r="J1333" s="635">
        <f t="shared" si="48"/>
        <v>0</v>
      </c>
    </row>
    <row r="1334" spans="6:10" hidden="1">
      <c r="F1334" s="308">
        <v>432</v>
      </c>
      <c r="G1334" s="340" t="s">
        <v>4188</v>
      </c>
      <c r="J1334" s="635">
        <f t="shared" si="48"/>
        <v>0</v>
      </c>
    </row>
    <row r="1335" spans="6:10" hidden="1">
      <c r="F1335" s="308">
        <v>433</v>
      </c>
      <c r="G1335" s="340" t="s">
        <v>4189</v>
      </c>
      <c r="J1335" s="635">
        <f t="shared" si="48"/>
        <v>0</v>
      </c>
    </row>
    <row r="1336" spans="6:10" hidden="1">
      <c r="F1336" s="308">
        <v>434</v>
      </c>
      <c r="G1336" s="340" t="s">
        <v>4190</v>
      </c>
      <c r="J1336" s="635">
        <f t="shared" si="48"/>
        <v>0</v>
      </c>
    </row>
    <row r="1337" spans="6:10" hidden="1">
      <c r="F1337" s="308">
        <v>435</v>
      </c>
      <c r="G1337" s="340" t="s">
        <v>3798</v>
      </c>
      <c r="J1337" s="635">
        <f t="shared" si="48"/>
        <v>0</v>
      </c>
    </row>
    <row r="1338" spans="6:10" hidden="1">
      <c r="F1338" s="308">
        <v>441</v>
      </c>
      <c r="G1338" s="340" t="s">
        <v>4191</v>
      </c>
      <c r="J1338" s="635">
        <f t="shared" si="48"/>
        <v>0</v>
      </c>
    </row>
    <row r="1339" spans="6:10" hidden="1">
      <c r="F1339" s="308">
        <v>442</v>
      </c>
      <c r="G1339" s="340" t="s">
        <v>4192</v>
      </c>
      <c r="J1339" s="635">
        <f t="shared" si="48"/>
        <v>0</v>
      </c>
    </row>
    <row r="1340" spans="6:10" hidden="1">
      <c r="F1340" s="308">
        <v>443</v>
      </c>
      <c r="G1340" s="340" t="s">
        <v>3803</v>
      </c>
      <c r="J1340" s="635">
        <f t="shared" si="48"/>
        <v>0</v>
      </c>
    </row>
    <row r="1341" spans="6:10" hidden="1">
      <c r="F1341" s="308">
        <v>444</v>
      </c>
      <c r="G1341" s="340" t="s">
        <v>3804</v>
      </c>
      <c r="J1341" s="635">
        <f t="shared" si="48"/>
        <v>0</v>
      </c>
    </row>
    <row r="1342" spans="6:10" ht="30.75" hidden="1" thickBot="1">
      <c r="F1342" s="308">
        <v>4511</v>
      </c>
      <c r="G1342" s="268" t="s">
        <v>1690</v>
      </c>
      <c r="J1342" s="635">
        <f t="shared" si="48"/>
        <v>0</v>
      </c>
    </row>
    <row r="1343" spans="6:10" ht="30.75" hidden="1" thickBot="1">
      <c r="F1343" s="308">
        <v>4512</v>
      </c>
      <c r="G1343" s="268" t="s">
        <v>1699</v>
      </c>
      <c r="J1343" s="635">
        <f t="shared" si="48"/>
        <v>0</v>
      </c>
    </row>
    <row r="1344" spans="6:10" ht="15.75" hidden="1" thickBot="1">
      <c r="F1344" s="308">
        <v>452</v>
      </c>
      <c r="G1344" s="340" t="s">
        <v>4193</v>
      </c>
      <c r="J1344" s="635">
        <f t="shared" si="48"/>
        <v>0</v>
      </c>
    </row>
    <row r="1345" spans="6:10" ht="15.75" hidden="1" thickBot="1">
      <c r="F1345" s="308">
        <v>453</v>
      </c>
      <c r="G1345" s="340" t="s">
        <v>4194</v>
      </c>
      <c r="J1345" s="635">
        <f t="shared" si="48"/>
        <v>0</v>
      </c>
    </row>
    <row r="1346" spans="6:10" ht="15.75" hidden="1" thickBot="1">
      <c r="F1346" s="308">
        <v>454</v>
      </c>
      <c r="G1346" s="340" t="s">
        <v>3809</v>
      </c>
      <c r="J1346" s="635">
        <f t="shared" si="48"/>
        <v>0</v>
      </c>
    </row>
    <row r="1347" spans="6:10" ht="15.75" hidden="1" thickBot="1">
      <c r="F1347" s="308">
        <v>461</v>
      </c>
      <c r="G1347" s="340" t="s">
        <v>4175</v>
      </c>
      <c r="J1347" s="635">
        <f t="shared" si="48"/>
        <v>0</v>
      </c>
    </row>
    <row r="1348" spans="6:10" ht="15.75" hidden="1" thickBot="1">
      <c r="F1348" s="308">
        <v>462</v>
      </c>
      <c r="G1348" s="340" t="s">
        <v>3812</v>
      </c>
      <c r="J1348" s="635">
        <f t="shared" si="48"/>
        <v>0</v>
      </c>
    </row>
    <row r="1349" spans="6:10" ht="15.75" hidden="1" thickBot="1">
      <c r="F1349" s="308">
        <v>4631</v>
      </c>
      <c r="G1349" s="340" t="s">
        <v>3813</v>
      </c>
      <c r="J1349" s="635">
        <f t="shared" si="48"/>
        <v>0</v>
      </c>
    </row>
    <row r="1350" spans="6:10" ht="15.75" hidden="1" thickBot="1">
      <c r="F1350" s="308">
        <v>4632</v>
      </c>
      <c r="G1350" s="340" t="s">
        <v>3814</v>
      </c>
      <c r="J1350" s="635">
        <f t="shared" si="48"/>
        <v>0</v>
      </c>
    </row>
    <row r="1351" spans="6:10" ht="15.75" hidden="1" thickBot="1">
      <c r="F1351" s="308">
        <v>464</v>
      </c>
      <c r="G1351" s="340" t="s">
        <v>3815</v>
      </c>
      <c r="J1351" s="635">
        <f t="shared" si="48"/>
        <v>0</v>
      </c>
    </row>
    <row r="1352" spans="6:10" ht="15.75" hidden="1" thickBot="1">
      <c r="F1352" s="308">
        <v>465</v>
      </c>
      <c r="G1352" s="340" t="s">
        <v>4176</v>
      </c>
      <c r="J1352" s="635">
        <f t="shared" si="48"/>
        <v>0</v>
      </c>
    </row>
    <row r="1353" spans="6:10" ht="15.75" hidden="1" thickBot="1">
      <c r="F1353" s="308">
        <v>472</v>
      </c>
      <c r="G1353" s="340" t="s">
        <v>3819</v>
      </c>
      <c r="J1353" s="635">
        <f t="shared" si="48"/>
        <v>0</v>
      </c>
    </row>
    <row r="1354" spans="6:10" ht="15.75" hidden="1" thickBot="1">
      <c r="F1354" s="308">
        <v>481</v>
      </c>
      <c r="G1354" s="340" t="s">
        <v>4195</v>
      </c>
      <c r="J1354" s="635">
        <f t="shared" si="48"/>
        <v>0</v>
      </c>
    </row>
    <row r="1355" spans="6:10" ht="15.75" hidden="1" thickBot="1">
      <c r="F1355" s="308">
        <v>482</v>
      </c>
      <c r="G1355" s="340" t="s">
        <v>4196</v>
      </c>
      <c r="J1355" s="635">
        <f t="shared" si="48"/>
        <v>0</v>
      </c>
    </row>
    <row r="1356" spans="6:10" ht="15.75" hidden="1" thickBot="1">
      <c r="F1356" s="308">
        <v>483</v>
      </c>
      <c r="G1356" s="343" t="s">
        <v>4197</v>
      </c>
      <c r="J1356" s="635">
        <f t="shared" si="48"/>
        <v>0</v>
      </c>
    </row>
    <row r="1357" spans="6:10" ht="30.75" hidden="1" thickBot="1">
      <c r="F1357" s="308">
        <v>484</v>
      </c>
      <c r="G1357" s="340" t="s">
        <v>4198</v>
      </c>
      <c r="J1357" s="635">
        <f t="shared" si="48"/>
        <v>0</v>
      </c>
    </row>
    <row r="1358" spans="6:10" ht="30.75" hidden="1" thickBot="1">
      <c r="F1358" s="308">
        <v>485</v>
      </c>
      <c r="G1358" s="340" t="s">
        <v>4199</v>
      </c>
      <c r="J1358" s="635">
        <f t="shared" si="48"/>
        <v>0</v>
      </c>
    </row>
    <row r="1359" spans="6:10" ht="30.75" hidden="1" thickBot="1">
      <c r="F1359" s="308">
        <v>489</v>
      </c>
      <c r="G1359" s="340" t="s">
        <v>3827</v>
      </c>
      <c r="J1359" s="635">
        <f t="shared" si="48"/>
        <v>0</v>
      </c>
    </row>
    <row r="1360" spans="6:10" ht="15.75" hidden="1" thickBot="1">
      <c r="F1360" s="308">
        <v>494</v>
      </c>
      <c r="G1360" s="340" t="s">
        <v>4177</v>
      </c>
      <c r="J1360" s="635">
        <f t="shared" si="48"/>
        <v>0</v>
      </c>
    </row>
    <row r="1361" spans="6:10" ht="30.75" hidden="1" thickBot="1">
      <c r="F1361" s="308">
        <v>495</v>
      </c>
      <c r="G1361" s="340" t="s">
        <v>4178</v>
      </c>
      <c r="J1361" s="635">
        <f t="shared" si="48"/>
        <v>0</v>
      </c>
    </row>
    <row r="1362" spans="6:10" ht="30.75" hidden="1" thickBot="1">
      <c r="F1362" s="308">
        <v>496</v>
      </c>
      <c r="G1362" s="340" t="s">
        <v>4179</v>
      </c>
      <c r="J1362" s="635">
        <f t="shared" si="48"/>
        <v>0</v>
      </c>
    </row>
    <row r="1363" spans="6:10" ht="15.75" hidden="1" thickBot="1">
      <c r="F1363" s="308">
        <v>499</v>
      </c>
      <c r="G1363" s="340" t="s">
        <v>4180</v>
      </c>
      <c r="J1363" s="635">
        <f t="shared" si="48"/>
        <v>0</v>
      </c>
    </row>
    <row r="1364" spans="6:10" ht="15.75" hidden="1" thickBot="1">
      <c r="F1364" s="308">
        <v>511</v>
      </c>
      <c r="G1364" s="343" t="s">
        <v>4200</v>
      </c>
      <c r="J1364" s="635">
        <f t="shared" si="48"/>
        <v>0</v>
      </c>
    </row>
    <row r="1365" spans="6:10" ht="15.75" hidden="1" thickBot="1">
      <c r="F1365" s="308">
        <v>512</v>
      </c>
      <c r="G1365" s="343" t="s">
        <v>4201</v>
      </c>
      <c r="J1365" s="635">
        <f t="shared" si="48"/>
        <v>0</v>
      </c>
    </row>
    <row r="1366" spans="6:10" ht="15.75" hidden="1" thickBot="1">
      <c r="F1366" s="308">
        <v>513</v>
      </c>
      <c r="G1366" s="343" t="s">
        <v>4202</v>
      </c>
      <c r="J1366" s="635">
        <f t="shared" si="48"/>
        <v>0</v>
      </c>
    </row>
    <row r="1367" spans="6:10" ht="15.75" hidden="1" thickBot="1">
      <c r="F1367" s="308">
        <v>514</v>
      </c>
      <c r="G1367" s="340" t="s">
        <v>4203</v>
      </c>
      <c r="J1367" s="635">
        <f t="shared" si="48"/>
        <v>0</v>
      </c>
    </row>
    <row r="1368" spans="6:10" ht="15.75" hidden="1" thickBot="1">
      <c r="F1368" s="308">
        <v>515</v>
      </c>
      <c r="G1368" s="340" t="s">
        <v>3838</v>
      </c>
      <c r="J1368" s="635">
        <f t="shared" si="48"/>
        <v>0</v>
      </c>
    </row>
    <row r="1369" spans="6:10" ht="15.75" hidden="1" thickBot="1">
      <c r="F1369" s="308">
        <v>521</v>
      </c>
      <c r="G1369" s="340" t="s">
        <v>4204</v>
      </c>
      <c r="J1369" s="635">
        <f t="shared" si="48"/>
        <v>0</v>
      </c>
    </row>
    <row r="1370" spans="6:10" ht="15.75" hidden="1" thickBot="1">
      <c r="F1370" s="308">
        <v>522</v>
      </c>
      <c r="G1370" s="340" t="s">
        <v>4205</v>
      </c>
      <c r="J1370" s="635">
        <f t="shared" si="48"/>
        <v>0</v>
      </c>
    </row>
    <row r="1371" spans="6:10" ht="15.75" hidden="1" thickBot="1">
      <c r="F1371" s="308">
        <v>523</v>
      </c>
      <c r="G1371" s="340" t="s">
        <v>3843</v>
      </c>
      <c r="J1371" s="635">
        <f t="shared" si="48"/>
        <v>0</v>
      </c>
    </row>
    <row r="1372" spans="6:10" ht="15.75" hidden="1" thickBot="1">
      <c r="F1372" s="308">
        <v>531</v>
      </c>
      <c r="G1372" s="337" t="s">
        <v>4181</v>
      </c>
      <c r="J1372" s="635">
        <f t="shared" si="48"/>
        <v>0</v>
      </c>
    </row>
    <row r="1373" spans="6:10" ht="15.75" hidden="1" thickBot="1">
      <c r="F1373" s="308">
        <v>541</v>
      </c>
      <c r="G1373" s="340" t="s">
        <v>4206</v>
      </c>
      <c r="J1373" s="635">
        <f t="shared" si="48"/>
        <v>0</v>
      </c>
    </row>
    <row r="1374" spans="6:10" ht="15.75" hidden="1" thickBot="1">
      <c r="F1374" s="308">
        <v>542</v>
      </c>
      <c r="G1374" s="340" t="s">
        <v>4207</v>
      </c>
      <c r="J1374" s="635">
        <f t="shared" si="48"/>
        <v>0</v>
      </c>
    </row>
    <row r="1375" spans="6:10" ht="15.75" hidden="1" thickBot="1">
      <c r="F1375" s="308">
        <v>543</v>
      </c>
      <c r="G1375" s="340" t="s">
        <v>3848</v>
      </c>
      <c r="J1375" s="635">
        <f t="shared" si="48"/>
        <v>0</v>
      </c>
    </row>
    <row r="1376" spans="6:10" ht="30.75" hidden="1" thickBot="1">
      <c r="F1376" s="308">
        <v>551</v>
      </c>
      <c r="G1376" s="340" t="s">
        <v>4182</v>
      </c>
      <c r="J1376" s="635">
        <f t="shared" si="48"/>
        <v>0</v>
      </c>
    </row>
    <row r="1377" spans="5:10" ht="15.75" hidden="1" thickBot="1">
      <c r="F1377" s="309">
        <v>611</v>
      </c>
      <c r="G1377" s="344" t="s">
        <v>3854</v>
      </c>
      <c r="J1377" s="635">
        <f t="shared" si="48"/>
        <v>0</v>
      </c>
    </row>
    <row r="1378" spans="5:10" ht="15.75" hidden="1" thickBot="1">
      <c r="F1378" s="309">
        <v>620</v>
      </c>
      <c r="G1378" s="344" t="s">
        <v>88</v>
      </c>
      <c r="J1378" s="635">
        <f t="shared" si="48"/>
        <v>0</v>
      </c>
    </row>
    <row r="1379" spans="5:10" hidden="1">
      <c r="E1379" s="338"/>
      <c r="F1379" s="346"/>
      <c r="G1379" s="372" t="s">
        <v>4354</v>
      </c>
      <c r="H1379" s="636"/>
      <c r="I1379" s="662"/>
      <c r="J1379" s="637"/>
    </row>
    <row r="1380" spans="5:10" ht="15.75" hidden="1" thickBot="1">
      <c r="E1380" s="267"/>
      <c r="F1380" s="294" t="s">
        <v>234</v>
      </c>
      <c r="G1380" s="297" t="s">
        <v>235</v>
      </c>
      <c r="H1380" s="638">
        <f>SUM(H1319:H1378)</f>
        <v>0</v>
      </c>
      <c r="I1380" s="639"/>
      <c r="J1380" s="639">
        <f t="shared" ref="J1380:J1395" si="49">SUM(H1380:I1380)</f>
        <v>0</v>
      </c>
    </row>
    <row r="1381" spans="5:10" ht="15.75" hidden="1" thickBot="1">
      <c r="F1381" s="294" t="s">
        <v>236</v>
      </c>
      <c r="G1381" s="297" t="s">
        <v>237</v>
      </c>
      <c r="J1381" s="639">
        <f t="shared" si="49"/>
        <v>0</v>
      </c>
    </row>
    <row r="1382" spans="5:10" ht="15.75" hidden="1" thickBot="1">
      <c r="F1382" s="294" t="s">
        <v>238</v>
      </c>
      <c r="G1382" s="297" t="s">
        <v>239</v>
      </c>
      <c r="J1382" s="639">
        <f t="shared" si="49"/>
        <v>0</v>
      </c>
    </row>
    <row r="1383" spans="5:10" ht="15.75" hidden="1" thickBot="1">
      <c r="F1383" s="294" t="s">
        <v>240</v>
      </c>
      <c r="G1383" s="297" t="s">
        <v>241</v>
      </c>
      <c r="J1383" s="639">
        <f t="shared" si="49"/>
        <v>0</v>
      </c>
    </row>
    <row r="1384" spans="5:10" ht="15.75" hidden="1" thickBot="1">
      <c r="F1384" s="294" t="s">
        <v>242</v>
      </c>
      <c r="G1384" s="297" t="s">
        <v>243</v>
      </c>
      <c r="J1384" s="639">
        <f t="shared" si="49"/>
        <v>0</v>
      </c>
    </row>
    <row r="1385" spans="5:10" ht="15.75" hidden="1" thickBot="1">
      <c r="F1385" s="294" t="s">
        <v>244</v>
      </c>
      <c r="G1385" s="297" t="s">
        <v>245</v>
      </c>
      <c r="J1385" s="639">
        <f t="shared" si="49"/>
        <v>0</v>
      </c>
    </row>
    <row r="1386" spans="5:10" ht="15.75" hidden="1" thickBot="1">
      <c r="F1386" s="294" t="s">
        <v>246</v>
      </c>
      <c r="G1386" s="683" t="s">
        <v>5121</v>
      </c>
      <c r="J1386" s="639">
        <f t="shared" si="49"/>
        <v>0</v>
      </c>
    </row>
    <row r="1387" spans="5:10" ht="15.75" hidden="1" thickBot="1">
      <c r="F1387" s="294" t="s">
        <v>247</v>
      </c>
      <c r="G1387" s="683" t="s">
        <v>5120</v>
      </c>
      <c r="J1387" s="639">
        <f t="shared" si="49"/>
        <v>0</v>
      </c>
    </row>
    <row r="1388" spans="5:10" ht="15.75" hidden="1" thickBot="1">
      <c r="F1388" s="294" t="s">
        <v>248</v>
      </c>
      <c r="G1388" s="297" t="s">
        <v>57</v>
      </c>
      <c r="J1388" s="639">
        <f t="shared" si="49"/>
        <v>0</v>
      </c>
    </row>
    <row r="1389" spans="5:10" ht="15.75" hidden="1" thickBot="1">
      <c r="F1389" s="294" t="s">
        <v>249</v>
      </c>
      <c r="G1389" s="297" t="s">
        <v>250</v>
      </c>
      <c r="J1389" s="639">
        <f t="shared" si="49"/>
        <v>0</v>
      </c>
    </row>
    <row r="1390" spans="5:10" ht="15.75" hidden="1" thickBot="1">
      <c r="F1390" s="294" t="s">
        <v>251</v>
      </c>
      <c r="G1390" s="297" t="s">
        <v>252</v>
      </c>
      <c r="J1390" s="639">
        <f t="shared" si="49"/>
        <v>0</v>
      </c>
    </row>
    <row r="1391" spans="5:10" ht="15.75" hidden="1" thickBot="1">
      <c r="F1391" s="294" t="s">
        <v>253</v>
      </c>
      <c r="G1391" s="297" t="s">
        <v>254</v>
      </c>
      <c r="J1391" s="639">
        <f t="shared" si="49"/>
        <v>0</v>
      </c>
    </row>
    <row r="1392" spans="5:10" ht="15.75" hidden="1" thickBot="1">
      <c r="F1392" s="294" t="s">
        <v>255</v>
      </c>
      <c r="G1392" s="297" t="s">
        <v>256</v>
      </c>
      <c r="J1392" s="639">
        <f t="shared" si="49"/>
        <v>0</v>
      </c>
    </row>
    <row r="1393" spans="5:10" ht="15.75" hidden="1" thickBot="1">
      <c r="F1393" s="294" t="s">
        <v>257</v>
      </c>
      <c r="G1393" s="297" t="s">
        <v>258</v>
      </c>
      <c r="J1393" s="639">
        <f t="shared" si="49"/>
        <v>0</v>
      </c>
    </row>
    <row r="1394" spans="5:10" ht="15.75" hidden="1" thickBot="1">
      <c r="F1394" s="294" t="s">
        <v>259</v>
      </c>
      <c r="G1394" s="297" t="s">
        <v>260</v>
      </c>
      <c r="J1394" s="639">
        <f t="shared" si="49"/>
        <v>0</v>
      </c>
    </row>
    <row r="1395" spans="5:10" ht="15.75" hidden="1" thickBot="1">
      <c r="F1395" s="294" t="s">
        <v>261</v>
      </c>
      <c r="G1395" s="297" t="s">
        <v>262</v>
      </c>
      <c r="H1395" s="638"/>
      <c r="I1395" s="639"/>
      <c r="J1395" s="639">
        <f t="shared" si="49"/>
        <v>0</v>
      </c>
    </row>
    <row r="1396" spans="5:10" ht="15.75" hidden="1" thickBot="1">
      <c r="G1396" s="274" t="s">
        <v>4355</v>
      </c>
      <c r="H1396" s="640">
        <f>SUM(H1380:H1395)</f>
        <v>0</v>
      </c>
      <c r="I1396" s="641">
        <f>SUM(I1381:I1395)</f>
        <v>0</v>
      </c>
      <c r="J1396" s="641">
        <f>SUM(J1380:J1395)</f>
        <v>0</v>
      </c>
    </row>
    <row r="1397" spans="5:10" hidden="1" collapsed="1">
      <c r="E1397" s="305"/>
      <c r="F1397" s="309"/>
      <c r="G1397" s="276" t="s">
        <v>4359</v>
      </c>
      <c r="H1397" s="642"/>
      <c r="I1397" s="663"/>
      <c r="J1397" s="643"/>
    </row>
    <row r="1398" spans="5:10" ht="15.75" hidden="1" thickBot="1">
      <c r="E1398" s="267"/>
      <c r="F1398" s="294" t="s">
        <v>234</v>
      </c>
      <c r="G1398" s="297" t="s">
        <v>235</v>
      </c>
      <c r="H1398" s="638">
        <f>SUM(H1319:H1378)</f>
        <v>0</v>
      </c>
      <c r="I1398" s="639"/>
      <c r="J1398" s="639">
        <f>SUM(H1398:I1398)</f>
        <v>0</v>
      </c>
    </row>
    <row r="1399" spans="5:10" ht="15.75" hidden="1" thickBot="1">
      <c r="F1399" s="294" t="s">
        <v>236</v>
      </c>
      <c r="G1399" s="297" t="s">
        <v>237</v>
      </c>
      <c r="J1399" s="639">
        <f t="shared" ref="J1399:J1413" si="50">SUM(H1399:I1399)</f>
        <v>0</v>
      </c>
    </row>
    <row r="1400" spans="5:10" ht="15.75" hidden="1" thickBot="1">
      <c r="F1400" s="294" t="s">
        <v>238</v>
      </c>
      <c r="G1400" s="297" t="s">
        <v>239</v>
      </c>
      <c r="J1400" s="639">
        <f t="shared" si="50"/>
        <v>0</v>
      </c>
    </row>
    <row r="1401" spans="5:10" ht="15.75" hidden="1" thickBot="1">
      <c r="F1401" s="294" t="s">
        <v>240</v>
      </c>
      <c r="G1401" s="297" t="s">
        <v>241</v>
      </c>
      <c r="J1401" s="639">
        <f t="shared" si="50"/>
        <v>0</v>
      </c>
    </row>
    <row r="1402" spans="5:10" ht="15.75" hidden="1" thickBot="1">
      <c r="F1402" s="294" t="s">
        <v>242</v>
      </c>
      <c r="G1402" s="297" t="s">
        <v>243</v>
      </c>
      <c r="J1402" s="639">
        <f t="shared" si="50"/>
        <v>0</v>
      </c>
    </row>
    <row r="1403" spans="5:10" ht="15.75" hidden="1" thickBot="1">
      <c r="F1403" s="294" t="s">
        <v>244</v>
      </c>
      <c r="G1403" s="297" t="s">
        <v>245</v>
      </c>
      <c r="J1403" s="639">
        <f t="shared" si="50"/>
        <v>0</v>
      </c>
    </row>
    <row r="1404" spans="5:10" ht="15.75" hidden="1" thickBot="1">
      <c r="F1404" s="294" t="s">
        <v>246</v>
      </c>
      <c r="G1404" s="683" t="s">
        <v>5121</v>
      </c>
      <c r="J1404" s="639">
        <f t="shared" si="50"/>
        <v>0</v>
      </c>
    </row>
    <row r="1405" spans="5:10" ht="15.75" hidden="1" thickBot="1">
      <c r="F1405" s="294" t="s">
        <v>247</v>
      </c>
      <c r="G1405" s="683" t="s">
        <v>5120</v>
      </c>
      <c r="J1405" s="639">
        <f t="shared" si="50"/>
        <v>0</v>
      </c>
    </row>
    <row r="1406" spans="5:10" ht="15.75" hidden="1" thickBot="1">
      <c r="F1406" s="294" t="s">
        <v>248</v>
      </c>
      <c r="G1406" s="297" t="s">
        <v>57</v>
      </c>
      <c r="J1406" s="639">
        <f t="shared" si="50"/>
        <v>0</v>
      </c>
    </row>
    <row r="1407" spans="5:10" ht="15.75" hidden="1" thickBot="1">
      <c r="F1407" s="294" t="s">
        <v>249</v>
      </c>
      <c r="G1407" s="297" t="s">
        <v>250</v>
      </c>
      <c r="J1407" s="639">
        <f t="shared" si="50"/>
        <v>0</v>
      </c>
    </row>
    <row r="1408" spans="5:10" ht="15.75" hidden="1" thickBot="1">
      <c r="F1408" s="294" t="s">
        <v>251</v>
      </c>
      <c r="G1408" s="297" t="s">
        <v>252</v>
      </c>
      <c r="J1408" s="639">
        <f t="shared" si="50"/>
        <v>0</v>
      </c>
    </row>
    <row r="1409" spans="1:25" ht="15.75" hidden="1" thickBot="1">
      <c r="F1409" s="294" t="s">
        <v>253</v>
      </c>
      <c r="G1409" s="297" t="s">
        <v>254</v>
      </c>
      <c r="J1409" s="639">
        <f t="shared" si="50"/>
        <v>0</v>
      </c>
    </row>
    <row r="1410" spans="1:25" ht="15.75" hidden="1" thickBot="1">
      <c r="F1410" s="294" t="s">
        <v>255</v>
      </c>
      <c r="G1410" s="297" t="s">
        <v>256</v>
      </c>
      <c r="J1410" s="639">
        <f t="shared" si="50"/>
        <v>0</v>
      </c>
    </row>
    <row r="1411" spans="1:25" ht="15.75" hidden="1" thickBot="1">
      <c r="F1411" s="294" t="s">
        <v>257</v>
      </c>
      <c r="G1411" s="297" t="s">
        <v>258</v>
      </c>
      <c r="J1411" s="639">
        <f t="shared" si="50"/>
        <v>0</v>
      </c>
    </row>
    <row r="1412" spans="1:25" ht="15.75" hidden="1" thickBot="1">
      <c r="F1412" s="294" t="s">
        <v>259</v>
      </c>
      <c r="G1412" s="297" t="s">
        <v>260</v>
      </c>
      <c r="J1412" s="639">
        <f t="shared" si="50"/>
        <v>0</v>
      </c>
    </row>
    <row r="1413" spans="1:25" ht="15.75" hidden="1" thickBot="1">
      <c r="F1413" s="294" t="s">
        <v>261</v>
      </c>
      <c r="G1413" s="297" t="s">
        <v>262</v>
      </c>
      <c r="H1413" s="638"/>
      <c r="I1413" s="639"/>
      <c r="J1413" s="639">
        <f t="shared" si="50"/>
        <v>0</v>
      </c>
    </row>
    <row r="1414" spans="1:25" ht="15.75" hidden="1" collapsed="1" thickBot="1">
      <c r="G1414" s="274" t="s">
        <v>4270</v>
      </c>
      <c r="H1414" s="640">
        <f>SUM(H1398:H1413)</f>
        <v>0</v>
      </c>
      <c r="I1414" s="641">
        <f>SUM(I1399:I1413)</f>
        <v>0</v>
      </c>
      <c r="J1414" s="641">
        <f>SUM(J1398:J1413)</f>
        <v>0</v>
      </c>
    </row>
    <row r="1415" spans="1:25" s="88" customFormat="1" hidden="1">
      <c r="A1415" s="306"/>
      <c r="B1415" s="301"/>
      <c r="C1415" s="361"/>
      <c r="D1415" s="296"/>
      <c r="E1415" s="296"/>
      <c r="F1415" s="302"/>
      <c r="G1415" s="339"/>
      <c r="H1415" s="667"/>
      <c r="I1415" s="650"/>
      <c r="J1415" s="668"/>
      <c r="K1415" s="575"/>
      <c r="L1415" s="575"/>
      <c r="M1415" s="575"/>
      <c r="N1415" s="313"/>
      <c r="O1415" s="575"/>
      <c r="P1415" s="575"/>
      <c r="Q1415" s="575"/>
      <c r="R1415" s="575"/>
      <c r="S1415" s="575"/>
      <c r="T1415" s="575"/>
      <c r="U1415" s="575"/>
      <c r="V1415" s="575"/>
      <c r="W1415" s="575"/>
      <c r="X1415" s="575"/>
      <c r="Y1415" s="575"/>
    </row>
    <row r="1416" spans="1:25" ht="28.5" hidden="1">
      <c r="C1416" s="273" t="s">
        <v>4093</v>
      </c>
      <c r="D1416" s="264"/>
      <c r="G1416" s="307" t="s">
        <v>5078</v>
      </c>
    </row>
    <row r="1417" spans="1:25" hidden="1">
      <c r="C1417" s="273"/>
      <c r="D1417" s="373">
        <v>411</v>
      </c>
      <c r="E1417" s="374"/>
      <c r="F1417" s="374"/>
      <c r="G1417" s="375" t="s">
        <v>135</v>
      </c>
    </row>
    <row r="1418" spans="1:25" hidden="1">
      <c r="F1418" s="308">
        <v>411</v>
      </c>
      <c r="G1418" s="340" t="s">
        <v>4173</v>
      </c>
      <c r="J1418" s="635">
        <f>SUM(H1418:I1418)</f>
        <v>0</v>
      </c>
      <c r="L1418" s="578"/>
      <c r="M1418" s="578"/>
      <c r="N1418" s="318"/>
    </row>
    <row r="1419" spans="1:25" hidden="1">
      <c r="F1419" s="308">
        <v>412</v>
      </c>
      <c r="G1419" s="337" t="s">
        <v>3770</v>
      </c>
      <c r="J1419" s="635">
        <f t="shared" ref="J1419:J1477" si="51">SUM(H1419:I1419)</f>
        <v>0</v>
      </c>
    </row>
    <row r="1420" spans="1:25" hidden="1">
      <c r="F1420" s="308">
        <v>413</v>
      </c>
      <c r="G1420" s="340" t="s">
        <v>4174</v>
      </c>
      <c r="J1420" s="635">
        <f t="shared" si="51"/>
        <v>0</v>
      </c>
    </row>
    <row r="1421" spans="1:25" hidden="1">
      <c r="F1421" s="308">
        <v>414</v>
      </c>
      <c r="G1421" s="340" t="s">
        <v>3773</v>
      </c>
      <c r="J1421" s="635">
        <f t="shared" si="51"/>
        <v>0</v>
      </c>
    </row>
    <row r="1422" spans="1:25" hidden="1">
      <c r="F1422" s="308">
        <v>415</v>
      </c>
      <c r="G1422" s="340" t="s">
        <v>4183</v>
      </c>
      <c r="J1422" s="635">
        <f t="shared" si="51"/>
        <v>0</v>
      </c>
    </row>
    <row r="1423" spans="1:25" hidden="1">
      <c r="F1423" s="308">
        <v>416</v>
      </c>
      <c r="G1423" s="340" t="s">
        <v>4184</v>
      </c>
      <c r="J1423" s="635">
        <f t="shared" si="51"/>
        <v>0</v>
      </c>
    </row>
    <row r="1424" spans="1:25" hidden="1">
      <c r="F1424" s="308">
        <v>417</v>
      </c>
      <c r="G1424" s="340" t="s">
        <v>4185</v>
      </c>
      <c r="J1424" s="635">
        <f t="shared" si="51"/>
        <v>0</v>
      </c>
    </row>
    <row r="1425" spans="6:10" hidden="1">
      <c r="F1425" s="308">
        <v>418</v>
      </c>
      <c r="G1425" s="340" t="s">
        <v>3779</v>
      </c>
      <c r="J1425" s="635">
        <f t="shared" si="51"/>
        <v>0</v>
      </c>
    </row>
    <row r="1426" spans="6:10" hidden="1">
      <c r="F1426" s="308">
        <v>421</v>
      </c>
      <c r="G1426" s="340" t="s">
        <v>3783</v>
      </c>
      <c r="J1426" s="635">
        <f t="shared" si="51"/>
        <v>0</v>
      </c>
    </row>
    <row r="1427" spans="6:10" hidden="1">
      <c r="F1427" s="308">
        <v>422</v>
      </c>
      <c r="G1427" s="340" t="s">
        <v>3784</v>
      </c>
      <c r="J1427" s="635">
        <f t="shared" si="51"/>
        <v>0</v>
      </c>
    </row>
    <row r="1428" spans="6:10" hidden="1">
      <c r="F1428" s="308">
        <v>423</v>
      </c>
      <c r="G1428" s="340" t="s">
        <v>3785</v>
      </c>
      <c r="J1428" s="635">
        <f t="shared" si="51"/>
        <v>0</v>
      </c>
    </row>
    <row r="1429" spans="6:10" hidden="1">
      <c r="F1429" s="308">
        <v>424</v>
      </c>
      <c r="G1429" s="340" t="s">
        <v>3787</v>
      </c>
      <c r="J1429" s="635">
        <f t="shared" si="51"/>
        <v>0</v>
      </c>
    </row>
    <row r="1430" spans="6:10" hidden="1">
      <c r="F1430" s="308">
        <v>425</v>
      </c>
      <c r="G1430" s="340" t="s">
        <v>4186</v>
      </c>
      <c r="J1430" s="635">
        <f t="shared" si="51"/>
        <v>0</v>
      </c>
    </row>
    <row r="1431" spans="6:10" hidden="1">
      <c r="F1431" s="308">
        <v>426</v>
      </c>
      <c r="G1431" s="340" t="s">
        <v>3791</v>
      </c>
      <c r="J1431" s="635">
        <f t="shared" si="51"/>
        <v>0</v>
      </c>
    </row>
    <row r="1432" spans="6:10" hidden="1">
      <c r="F1432" s="308">
        <v>431</v>
      </c>
      <c r="G1432" s="340" t="s">
        <v>4187</v>
      </c>
      <c r="J1432" s="635">
        <f t="shared" si="51"/>
        <v>0</v>
      </c>
    </row>
    <row r="1433" spans="6:10" hidden="1">
      <c r="F1433" s="308">
        <v>432</v>
      </c>
      <c r="G1433" s="340" t="s">
        <v>4188</v>
      </c>
      <c r="J1433" s="635">
        <f t="shared" si="51"/>
        <v>0</v>
      </c>
    </row>
    <row r="1434" spans="6:10" hidden="1">
      <c r="F1434" s="308">
        <v>433</v>
      </c>
      <c r="G1434" s="340" t="s">
        <v>4189</v>
      </c>
      <c r="J1434" s="635">
        <f t="shared" si="51"/>
        <v>0</v>
      </c>
    </row>
    <row r="1435" spans="6:10" hidden="1">
      <c r="F1435" s="308">
        <v>434</v>
      </c>
      <c r="G1435" s="340" t="s">
        <v>4190</v>
      </c>
      <c r="J1435" s="635">
        <f t="shared" si="51"/>
        <v>0</v>
      </c>
    </row>
    <row r="1436" spans="6:10" hidden="1">
      <c r="F1436" s="308">
        <v>435</v>
      </c>
      <c r="G1436" s="340" t="s">
        <v>3798</v>
      </c>
      <c r="J1436" s="635">
        <f t="shared" si="51"/>
        <v>0</v>
      </c>
    </row>
    <row r="1437" spans="6:10" ht="15.75" hidden="1" thickBot="1">
      <c r="F1437" s="308">
        <v>441</v>
      </c>
      <c r="G1437" s="340" t="s">
        <v>4191</v>
      </c>
      <c r="J1437" s="635">
        <f t="shared" si="51"/>
        <v>0</v>
      </c>
    </row>
    <row r="1438" spans="6:10" ht="15.75" hidden="1" thickBot="1">
      <c r="F1438" s="308">
        <v>442</v>
      </c>
      <c r="G1438" s="340" t="s">
        <v>4192</v>
      </c>
      <c r="J1438" s="635">
        <f t="shared" si="51"/>
        <v>0</v>
      </c>
    </row>
    <row r="1439" spans="6:10" ht="15.75" hidden="1" thickBot="1">
      <c r="F1439" s="308">
        <v>443</v>
      </c>
      <c r="G1439" s="340" t="s">
        <v>3803</v>
      </c>
      <c r="J1439" s="635">
        <f t="shared" si="51"/>
        <v>0</v>
      </c>
    </row>
    <row r="1440" spans="6:10" ht="15.75" hidden="1" thickBot="1">
      <c r="F1440" s="308">
        <v>444</v>
      </c>
      <c r="G1440" s="340" t="s">
        <v>3804</v>
      </c>
      <c r="J1440" s="635">
        <f t="shared" si="51"/>
        <v>0</v>
      </c>
    </row>
    <row r="1441" spans="6:10" ht="30.75" hidden="1" thickBot="1">
      <c r="F1441" s="308">
        <v>4511</v>
      </c>
      <c r="G1441" s="268" t="s">
        <v>1690</v>
      </c>
      <c r="J1441" s="635">
        <f t="shared" si="51"/>
        <v>0</v>
      </c>
    </row>
    <row r="1442" spans="6:10" ht="30.75" hidden="1" thickBot="1">
      <c r="F1442" s="308">
        <v>4512</v>
      </c>
      <c r="G1442" s="268" t="s">
        <v>1699</v>
      </c>
      <c r="J1442" s="635">
        <f t="shared" si="51"/>
        <v>0</v>
      </c>
    </row>
    <row r="1443" spans="6:10" ht="15.75" hidden="1" thickBot="1">
      <c r="F1443" s="308">
        <v>452</v>
      </c>
      <c r="G1443" s="340" t="s">
        <v>4193</v>
      </c>
      <c r="J1443" s="635">
        <f t="shared" si="51"/>
        <v>0</v>
      </c>
    </row>
    <row r="1444" spans="6:10" ht="15.75" hidden="1" thickBot="1">
      <c r="F1444" s="308">
        <v>453</v>
      </c>
      <c r="G1444" s="340" t="s">
        <v>4194</v>
      </c>
      <c r="J1444" s="635">
        <f t="shared" si="51"/>
        <v>0</v>
      </c>
    </row>
    <row r="1445" spans="6:10" ht="15.75" hidden="1" thickBot="1">
      <c r="F1445" s="308">
        <v>454</v>
      </c>
      <c r="G1445" s="340" t="s">
        <v>3809</v>
      </c>
      <c r="J1445" s="635">
        <f t="shared" si="51"/>
        <v>0</v>
      </c>
    </row>
    <row r="1446" spans="6:10" ht="15.75" hidden="1" thickBot="1">
      <c r="F1446" s="308">
        <v>461</v>
      </c>
      <c r="G1446" s="340" t="s">
        <v>4175</v>
      </c>
      <c r="J1446" s="635">
        <f t="shared" si="51"/>
        <v>0</v>
      </c>
    </row>
    <row r="1447" spans="6:10" ht="15.75" hidden="1" thickBot="1">
      <c r="F1447" s="308">
        <v>462</v>
      </c>
      <c r="G1447" s="340" t="s">
        <v>3812</v>
      </c>
      <c r="J1447" s="635">
        <f t="shared" si="51"/>
        <v>0</v>
      </c>
    </row>
    <row r="1448" spans="6:10" ht="15.75" hidden="1" thickBot="1">
      <c r="F1448" s="308">
        <v>4631</v>
      </c>
      <c r="G1448" s="340" t="s">
        <v>3813</v>
      </c>
      <c r="J1448" s="635">
        <f t="shared" si="51"/>
        <v>0</v>
      </c>
    </row>
    <row r="1449" spans="6:10" ht="15.75" hidden="1" thickBot="1">
      <c r="F1449" s="308">
        <v>4632</v>
      </c>
      <c r="G1449" s="340" t="s">
        <v>3814</v>
      </c>
      <c r="J1449" s="635">
        <f t="shared" si="51"/>
        <v>0</v>
      </c>
    </row>
    <row r="1450" spans="6:10" ht="15.75" hidden="1" thickBot="1">
      <c r="F1450" s="308">
        <v>464</v>
      </c>
      <c r="G1450" s="340" t="s">
        <v>3815</v>
      </c>
      <c r="J1450" s="635">
        <f t="shared" si="51"/>
        <v>0</v>
      </c>
    </row>
    <row r="1451" spans="6:10" ht="15.75" hidden="1" thickBot="1">
      <c r="F1451" s="308">
        <v>465</v>
      </c>
      <c r="G1451" s="340" t="s">
        <v>4176</v>
      </c>
      <c r="J1451" s="635">
        <f t="shared" si="51"/>
        <v>0</v>
      </c>
    </row>
    <row r="1452" spans="6:10" ht="15.75" hidden="1" thickBot="1">
      <c r="F1452" s="308">
        <v>472</v>
      </c>
      <c r="G1452" s="340" t="s">
        <v>3819</v>
      </c>
      <c r="J1452" s="635">
        <f t="shared" si="51"/>
        <v>0</v>
      </c>
    </row>
    <row r="1453" spans="6:10" ht="15.75" hidden="1" thickBot="1">
      <c r="F1453" s="308">
        <v>481</v>
      </c>
      <c r="G1453" s="340" t="s">
        <v>4195</v>
      </c>
      <c r="J1453" s="635">
        <f t="shared" si="51"/>
        <v>0</v>
      </c>
    </row>
    <row r="1454" spans="6:10" ht="15.75" hidden="1" thickBot="1">
      <c r="F1454" s="308">
        <v>482</v>
      </c>
      <c r="G1454" s="340" t="s">
        <v>4196</v>
      </c>
      <c r="J1454" s="635">
        <f t="shared" si="51"/>
        <v>0</v>
      </c>
    </row>
    <row r="1455" spans="6:10" ht="15.75" hidden="1" thickBot="1">
      <c r="F1455" s="308">
        <v>483</v>
      </c>
      <c r="G1455" s="343" t="s">
        <v>4197</v>
      </c>
      <c r="J1455" s="635">
        <f t="shared" si="51"/>
        <v>0</v>
      </c>
    </row>
    <row r="1456" spans="6:10" ht="30.75" hidden="1" thickBot="1">
      <c r="F1456" s="308">
        <v>484</v>
      </c>
      <c r="G1456" s="340" t="s">
        <v>4198</v>
      </c>
      <c r="J1456" s="635">
        <f t="shared" si="51"/>
        <v>0</v>
      </c>
    </row>
    <row r="1457" spans="6:10" ht="30.75" hidden="1" thickBot="1">
      <c r="F1457" s="308">
        <v>485</v>
      </c>
      <c r="G1457" s="340" t="s">
        <v>4199</v>
      </c>
      <c r="J1457" s="635">
        <f t="shared" si="51"/>
        <v>0</v>
      </c>
    </row>
    <row r="1458" spans="6:10" ht="30.75" hidden="1" thickBot="1">
      <c r="F1458" s="308">
        <v>489</v>
      </c>
      <c r="G1458" s="340" t="s">
        <v>3827</v>
      </c>
      <c r="J1458" s="635">
        <f t="shared" si="51"/>
        <v>0</v>
      </c>
    </row>
    <row r="1459" spans="6:10" ht="15.75" hidden="1" thickBot="1">
      <c r="F1459" s="308">
        <v>494</v>
      </c>
      <c r="G1459" s="340" t="s">
        <v>4177</v>
      </c>
      <c r="J1459" s="635">
        <f t="shared" si="51"/>
        <v>0</v>
      </c>
    </row>
    <row r="1460" spans="6:10" ht="30.75" hidden="1" thickBot="1">
      <c r="F1460" s="308">
        <v>495</v>
      </c>
      <c r="G1460" s="340" t="s">
        <v>4178</v>
      </c>
      <c r="J1460" s="635">
        <f t="shared" si="51"/>
        <v>0</v>
      </c>
    </row>
    <row r="1461" spans="6:10" ht="30.75" hidden="1" thickBot="1">
      <c r="F1461" s="308">
        <v>496</v>
      </c>
      <c r="G1461" s="340" t="s">
        <v>4179</v>
      </c>
      <c r="J1461" s="635">
        <f t="shared" si="51"/>
        <v>0</v>
      </c>
    </row>
    <row r="1462" spans="6:10" ht="15.75" hidden="1" thickBot="1">
      <c r="F1462" s="308">
        <v>499</v>
      </c>
      <c r="G1462" s="340" t="s">
        <v>4180</v>
      </c>
      <c r="J1462" s="635">
        <f t="shared" si="51"/>
        <v>0</v>
      </c>
    </row>
    <row r="1463" spans="6:10" ht="15.75" hidden="1" thickBot="1">
      <c r="F1463" s="308">
        <v>511</v>
      </c>
      <c r="G1463" s="343" t="s">
        <v>4200</v>
      </c>
      <c r="J1463" s="635">
        <f t="shared" si="51"/>
        <v>0</v>
      </c>
    </row>
    <row r="1464" spans="6:10" ht="15.75" hidden="1" thickBot="1">
      <c r="F1464" s="308">
        <v>512</v>
      </c>
      <c r="G1464" s="343" t="s">
        <v>4201</v>
      </c>
      <c r="J1464" s="635">
        <f t="shared" si="51"/>
        <v>0</v>
      </c>
    </row>
    <row r="1465" spans="6:10" ht="15.75" hidden="1" thickBot="1">
      <c r="F1465" s="308">
        <v>513</v>
      </c>
      <c r="G1465" s="343" t="s">
        <v>4202</v>
      </c>
      <c r="J1465" s="635">
        <f t="shared" si="51"/>
        <v>0</v>
      </c>
    </row>
    <row r="1466" spans="6:10" ht="15.75" hidden="1" thickBot="1">
      <c r="F1466" s="308">
        <v>514</v>
      </c>
      <c r="G1466" s="340" t="s">
        <v>4203</v>
      </c>
      <c r="J1466" s="635">
        <f t="shared" si="51"/>
        <v>0</v>
      </c>
    </row>
    <row r="1467" spans="6:10" ht="15.75" hidden="1" thickBot="1">
      <c r="F1467" s="308">
        <v>515</v>
      </c>
      <c r="G1467" s="340" t="s">
        <v>3838</v>
      </c>
      <c r="J1467" s="635">
        <f t="shared" si="51"/>
        <v>0</v>
      </c>
    </row>
    <row r="1468" spans="6:10" ht="15.75" hidden="1" thickBot="1">
      <c r="F1468" s="308">
        <v>521</v>
      </c>
      <c r="G1468" s="340" t="s">
        <v>4204</v>
      </c>
      <c r="J1468" s="635">
        <f t="shared" si="51"/>
        <v>0</v>
      </c>
    </row>
    <row r="1469" spans="6:10" ht="15.75" hidden="1" thickBot="1">
      <c r="F1469" s="308">
        <v>522</v>
      </c>
      <c r="G1469" s="340" t="s">
        <v>4205</v>
      </c>
      <c r="J1469" s="635">
        <f t="shared" si="51"/>
        <v>0</v>
      </c>
    </row>
    <row r="1470" spans="6:10" ht="15.75" hidden="1" thickBot="1">
      <c r="F1470" s="308">
        <v>523</v>
      </c>
      <c r="G1470" s="340" t="s">
        <v>3843</v>
      </c>
      <c r="J1470" s="635">
        <f t="shared" si="51"/>
        <v>0</v>
      </c>
    </row>
    <row r="1471" spans="6:10" ht="15.75" hidden="1" thickBot="1">
      <c r="F1471" s="308">
        <v>531</v>
      </c>
      <c r="G1471" s="337" t="s">
        <v>4181</v>
      </c>
      <c r="J1471" s="635">
        <f t="shared" si="51"/>
        <v>0</v>
      </c>
    </row>
    <row r="1472" spans="6:10" ht="15.75" hidden="1" thickBot="1">
      <c r="F1472" s="308">
        <v>541</v>
      </c>
      <c r="G1472" s="340" t="s">
        <v>4206</v>
      </c>
      <c r="J1472" s="635">
        <f t="shared" si="51"/>
        <v>0</v>
      </c>
    </row>
    <row r="1473" spans="5:10" ht="15.75" hidden="1" thickBot="1">
      <c r="F1473" s="308">
        <v>542</v>
      </c>
      <c r="G1473" s="340" t="s">
        <v>4207</v>
      </c>
      <c r="J1473" s="635">
        <f t="shared" si="51"/>
        <v>0</v>
      </c>
    </row>
    <row r="1474" spans="5:10" ht="15.75" hidden="1" thickBot="1">
      <c r="F1474" s="308">
        <v>543</v>
      </c>
      <c r="G1474" s="340" t="s">
        <v>3848</v>
      </c>
      <c r="J1474" s="635">
        <f t="shared" si="51"/>
        <v>0</v>
      </c>
    </row>
    <row r="1475" spans="5:10" ht="30.75" hidden="1" thickBot="1">
      <c r="F1475" s="308">
        <v>551</v>
      </c>
      <c r="G1475" s="340" t="s">
        <v>4182</v>
      </c>
      <c r="J1475" s="635">
        <f t="shared" si="51"/>
        <v>0</v>
      </c>
    </row>
    <row r="1476" spans="5:10" ht="15.75" hidden="1" thickBot="1">
      <c r="F1476" s="309">
        <v>611</v>
      </c>
      <c r="G1476" s="344" t="s">
        <v>3854</v>
      </c>
      <c r="J1476" s="635">
        <f t="shared" si="51"/>
        <v>0</v>
      </c>
    </row>
    <row r="1477" spans="5:10" ht="15.75" hidden="1" thickBot="1">
      <c r="F1477" s="309">
        <v>620</v>
      </c>
      <c r="G1477" s="344" t="s">
        <v>88</v>
      </c>
      <c r="J1477" s="635">
        <f t="shared" si="51"/>
        <v>0</v>
      </c>
    </row>
    <row r="1478" spans="5:10" hidden="1">
      <c r="E1478" s="338"/>
      <c r="F1478" s="346"/>
      <c r="G1478" s="372" t="s">
        <v>4354</v>
      </c>
      <c r="H1478" s="636"/>
      <c r="I1478" s="662"/>
      <c r="J1478" s="637"/>
    </row>
    <row r="1479" spans="5:10" ht="15.75" hidden="1" thickBot="1">
      <c r="E1479" s="267"/>
      <c r="F1479" s="294" t="s">
        <v>234</v>
      </c>
      <c r="G1479" s="297" t="s">
        <v>235</v>
      </c>
      <c r="H1479" s="638">
        <f>SUM(H1418:H1477)</f>
        <v>0</v>
      </c>
      <c r="I1479" s="639"/>
      <c r="J1479" s="639">
        <f t="shared" ref="J1479:J1494" si="52">SUM(H1479:I1479)</f>
        <v>0</v>
      </c>
    </row>
    <row r="1480" spans="5:10" ht="15.75" hidden="1" thickBot="1">
      <c r="F1480" s="294" t="s">
        <v>236</v>
      </c>
      <c r="G1480" s="297" t="s">
        <v>237</v>
      </c>
      <c r="J1480" s="639">
        <f t="shared" si="52"/>
        <v>0</v>
      </c>
    </row>
    <row r="1481" spans="5:10" ht="15.75" hidden="1" thickBot="1">
      <c r="F1481" s="294" t="s">
        <v>238</v>
      </c>
      <c r="G1481" s="297" t="s">
        <v>239</v>
      </c>
      <c r="J1481" s="639">
        <f t="shared" si="52"/>
        <v>0</v>
      </c>
    </row>
    <row r="1482" spans="5:10" ht="15.75" hidden="1" thickBot="1">
      <c r="F1482" s="294" t="s">
        <v>240</v>
      </c>
      <c r="G1482" s="297" t="s">
        <v>241</v>
      </c>
      <c r="J1482" s="639">
        <f t="shared" si="52"/>
        <v>0</v>
      </c>
    </row>
    <row r="1483" spans="5:10" ht="15.75" hidden="1" thickBot="1">
      <c r="F1483" s="294" t="s">
        <v>242</v>
      </c>
      <c r="G1483" s="297" t="s">
        <v>243</v>
      </c>
      <c r="J1483" s="639">
        <f t="shared" si="52"/>
        <v>0</v>
      </c>
    </row>
    <row r="1484" spans="5:10" ht="15.75" hidden="1" thickBot="1">
      <c r="F1484" s="294" t="s">
        <v>244</v>
      </c>
      <c r="G1484" s="297" t="s">
        <v>245</v>
      </c>
      <c r="J1484" s="639">
        <f t="shared" si="52"/>
        <v>0</v>
      </c>
    </row>
    <row r="1485" spans="5:10" ht="15.75" hidden="1" thickBot="1">
      <c r="F1485" s="294" t="s">
        <v>246</v>
      </c>
      <c r="G1485" s="683" t="s">
        <v>5121</v>
      </c>
      <c r="J1485" s="639">
        <f t="shared" si="52"/>
        <v>0</v>
      </c>
    </row>
    <row r="1486" spans="5:10" ht="15.75" hidden="1" thickBot="1">
      <c r="F1486" s="294" t="s">
        <v>247</v>
      </c>
      <c r="G1486" s="683" t="s">
        <v>5120</v>
      </c>
      <c r="J1486" s="639">
        <f t="shared" si="52"/>
        <v>0</v>
      </c>
    </row>
    <row r="1487" spans="5:10" ht="15.75" hidden="1" thickBot="1">
      <c r="F1487" s="294" t="s">
        <v>248</v>
      </c>
      <c r="G1487" s="297" t="s">
        <v>57</v>
      </c>
      <c r="J1487" s="639">
        <f t="shared" si="52"/>
        <v>0</v>
      </c>
    </row>
    <row r="1488" spans="5:10" ht="15.75" hidden="1" thickBot="1">
      <c r="F1488" s="294" t="s">
        <v>249</v>
      </c>
      <c r="G1488" s="297" t="s">
        <v>250</v>
      </c>
      <c r="J1488" s="639">
        <f t="shared" si="52"/>
        <v>0</v>
      </c>
    </row>
    <row r="1489" spans="5:10" ht="15.75" hidden="1" thickBot="1">
      <c r="F1489" s="294" t="s">
        <v>251</v>
      </c>
      <c r="G1489" s="297" t="s">
        <v>252</v>
      </c>
      <c r="J1489" s="639">
        <f t="shared" si="52"/>
        <v>0</v>
      </c>
    </row>
    <row r="1490" spans="5:10" ht="15.75" hidden="1" thickBot="1">
      <c r="F1490" s="294" t="s">
        <v>253</v>
      </c>
      <c r="G1490" s="297" t="s">
        <v>254</v>
      </c>
      <c r="J1490" s="639">
        <f t="shared" si="52"/>
        <v>0</v>
      </c>
    </row>
    <row r="1491" spans="5:10" ht="15.75" hidden="1" thickBot="1">
      <c r="F1491" s="294" t="s">
        <v>255</v>
      </c>
      <c r="G1491" s="297" t="s">
        <v>256</v>
      </c>
      <c r="J1491" s="639">
        <f t="shared" si="52"/>
        <v>0</v>
      </c>
    </row>
    <row r="1492" spans="5:10" ht="15.75" hidden="1" thickBot="1">
      <c r="F1492" s="294" t="s">
        <v>257</v>
      </c>
      <c r="G1492" s="297" t="s">
        <v>258</v>
      </c>
      <c r="J1492" s="639">
        <f t="shared" si="52"/>
        <v>0</v>
      </c>
    </row>
    <row r="1493" spans="5:10" ht="15.75" hidden="1" thickBot="1">
      <c r="F1493" s="294" t="s">
        <v>259</v>
      </c>
      <c r="G1493" s="297" t="s">
        <v>260</v>
      </c>
      <c r="J1493" s="639">
        <f t="shared" si="52"/>
        <v>0</v>
      </c>
    </row>
    <row r="1494" spans="5:10" ht="15.75" hidden="1" thickBot="1">
      <c r="F1494" s="294" t="s">
        <v>261</v>
      </c>
      <c r="G1494" s="297" t="s">
        <v>262</v>
      </c>
      <c r="H1494" s="638"/>
      <c r="I1494" s="639"/>
      <c r="J1494" s="639">
        <f t="shared" si="52"/>
        <v>0</v>
      </c>
    </row>
    <row r="1495" spans="5:10" ht="15.75" hidden="1" thickBot="1">
      <c r="G1495" s="274" t="s">
        <v>4355</v>
      </c>
      <c r="H1495" s="640">
        <f>SUM(H1479:H1494)</f>
        <v>0</v>
      </c>
      <c r="I1495" s="641">
        <f>SUM(I1480:I1494)</f>
        <v>0</v>
      </c>
      <c r="J1495" s="641">
        <f>SUM(J1479:J1494)</f>
        <v>0</v>
      </c>
    </row>
    <row r="1496" spans="5:10" hidden="1" collapsed="1">
      <c r="E1496" s="305"/>
      <c r="F1496" s="309"/>
      <c r="G1496" s="276" t="s">
        <v>4269</v>
      </c>
      <c r="H1496" s="642"/>
      <c r="I1496" s="663"/>
      <c r="J1496" s="643"/>
    </row>
    <row r="1497" spans="5:10" ht="15.75" hidden="1" thickBot="1">
      <c r="E1497" s="267"/>
      <c r="F1497" s="294" t="s">
        <v>234</v>
      </c>
      <c r="G1497" s="297" t="s">
        <v>235</v>
      </c>
      <c r="H1497" s="638">
        <f>SUM(H1418:H1477)</f>
        <v>0</v>
      </c>
      <c r="I1497" s="639"/>
      <c r="J1497" s="639">
        <f>SUM(H1497:I1497)</f>
        <v>0</v>
      </c>
    </row>
    <row r="1498" spans="5:10" ht="15.75" hidden="1" thickBot="1">
      <c r="F1498" s="294" t="s">
        <v>236</v>
      </c>
      <c r="G1498" s="297" t="s">
        <v>237</v>
      </c>
      <c r="J1498" s="639">
        <f t="shared" ref="J1498:J1512" si="53">SUM(H1498:I1498)</f>
        <v>0</v>
      </c>
    </row>
    <row r="1499" spans="5:10" ht="15.75" hidden="1" thickBot="1">
      <c r="F1499" s="294" t="s">
        <v>238</v>
      </c>
      <c r="G1499" s="297" t="s">
        <v>239</v>
      </c>
      <c r="J1499" s="639">
        <f t="shared" si="53"/>
        <v>0</v>
      </c>
    </row>
    <row r="1500" spans="5:10" ht="15.75" hidden="1" thickBot="1">
      <c r="F1500" s="294" t="s">
        <v>240</v>
      </c>
      <c r="G1500" s="297" t="s">
        <v>241</v>
      </c>
      <c r="J1500" s="639">
        <f t="shared" si="53"/>
        <v>0</v>
      </c>
    </row>
    <row r="1501" spans="5:10" ht="15.75" hidden="1" thickBot="1">
      <c r="F1501" s="294" t="s">
        <v>242</v>
      </c>
      <c r="G1501" s="297" t="s">
        <v>243</v>
      </c>
      <c r="J1501" s="639">
        <f t="shared" si="53"/>
        <v>0</v>
      </c>
    </row>
    <row r="1502" spans="5:10" ht="15.75" hidden="1" thickBot="1">
      <c r="F1502" s="294" t="s">
        <v>244</v>
      </c>
      <c r="G1502" s="297" t="s">
        <v>245</v>
      </c>
      <c r="J1502" s="639">
        <f t="shared" si="53"/>
        <v>0</v>
      </c>
    </row>
    <row r="1503" spans="5:10" ht="15.75" hidden="1" thickBot="1">
      <c r="F1503" s="294" t="s">
        <v>246</v>
      </c>
      <c r="G1503" s="683" t="s">
        <v>5121</v>
      </c>
      <c r="J1503" s="639">
        <f t="shared" si="53"/>
        <v>0</v>
      </c>
    </row>
    <row r="1504" spans="5:10" ht="15.75" hidden="1" thickBot="1">
      <c r="F1504" s="294" t="s">
        <v>247</v>
      </c>
      <c r="G1504" s="683" t="s">
        <v>5120</v>
      </c>
      <c r="J1504" s="639">
        <f t="shared" si="53"/>
        <v>0</v>
      </c>
    </row>
    <row r="1505" spans="1:25" ht="15.75" hidden="1" thickBot="1">
      <c r="F1505" s="294" t="s">
        <v>248</v>
      </c>
      <c r="G1505" s="297" t="s">
        <v>57</v>
      </c>
      <c r="J1505" s="639">
        <f t="shared" si="53"/>
        <v>0</v>
      </c>
    </row>
    <row r="1506" spans="1:25" ht="15.75" hidden="1" thickBot="1">
      <c r="F1506" s="294" t="s">
        <v>249</v>
      </c>
      <c r="G1506" s="297" t="s">
        <v>250</v>
      </c>
      <c r="J1506" s="639">
        <f t="shared" si="53"/>
        <v>0</v>
      </c>
    </row>
    <row r="1507" spans="1:25" ht="15.75" hidden="1" thickBot="1">
      <c r="F1507" s="294" t="s">
        <v>251</v>
      </c>
      <c r="G1507" s="297" t="s">
        <v>252</v>
      </c>
      <c r="J1507" s="639">
        <f t="shared" si="53"/>
        <v>0</v>
      </c>
    </row>
    <row r="1508" spans="1:25" ht="15.75" hidden="1" thickBot="1">
      <c r="F1508" s="294" t="s">
        <v>253</v>
      </c>
      <c r="G1508" s="297" t="s">
        <v>254</v>
      </c>
      <c r="J1508" s="639">
        <f t="shared" si="53"/>
        <v>0</v>
      </c>
    </row>
    <row r="1509" spans="1:25" ht="15.75" hidden="1" thickBot="1">
      <c r="F1509" s="294" t="s">
        <v>255</v>
      </c>
      <c r="G1509" s="297" t="s">
        <v>256</v>
      </c>
      <c r="J1509" s="639">
        <f t="shared" si="53"/>
        <v>0</v>
      </c>
    </row>
    <row r="1510" spans="1:25" ht="15.75" hidden="1" thickBot="1">
      <c r="F1510" s="294" t="s">
        <v>257</v>
      </c>
      <c r="G1510" s="297" t="s">
        <v>258</v>
      </c>
      <c r="J1510" s="639">
        <f t="shared" si="53"/>
        <v>0</v>
      </c>
    </row>
    <row r="1511" spans="1:25" ht="15.75" hidden="1" thickBot="1">
      <c r="F1511" s="294" t="s">
        <v>259</v>
      </c>
      <c r="G1511" s="297" t="s">
        <v>260</v>
      </c>
      <c r="J1511" s="639">
        <f t="shared" si="53"/>
        <v>0</v>
      </c>
    </row>
    <row r="1512" spans="1:25" ht="15.75" hidden="1" thickBot="1">
      <c r="F1512" s="294" t="s">
        <v>261</v>
      </c>
      <c r="G1512" s="297" t="s">
        <v>262</v>
      </c>
      <c r="H1512" s="638"/>
      <c r="I1512" s="639"/>
      <c r="J1512" s="639">
        <f t="shared" si="53"/>
        <v>0</v>
      </c>
    </row>
    <row r="1513" spans="1:25" ht="15.75" hidden="1" collapsed="1" thickBot="1">
      <c r="G1513" s="274" t="s">
        <v>4270</v>
      </c>
      <c r="H1513" s="640">
        <f>SUM(H1497:H1512)</f>
        <v>0</v>
      </c>
      <c r="I1513" s="641">
        <f>SUM(I1498:I1512)</f>
        <v>0</v>
      </c>
      <c r="J1513" s="641">
        <f>SUM(J1497:J1512)</f>
        <v>0</v>
      </c>
    </row>
    <row r="1514" spans="1:25" s="88" customFormat="1" ht="6" customHeight="1">
      <c r="A1514" s="306"/>
      <c r="B1514" s="301"/>
      <c r="C1514" s="362"/>
      <c r="E1514" s="296"/>
      <c r="F1514" s="302"/>
      <c r="G1514" s="353"/>
      <c r="H1514" s="667"/>
      <c r="I1514" s="650"/>
      <c r="J1514" s="668"/>
      <c r="K1514" s="575"/>
      <c r="L1514" s="575"/>
      <c r="M1514" s="575"/>
      <c r="N1514" s="313"/>
      <c r="O1514" s="575"/>
      <c r="P1514" s="575"/>
      <c r="Q1514" s="575"/>
      <c r="R1514" s="575"/>
      <c r="S1514" s="575"/>
      <c r="T1514" s="575"/>
      <c r="U1514" s="575"/>
      <c r="V1514" s="575"/>
      <c r="W1514" s="575"/>
      <c r="X1514" s="575"/>
      <c r="Y1514" s="575"/>
    </row>
    <row r="1515" spans="1:25" ht="20.25" customHeight="1">
      <c r="C1515" s="273" t="s">
        <v>4638</v>
      </c>
      <c r="D1515" s="264"/>
      <c r="G1515" s="553" t="s">
        <v>5261</v>
      </c>
    </row>
    <row r="1516" spans="1:25">
      <c r="C1516" s="273"/>
      <c r="D1516" s="373">
        <v>620</v>
      </c>
      <c r="E1516" s="374"/>
      <c r="F1516" s="374"/>
      <c r="G1516" s="375" t="s">
        <v>182</v>
      </c>
    </row>
    <row r="1517" spans="1:25" hidden="1">
      <c r="F1517" s="569">
        <v>411</v>
      </c>
      <c r="G1517" s="562" t="s">
        <v>4173</v>
      </c>
      <c r="J1517" s="635">
        <f>SUM(H1517:I1517)</f>
        <v>0</v>
      </c>
      <c r="L1517" s="578"/>
      <c r="M1517" s="578"/>
      <c r="N1517" s="318"/>
    </row>
    <row r="1518" spans="1:25" hidden="1">
      <c r="F1518" s="569">
        <v>412</v>
      </c>
      <c r="G1518" s="558" t="s">
        <v>3770</v>
      </c>
      <c r="J1518" s="635">
        <f t="shared" ref="J1518:J1576" si="54">SUM(H1518:I1518)</f>
        <v>0</v>
      </c>
    </row>
    <row r="1519" spans="1:25" hidden="1">
      <c r="F1519" s="569">
        <v>413</v>
      </c>
      <c r="G1519" s="562" t="s">
        <v>4174</v>
      </c>
      <c r="J1519" s="635">
        <f t="shared" si="54"/>
        <v>0</v>
      </c>
    </row>
    <row r="1520" spans="1:25" hidden="1">
      <c r="F1520" s="569">
        <v>414</v>
      </c>
      <c r="G1520" s="562" t="s">
        <v>3773</v>
      </c>
      <c r="J1520" s="635">
        <f t="shared" si="54"/>
        <v>0</v>
      </c>
    </row>
    <row r="1521" spans="6:10" hidden="1">
      <c r="F1521" s="569">
        <v>415</v>
      </c>
      <c r="G1521" s="562" t="s">
        <v>4183</v>
      </c>
      <c r="J1521" s="635">
        <f t="shared" si="54"/>
        <v>0</v>
      </c>
    </row>
    <row r="1522" spans="6:10" hidden="1">
      <c r="F1522" s="569">
        <v>416</v>
      </c>
      <c r="G1522" s="562" t="s">
        <v>4184</v>
      </c>
      <c r="J1522" s="635">
        <f t="shared" si="54"/>
        <v>0</v>
      </c>
    </row>
    <row r="1523" spans="6:10" hidden="1">
      <c r="F1523" s="569">
        <v>417</v>
      </c>
      <c r="G1523" s="562" t="s">
        <v>4185</v>
      </c>
      <c r="J1523" s="635">
        <f t="shared" si="54"/>
        <v>0</v>
      </c>
    </row>
    <row r="1524" spans="6:10" hidden="1">
      <c r="F1524" s="569">
        <v>418</v>
      </c>
      <c r="G1524" s="562" t="s">
        <v>3779</v>
      </c>
      <c r="J1524" s="635">
        <f t="shared" si="54"/>
        <v>0</v>
      </c>
    </row>
    <row r="1525" spans="6:10" hidden="1">
      <c r="F1525" s="569">
        <v>421</v>
      </c>
      <c r="G1525" s="562" t="s">
        <v>3783</v>
      </c>
      <c r="J1525" s="635">
        <f t="shared" si="54"/>
        <v>0</v>
      </c>
    </row>
    <row r="1526" spans="6:10" hidden="1">
      <c r="F1526" s="569">
        <v>422</v>
      </c>
      <c r="G1526" s="562" t="s">
        <v>3784</v>
      </c>
      <c r="J1526" s="635">
        <f t="shared" si="54"/>
        <v>0</v>
      </c>
    </row>
    <row r="1527" spans="6:10" hidden="1">
      <c r="F1527" s="569">
        <v>423</v>
      </c>
      <c r="G1527" s="562" t="s">
        <v>3785</v>
      </c>
      <c r="J1527" s="635">
        <f t="shared" si="54"/>
        <v>0</v>
      </c>
    </row>
    <row r="1528" spans="6:10" hidden="1">
      <c r="F1528" s="569">
        <v>424</v>
      </c>
      <c r="G1528" s="562" t="s">
        <v>3787</v>
      </c>
      <c r="J1528" s="635">
        <f t="shared" si="54"/>
        <v>0</v>
      </c>
    </row>
    <row r="1529" spans="6:10" hidden="1">
      <c r="F1529" s="569">
        <v>425</v>
      </c>
      <c r="G1529" s="562" t="s">
        <v>4186</v>
      </c>
      <c r="J1529" s="635">
        <f t="shared" si="54"/>
        <v>0</v>
      </c>
    </row>
    <row r="1530" spans="6:10" hidden="1">
      <c r="F1530" s="569">
        <v>426</v>
      </c>
      <c r="G1530" s="562" t="s">
        <v>3791</v>
      </c>
      <c r="J1530" s="635">
        <f t="shared" si="54"/>
        <v>0</v>
      </c>
    </row>
    <row r="1531" spans="6:10" hidden="1">
      <c r="F1531" s="569">
        <v>431</v>
      </c>
      <c r="G1531" s="562" t="s">
        <v>4187</v>
      </c>
      <c r="J1531" s="635">
        <f t="shared" si="54"/>
        <v>0</v>
      </c>
    </row>
    <row r="1532" spans="6:10" hidden="1">
      <c r="F1532" s="569">
        <v>432</v>
      </c>
      <c r="G1532" s="562" t="s">
        <v>4188</v>
      </c>
      <c r="J1532" s="635">
        <f t="shared" si="54"/>
        <v>0</v>
      </c>
    </row>
    <row r="1533" spans="6:10" hidden="1">
      <c r="F1533" s="569">
        <v>433</v>
      </c>
      <c r="G1533" s="562" t="s">
        <v>4189</v>
      </c>
      <c r="J1533" s="635">
        <f t="shared" si="54"/>
        <v>0</v>
      </c>
    </row>
    <row r="1534" spans="6:10" hidden="1">
      <c r="F1534" s="569">
        <v>434</v>
      </c>
      <c r="G1534" s="562" t="s">
        <v>4190</v>
      </c>
      <c r="J1534" s="635">
        <f t="shared" si="54"/>
        <v>0</v>
      </c>
    </row>
    <row r="1535" spans="6:10" hidden="1">
      <c r="F1535" s="569">
        <v>435</v>
      </c>
      <c r="G1535" s="562" t="s">
        <v>3798</v>
      </c>
      <c r="J1535" s="635">
        <f t="shared" si="54"/>
        <v>0</v>
      </c>
    </row>
    <row r="1536" spans="6:10" hidden="1">
      <c r="F1536" s="569">
        <v>441</v>
      </c>
      <c r="G1536" s="562" t="s">
        <v>4191</v>
      </c>
      <c r="J1536" s="635">
        <f t="shared" si="54"/>
        <v>0</v>
      </c>
    </row>
    <row r="1537" spans="5:10" hidden="1">
      <c r="F1537" s="569">
        <v>442</v>
      </c>
      <c r="G1537" s="562" t="s">
        <v>4192</v>
      </c>
      <c r="J1537" s="635">
        <f t="shared" si="54"/>
        <v>0</v>
      </c>
    </row>
    <row r="1538" spans="5:10" hidden="1">
      <c r="F1538" s="569">
        <v>443</v>
      </c>
      <c r="G1538" s="562" t="s">
        <v>3803</v>
      </c>
      <c r="J1538" s="635">
        <f t="shared" si="54"/>
        <v>0</v>
      </c>
    </row>
    <row r="1539" spans="5:10" hidden="1">
      <c r="F1539" s="569">
        <v>444</v>
      </c>
      <c r="G1539" s="562" t="s">
        <v>3804</v>
      </c>
      <c r="J1539" s="635">
        <f t="shared" si="54"/>
        <v>0</v>
      </c>
    </row>
    <row r="1540" spans="5:10" ht="30" hidden="1">
      <c r="F1540" s="569">
        <v>4511</v>
      </c>
      <c r="G1540" s="268" t="s">
        <v>1690</v>
      </c>
      <c r="J1540" s="635">
        <f t="shared" si="54"/>
        <v>0</v>
      </c>
    </row>
    <row r="1541" spans="5:10" ht="30" hidden="1">
      <c r="F1541" s="569">
        <v>4512</v>
      </c>
      <c r="G1541" s="268" t="s">
        <v>1699</v>
      </c>
      <c r="J1541" s="635">
        <f t="shared" si="54"/>
        <v>0</v>
      </c>
    </row>
    <row r="1542" spans="5:10" hidden="1">
      <c r="F1542" s="569">
        <v>452</v>
      </c>
      <c r="G1542" s="562" t="s">
        <v>4193</v>
      </c>
      <c r="J1542" s="635">
        <f t="shared" si="54"/>
        <v>0</v>
      </c>
    </row>
    <row r="1543" spans="5:10" hidden="1">
      <c r="F1543" s="569">
        <v>453</v>
      </c>
      <c r="G1543" s="562" t="s">
        <v>4194</v>
      </c>
      <c r="J1543" s="635">
        <f t="shared" si="54"/>
        <v>0</v>
      </c>
    </row>
    <row r="1544" spans="5:10" hidden="1">
      <c r="F1544" s="569">
        <v>454</v>
      </c>
      <c r="G1544" s="562" t="s">
        <v>3809</v>
      </c>
      <c r="J1544" s="635">
        <f t="shared" si="54"/>
        <v>0</v>
      </c>
    </row>
    <row r="1545" spans="5:10" hidden="1">
      <c r="F1545" s="569">
        <v>461</v>
      </c>
      <c r="G1545" s="562" t="s">
        <v>4175</v>
      </c>
      <c r="J1545" s="635">
        <f t="shared" si="54"/>
        <v>0</v>
      </c>
    </row>
    <row r="1546" spans="5:10" hidden="1">
      <c r="F1546" s="569">
        <v>462</v>
      </c>
      <c r="G1546" s="562" t="s">
        <v>3812</v>
      </c>
      <c r="J1546" s="635">
        <f t="shared" si="54"/>
        <v>0</v>
      </c>
    </row>
    <row r="1547" spans="5:10" ht="15.75" thickBot="1">
      <c r="E1547" s="263">
        <v>52</v>
      </c>
      <c r="F1547" s="569">
        <v>511</v>
      </c>
      <c r="G1547" s="562" t="s">
        <v>4200</v>
      </c>
      <c r="H1547" s="634">
        <v>250000</v>
      </c>
      <c r="J1547" s="635">
        <f t="shared" si="54"/>
        <v>250000</v>
      </c>
    </row>
    <row r="1548" spans="5:10" ht="15.75" hidden="1" thickBot="1">
      <c r="F1548" s="569">
        <v>4632</v>
      </c>
      <c r="G1548" s="562" t="s">
        <v>3814</v>
      </c>
      <c r="J1548" s="635">
        <f t="shared" si="54"/>
        <v>0</v>
      </c>
    </row>
    <row r="1549" spans="5:10" ht="15.75" hidden="1" thickBot="1">
      <c r="F1549" s="569">
        <v>464</v>
      </c>
      <c r="G1549" s="562" t="s">
        <v>3815</v>
      </c>
      <c r="J1549" s="635">
        <f t="shared" si="54"/>
        <v>0</v>
      </c>
    </row>
    <row r="1550" spans="5:10" ht="15.75" hidden="1" thickBot="1">
      <c r="F1550" s="569">
        <v>465</v>
      </c>
      <c r="G1550" s="562" t="s">
        <v>4176</v>
      </c>
      <c r="J1550" s="635">
        <f t="shared" si="54"/>
        <v>0</v>
      </c>
    </row>
    <row r="1551" spans="5:10" ht="15.75" hidden="1" thickBot="1">
      <c r="F1551" s="569">
        <v>472</v>
      </c>
      <c r="G1551" s="562" t="s">
        <v>3819</v>
      </c>
      <c r="J1551" s="635">
        <f t="shared" si="54"/>
        <v>0</v>
      </c>
    </row>
    <row r="1552" spans="5:10" ht="15.75" hidden="1" thickBot="1">
      <c r="F1552" s="569">
        <v>481</v>
      </c>
      <c r="G1552" s="562" t="s">
        <v>4195</v>
      </c>
      <c r="J1552" s="635">
        <f t="shared" si="54"/>
        <v>0</v>
      </c>
    </row>
    <row r="1553" spans="6:10" ht="15.75" hidden="1" thickBot="1">
      <c r="F1553" s="569">
        <v>482</v>
      </c>
      <c r="G1553" s="562" t="s">
        <v>4196</v>
      </c>
      <c r="J1553" s="635">
        <f t="shared" si="54"/>
        <v>0</v>
      </c>
    </row>
    <row r="1554" spans="6:10" ht="15.75" hidden="1" thickBot="1">
      <c r="F1554" s="569">
        <v>483</v>
      </c>
      <c r="G1554" s="566" t="s">
        <v>4197</v>
      </c>
      <c r="J1554" s="635">
        <f t="shared" si="54"/>
        <v>0</v>
      </c>
    </row>
    <row r="1555" spans="6:10" ht="30.75" hidden="1" thickBot="1">
      <c r="F1555" s="569">
        <v>484</v>
      </c>
      <c r="G1555" s="562" t="s">
        <v>4198</v>
      </c>
      <c r="J1555" s="635">
        <f t="shared" si="54"/>
        <v>0</v>
      </c>
    </row>
    <row r="1556" spans="6:10" ht="30.75" hidden="1" thickBot="1">
      <c r="F1556" s="569">
        <v>485</v>
      </c>
      <c r="G1556" s="562" t="s">
        <v>4199</v>
      </c>
      <c r="J1556" s="635">
        <f t="shared" si="54"/>
        <v>0</v>
      </c>
    </row>
    <row r="1557" spans="6:10" ht="30.75" hidden="1" thickBot="1">
      <c r="F1557" s="569">
        <v>489</v>
      </c>
      <c r="G1557" s="562" t="s">
        <v>3827</v>
      </c>
      <c r="J1557" s="635">
        <f t="shared" si="54"/>
        <v>0</v>
      </c>
    </row>
    <row r="1558" spans="6:10" ht="15.75" hidden="1" thickBot="1">
      <c r="F1558" s="569">
        <v>494</v>
      </c>
      <c r="G1558" s="562" t="s">
        <v>4177</v>
      </c>
      <c r="J1558" s="635">
        <f t="shared" si="54"/>
        <v>0</v>
      </c>
    </row>
    <row r="1559" spans="6:10" ht="30.75" hidden="1" thickBot="1">
      <c r="F1559" s="569">
        <v>495</v>
      </c>
      <c r="G1559" s="562" t="s">
        <v>4178</v>
      </c>
      <c r="J1559" s="635">
        <f t="shared" si="54"/>
        <v>0</v>
      </c>
    </row>
    <row r="1560" spans="6:10" ht="30.75" hidden="1" thickBot="1">
      <c r="F1560" s="569">
        <v>496</v>
      </c>
      <c r="G1560" s="562" t="s">
        <v>4179</v>
      </c>
      <c r="J1560" s="635">
        <f t="shared" si="54"/>
        <v>0</v>
      </c>
    </row>
    <row r="1561" spans="6:10" ht="15.75" hidden="1" thickBot="1">
      <c r="F1561" s="569">
        <v>499</v>
      </c>
      <c r="G1561" s="562" t="s">
        <v>4180</v>
      </c>
      <c r="J1561" s="635">
        <f t="shared" si="54"/>
        <v>0</v>
      </c>
    </row>
    <row r="1562" spans="6:10" ht="15.75" hidden="1" thickBot="1">
      <c r="F1562" s="569">
        <v>511</v>
      </c>
      <c r="G1562" s="566" t="s">
        <v>4200</v>
      </c>
      <c r="J1562" s="635">
        <f t="shared" si="54"/>
        <v>0</v>
      </c>
    </row>
    <row r="1563" spans="6:10" ht="15.75" hidden="1" thickBot="1">
      <c r="F1563" s="569">
        <v>512</v>
      </c>
      <c r="G1563" s="566" t="s">
        <v>4201</v>
      </c>
      <c r="J1563" s="635">
        <f t="shared" si="54"/>
        <v>0</v>
      </c>
    </row>
    <row r="1564" spans="6:10" ht="15.75" hidden="1" thickBot="1">
      <c r="F1564" s="569">
        <v>513</v>
      </c>
      <c r="G1564" s="566" t="s">
        <v>4202</v>
      </c>
      <c r="J1564" s="635">
        <f t="shared" si="54"/>
        <v>0</v>
      </c>
    </row>
    <row r="1565" spans="6:10" ht="15.75" hidden="1" thickBot="1">
      <c r="F1565" s="569">
        <v>514</v>
      </c>
      <c r="G1565" s="562" t="s">
        <v>4203</v>
      </c>
      <c r="J1565" s="635">
        <f t="shared" si="54"/>
        <v>0</v>
      </c>
    </row>
    <row r="1566" spans="6:10" ht="15.75" hidden="1" thickBot="1">
      <c r="F1566" s="569">
        <v>515</v>
      </c>
      <c r="G1566" s="562" t="s">
        <v>3838</v>
      </c>
      <c r="J1566" s="635">
        <f t="shared" si="54"/>
        <v>0</v>
      </c>
    </row>
    <row r="1567" spans="6:10" ht="15.75" hidden="1" thickBot="1">
      <c r="F1567" s="569">
        <v>521</v>
      </c>
      <c r="G1567" s="562" t="s">
        <v>4204</v>
      </c>
      <c r="J1567" s="635">
        <f t="shared" si="54"/>
        <v>0</v>
      </c>
    </row>
    <row r="1568" spans="6:10" ht="15.75" hidden="1" thickBot="1">
      <c r="F1568" s="569">
        <v>522</v>
      </c>
      <c r="G1568" s="562" t="s">
        <v>4205</v>
      </c>
      <c r="J1568" s="635">
        <f t="shared" si="54"/>
        <v>0</v>
      </c>
    </row>
    <row r="1569" spans="5:10" ht="15.75" hidden="1" thickBot="1">
      <c r="F1569" s="569">
        <v>523</v>
      </c>
      <c r="G1569" s="562" t="s">
        <v>3843</v>
      </c>
      <c r="J1569" s="635">
        <f t="shared" si="54"/>
        <v>0</v>
      </c>
    </row>
    <row r="1570" spans="5:10" ht="15.75" hidden="1" thickBot="1">
      <c r="F1570" s="569">
        <v>531</v>
      </c>
      <c r="G1570" s="558" t="s">
        <v>4181</v>
      </c>
      <c r="J1570" s="635">
        <f t="shared" si="54"/>
        <v>0</v>
      </c>
    </row>
    <row r="1571" spans="5:10" ht="15.75" hidden="1" thickBot="1">
      <c r="F1571" s="569">
        <v>541</v>
      </c>
      <c r="G1571" s="562" t="s">
        <v>4206</v>
      </c>
      <c r="J1571" s="635">
        <f t="shared" si="54"/>
        <v>0</v>
      </c>
    </row>
    <row r="1572" spans="5:10" ht="15.75" hidden="1" thickBot="1">
      <c r="F1572" s="569">
        <v>542</v>
      </c>
      <c r="G1572" s="562" t="s">
        <v>4207</v>
      </c>
      <c r="J1572" s="635">
        <f t="shared" si="54"/>
        <v>0</v>
      </c>
    </row>
    <row r="1573" spans="5:10" ht="15.75" hidden="1" thickBot="1">
      <c r="F1573" s="569">
        <v>543</v>
      </c>
      <c r="G1573" s="562" t="s">
        <v>3848</v>
      </c>
      <c r="J1573" s="635">
        <f t="shared" si="54"/>
        <v>0</v>
      </c>
    </row>
    <row r="1574" spans="5:10" ht="30.75" hidden="1" thickBot="1">
      <c r="F1574" s="569">
        <v>551</v>
      </c>
      <c r="G1574" s="562" t="s">
        <v>4182</v>
      </c>
      <c r="J1574" s="635">
        <f t="shared" si="54"/>
        <v>0</v>
      </c>
    </row>
    <row r="1575" spans="5:10" ht="15.75" hidden="1" thickBot="1">
      <c r="F1575" s="570">
        <v>611</v>
      </c>
      <c r="G1575" s="568" t="s">
        <v>3854</v>
      </c>
      <c r="J1575" s="635">
        <f t="shared" si="54"/>
        <v>0</v>
      </c>
    </row>
    <row r="1576" spans="5:10" ht="15.75" hidden="1" thickBot="1">
      <c r="F1576" s="570">
        <v>620</v>
      </c>
      <c r="G1576" s="568" t="s">
        <v>88</v>
      </c>
      <c r="J1576" s="635">
        <f t="shared" si="54"/>
        <v>0</v>
      </c>
    </row>
    <row r="1577" spans="5:10">
      <c r="E1577" s="559"/>
      <c r="F1577" s="570"/>
      <c r="G1577" s="372" t="s">
        <v>4350</v>
      </c>
      <c r="H1577" s="636"/>
      <c r="I1577" s="662"/>
      <c r="J1577" s="637"/>
    </row>
    <row r="1578" spans="5:10" ht="15.75" thickBot="1">
      <c r="E1578" s="267"/>
      <c r="F1578" s="294" t="s">
        <v>234</v>
      </c>
      <c r="G1578" s="297" t="s">
        <v>235</v>
      </c>
      <c r="H1578" s="638">
        <f>SUM(H1517:H1576)</f>
        <v>250000</v>
      </c>
      <c r="I1578" s="639"/>
      <c r="J1578" s="639">
        <f t="shared" ref="J1578:J1593" si="55">SUM(H1578:I1578)</f>
        <v>250000</v>
      </c>
    </row>
    <row r="1579" spans="5:10" ht="15.75" hidden="1" thickBot="1">
      <c r="F1579" s="294" t="s">
        <v>236</v>
      </c>
      <c r="G1579" s="297" t="s">
        <v>237</v>
      </c>
      <c r="J1579" s="639">
        <f t="shared" si="55"/>
        <v>0</v>
      </c>
    </row>
    <row r="1580" spans="5:10" ht="15.75" hidden="1" thickBot="1">
      <c r="F1580" s="294" t="s">
        <v>238</v>
      </c>
      <c r="G1580" s="297" t="s">
        <v>239</v>
      </c>
      <c r="J1580" s="639">
        <f t="shared" si="55"/>
        <v>0</v>
      </c>
    </row>
    <row r="1581" spans="5:10" ht="15.75" hidden="1" thickBot="1">
      <c r="F1581" s="294" t="s">
        <v>240</v>
      </c>
      <c r="G1581" s="297" t="s">
        <v>241</v>
      </c>
      <c r="J1581" s="639">
        <f t="shared" si="55"/>
        <v>0</v>
      </c>
    </row>
    <row r="1582" spans="5:10" ht="15.75" hidden="1" thickBot="1">
      <c r="F1582" s="294" t="s">
        <v>242</v>
      </c>
      <c r="G1582" s="297" t="s">
        <v>243</v>
      </c>
      <c r="J1582" s="639">
        <f t="shared" si="55"/>
        <v>0</v>
      </c>
    </row>
    <row r="1583" spans="5:10" ht="15.75" hidden="1" thickBot="1">
      <c r="F1583" s="294" t="s">
        <v>244</v>
      </c>
      <c r="G1583" s="297" t="s">
        <v>245</v>
      </c>
      <c r="J1583" s="639">
        <f t="shared" si="55"/>
        <v>0</v>
      </c>
    </row>
    <row r="1584" spans="5:10" ht="15.75" hidden="1" thickBot="1">
      <c r="F1584" s="294" t="s">
        <v>246</v>
      </c>
      <c r="G1584" s="683" t="s">
        <v>5121</v>
      </c>
      <c r="J1584" s="639">
        <f t="shared" si="55"/>
        <v>0</v>
      </c>
    </row>
    <row r="1585" spans="5:10" ht="15.75" hidden="1" thickBot="1">
      <c r="F1585" s="294" t="s">
        <v>247</v>
      </c>
      <c r="G1585" s="683" t="s">
        <v>5120</v>
      </c>
      <c r="J1585" s="639">
        <f t="shared" si="55"/>
        <v>0</v>
      </c>
    </row>
    <row r="1586" spans="5:10" ht="15.75" hidden="1" thickBot="1">
      <c r="F1586" s="294" t="s">
        <v>248</v>
      </c>
      <c r="G1586" s="297" t="s">
        <v>57</v>
      </c>
      <c r="J1586" s="639">
        <f t="shared" si="55"/>
        <v>0</v>
      </c>
    </row>
    <row r="1587" spans="5:10" ht="15.75" hidden="1" thickBot="1">
      <c r="F1587" s="294" t="s">
        <v>249</v>
      </c>
      <c r="G1587" s="297" t="s">
        <v>250</v>
      </c>
      <c r="J1587" s="639">
        <f t="shared" si="55"/>
        <v>0</v>
      </c>
    </row>
    <row r="1588" spans="5:10" ht="15.75" hidden="1" thickBot="1">
      <c r="F1588" s="294" t="s">
        <v>251</v>
      </c>
      <c r="G1588" s="297" t="s">
        <v>252</v>
      </c>
      <c r="J1588" s="639">
        <f t="shared" si="55"/>
        <v>0</v>
      </c>
    </row>
    <row r="1589" spans="5:10" ht="15.75" hidden="1" thickBot="1">
      <c r="F1589" s="294" t="s">
        <v>253</v>
      </c>
      <c r="G1589" s="297" t="s">
        <v>254</v>
      </c>
      <c r="J1589" s="639">
        <f t="shared" si="55"/>
        <v>0</v>
      </c>
    </row>
    <row r="1590" spans="5:10" ht="15.75" hidden="1" thickBot="1">
      <c r="F1590" s="294" t="s">
        <v>255</v>
      </c>
      <c r="G1590" s="297" t="s">
        <v>256</v>
      </c>
      <c r="J1590" s="639">
        <f t="shared" si="55"/>
        <v>0</v>
      </c>
    </row>
    <row r="1591" spans="5:10" ht="15.75" hidden="1" thickBot="1">
      <c r="F1591" s="294" t="s">
        <v>257</v>
      </c>
      <c r="G1591" s="297" t="s">
        <v>258</v>
      </c>
      <c r="J1591" s="639">
        <f t="shared" si="55"/>
        <v>0</v>
      </c>
    </row>
    <row r="1592" spans="5:10" ht="15.75" hidden="1" thickBot="1">
      <c r="F1592" s="294" t="s">
        <v>259</v>
      </c>
      <c r="G1592" s="297" t="s">
        <v>260</v>
      </c>
      <c r="J1592" s="639">
        <f t="shared" si="55"/>
        <v>0</v>
      </c>
    </row>
    <row r="1593" spans="5:10" ht="15.75" hidden="1" thickBot="1">
      <c r="F1593" s="294" t="s">
        <v>261</v>
      </c>
      <c r="G1593" s="297" t="s">
        <v>262</v>
      </c>
      <c r="H1593" s="638"/>
      <c r="I1593" s="639"/>
      <c r="J1593" s="639">
        <f t="shared" si="55"/>
        <v>0</v>
      </c>
    </row>
    <row r="1594" spans="5:10" ht="15.75" thickBot="1">
      <c r="G1594" s="274" t="s">
        <v>4351</v>
      </c>
      <c r="H1594" s="640">
        <f>SUM(H1578:H1593)</f>
        <v>250000</v>
      </c>
      <c r="I1594" s="641">
        <f>SUM(I1579:I1593)</f>
        <v>0</v>
      </c>
      <c r="J1594" s="641">
        <f>SUM(J1578:J1593)</f>
        <v>250000</v>
      </c>
    </row>
    <row r="1595" spans="5:10" collapsed="1">
      <c r="E1595" s="559"/>
      <c r="F1595" s="570"/>
      <c r="G1595" s="276" t="s">
        <v>5173</v>
      </c>
      <c r="H1595" s="642"/>
      <c r="I1595" s="663"/>
      <c r="J1595" s="643"/>
    </row>
    <row r="1596" spans="5:10" ht="15.75" thickBot="1">
      <c r="E1596" s="267"/>
      <c r="F1596" s="294" t="s">
        <v>234</v>
      </c>
      <c r="G1596" s="297" t="s">
        <v>235</v>
      </c>
      <c r="H1596" s="638">
        <f>SUM(H1517:H1576)</f>
        <v>250000</v>
      </c>
      <c r="I1596" s="639"/>
      <c r="J1596" s="639">
        <f>SUM(H1596:I1596)</f>
        <v>250000</v>
      </c>
    </row>
    <row r="1597" spans="5:10" ht="15.75" hidden="1" thickBot="1">
      <c r="F1597" s="294" t="s">
        <v>236</v>
      </c>
      <c r="G1597" s="297" t="s">
        <v>237</v>
      </c>
      <c r="J1597" s="639">
        <f t="shared" ref="J1597:J1611" si="56">SUM(H1597:I1597)</f>
        <v>0</v>
      </c>
    </row>
    <row r="1598" spans="5:10" ht="15.75" hidden="1" thickBot="1">
      <c r="F1598" s="294" t="s">
        <v>238</v>
      </c>
      <c r="G1598" s="297" t="s">
        <v>239</v>
      </c>
      <c r="J1598" s="639">
        <f t="shared" si="56"/>
        <v>0</v>
      </c>
    </row>
    <row r="1599" spans="5:10" ht="15.75" hidden="1" thickBot="1">
      <c r="F1599" s="294" t="s">
        <v>240</v>
      </c>
      <c r="G1599" s="297" t="s">
        <v>241</v>
      </c>
      <c r="J1599" s="639">
        <f t="shared" si="56"/>
        <v>0</v>
      </c>
    </row>
    <row r="1600" spans="5:10" ht="15.75" hidden="1" thickBot="1">
      <c r="F1600" s="294" t="s">
        <v>242</v>
      </c>
      <c r="G1600" s="297" t="s">
        <v>243</v>
      </c>
      <c r="J1600" s="639">
        <f t="shared" si="56"/>
        <v>0</v>
      </c>
    </row>
    <row r="1601" spans="1:25" ht="15.75" hidden="1" thickBot="1">
      <c r="F1601" s="294" t="s">
        <v>244</v>
      </c>
      <c r="G1601" s="297" t="s">
        <v>245</v>
      </c>
      <c r="J1601" s="639">
        <f t="shared" si="56"/>
        <v>0</v>
      </c>
    </row>
    <row r="1602" spans="1:25" ht="15.75" hidden="1" thickBot="1">
      <c r="F1602" s="294" t="s">
        <v>246</v>
      </c>
      <c r="G1602" s="683" t="s">
        <v>5121</v>
      </c>
      <c r="J1602" s="639">
        <f t="shared" si="56"/>
        <v>0</v>
      </c>
    </row>
    <row r="1603" spans="1:25" ht="15.75" hidden="1" thickBot="1">
      <c r="F1603" s="294" t="s">
        <v>247</v>
      </c>
      <c r="G1603" s="683" t="s">
        <v>5120</v>
      </c>
      <c r="J1603" s="639">
        <f t="shared" si="56"/>
        <v>0</v>
      </c>
    </row>
    <row r="1604" spans="1:25" ht="15.75" hidden="1" thickBot="1">
      <c r="F1604" s="294" t="s">
        <v>248</v>
      </c>
      <c r="G1604" s="297" t="s">
        <v>57</v>
      </c>
      <c r="J1604" s="639">
        <f t="shared" si="56"/>
        <v>0</v>
      </c>
    </row>
    <row r="1605" spans="1:25" ht="15.75" hidden="1" thickBot="1">
      <c r="F1605" s="294" t="s">
        <v>249</v>
      </c>
      <c r="G1605" s="297" t="s">
        <v>250</v>
      </c>
      <c r="J1605" s="639">
        <f t="shared" si="56"/>
        <v>0</v>
      </c>
    </row>
    <row r="1606" spans="1:25" ht="15.75" hidden="1" thickBot="1">
      <c r="F1606" s="294" t="s">
        <v>251</v>
      </c>
      <c r="G1606" s="297" t="s">
        <v>252</v>
      </c>
      <c r="J1606" s="639">
        <f t="shared" si="56"/>
        <v>0</v>
      </c>
    </row>
    <row r="1607" spans="1:25" ht="15.75" hidden="1" thickBot="1">
      <c r="F1607" s="294" t="s">
        <v>253</v>
      </c>
      <c r="G1607" s="297" t="s">
        <v>254</v>
      </c>
      <c r="J1607" s="639">
        <f t="shared" si="56"/>
        <v>0</v>
      </c>
    </row>
    <row r="1608" spans="1:25" ht="15.75" hidden="1" thickBot="1">
      <c r="F1608" s="294" t="s">
        <v>255</v>
      </c>
      <c r="G1608" s="297" t="s">
        <v>256</v>
      </c>
      <c r="J1608" s="639">
        <f t="shared" si="56"/>
        <v>0</v>
      </c>
    </row>
    <row r="1609" spans="1:25" ht="15.75" hidden="1" thickBot="1">
      <c r="F1609" s="294" t="s">
        <v>257</v>
      </c>
      <c r="G1609" s="297" t="s">
        <v>258</v>
      </c>
      <c r="J1609" s="639">
        <f t="shared" si="56"/>
        <v>0</v>
      </c>
    </row>
    <row r="1610" spans="1:25" ht="15.75" hidden="1" thickBot="1">
      <c r="F1610" s="294" t="s">
        <v>259</v>
      </c>
      <c r="G1610" s="297" t="s">
        <v>260</v>
      </c>
      <c r="J1610" s="639">
        <f t="shared" si="56"/>
        <v>0</v>
      </c>
    </row>
    <row r="1611" spans="1:25" ht="15.75" hidden="1" thickBot="1">
      <c r="F1611" s="294" t="s">
        <v>261</v>
      </c>
      <c r="G1611" s="297" t="s">
        <v>262</v>
      </c>
      <c r="H1611" s="638"/>
      <c r="I1611" s="639"/>
      <c r="J1611" s="639">
        <f t="shared" si="56"/>
        <v>0</v>
      </c>
    </row>
    <row r="1612" spans="1:25" ht="15.75" collapsed="1" thickBot="1">
      <c r="G1612" s="274" t="s">
        <v>5174</v>
      </c>
      <c r="H1612" s="640">
        <f>SUM(H1596:H1611)</f>
        <v>250000</v>
      </c>
      <c r="I1612" s="641">
        <f>SUM(I1597:I1611)</f>
        <v>0</v>
      </c>
      <c r="J1612" s="641">
        <f>SUM(J1596:J1611)</f>
        <v>250000</v>
      </c>
    </row>
    <row r="1613" spans="1:25" s="88" customFormat="1" ht="6.75" customHeight="1">
      <c r="A1613" s="551"/>
      <c r="B1613" s="301"/>
      <c r="C1613" s="362"/>
      <c r="E1613" s="296"/>
      <c r="F1613" s="302"/>
      <c r="G1613" s="353"/>
      <c r="H1613" s="667"/>
      <c r="I1613" s="650"/>
      <c r="J1613" s="668"/>
      <c r="K1613" s="575"/>
      <c r="L1613" s="575"/>
      <c r="M1613" s="575"/>
      <c r="N1613" s="313"/>
      <c r="O1613" s="575"/>
      <c r="P1613" s="575"/>
      <c r="Q1613" s="575"/>
      <c r="R1613" s="575"/>
      <c r="S1613" s="575"/>
      <c r="T1613" s="575"/>
      <c r="U1613" s="575"/>
      <c r="V1613" s="575"/>
      <c r="W1613" s="575"/>
      <c r="X1613" s="575"/>
      <c r="Y1613" s="575"/>
    </row>
    <row r="1614" spans="1:25">
      <c r="C1614" s="273" t="s">
        <v>4639</v>
      </c>
      <c r="D1614" s="264"/>
      <c r="G1614" s="553" t="s">
        <v>5262</v>
      </c>
    </row>
    <row r="1615" spans="1:25">
      <c r="C1615" s="273"/>
      <c r="D1615" s="373">
        <v>620</v>
      </c>
      <c r="E1615" s="374"/>
      <c r="F1615" s="374"/>
      <c r="G1615" s="375" t="s">
        <v>135</v>
      </c>
    </row>
    <row r="1616" spans="1:25" hidden="1">
      <c r="F1616" s="569">
        <v>411</v>
      </c>
      <c r="G1616" s="562" t="s">
        <v>4173</v>
      </c>
      <c r="J1616" s="635">
        <f>SUM(H1616:I1616)</f>
        <v>0</v>
      </c>
      <c r="L1616" s="578"/>
      <c r="M1616" s="578"/>
      <c r="N1616" s="318"/>
    </row>
    <row r="1617" spans="6:10" hidden="1">
      <c r="F1617" s="569">
        <v>412</v>
      </c>
      <c r="G1617" s="558" t="s">
        <v>3770</v>
      </c>
      <c r="J1617" s="635">
        <f t="shared" ref="J1617:J1675" si="57">SUM(H1617:I1617)</f>
        <v>0</v>
      </c>
    </row>
    <row r="1618" spans="6:10" hidden="1">
      <c r="F1618" s="569">
        <v>413</v>
      </c>
      <c r="G1618" s="562" t="s">
        <v>4174</v>
      </c>
      <c r="J1618" s="635">
        <f t="shared" si="57"/>
        <v>0</v>
      </c>
    </row>
    <row r="1619" spans="6:10" hidden="1">
      <c r="F1619" s="569">
        <v>414</v>
      </c>
      <c r="G1619" s="562" t="s">
        <v>3773</v>
      </c>
      <c r="J1619" s="635">
        <f t="shared" si="57"/>
        <v>0</v>
      </c>
    </row>
    <row r="1620" spans="6:10" hidden="1">
      <c r="F1620" s="569">
        <v>415</v>
      </c>
      <c r="G1620" s="562" t="s">
        <v>4183</v>
      </c>
      <c r="J1620" s="635">
        <f t="shared" si="57"/>
        <v>0</v>
      </c>
    </row>
    <row r="1621" spans="6:10" hidden="1">
      <c r="F1621" s="569">
        <v>416</v>
      </c>
      <c r="G1621" s="562" t="s">
        <v>4184</v>
      </c>
      <c r="J1621" s="635">
        <f t="shared" si="57"/>
        <v>0</v>
      </c>
    </row>
    <row r="1622" spans="6:10" hidden="1">
      <c r="F1622" s="569">
        <v>417</v>
      </c>
      <c r="G1622" s="562" t="s">
        <v>4185</v>
      </c>
      <c r="J1622" s="635">
        <f t="shared" si="57"/>
        <v>0</v>
      </c>
    </row>
    <row r="1623" spans="6:10" hidden="1">
      <c r="F1623" s="569">
        <v>418</v>
      </c>
      <c r="G1623" s="562" t="s">
        <v>3779</v>
      </c>
      <c r="J1623" s="635">
        <f t="shared" si="57"/>
        <v>0</v>
      </c>
    </row>
    <row r="1624" spans="6:10" hidden="1">
      <c r="F1624" s="569">
        <v>421</v>
      </c>
      <c r="G1624" s="562" t="s">
        <v>3783</v>
      </c>
      <c r="J1624" s="635">
        <f t="shared" si="57"/>
        <v>0</v>
      </c>
    </row>
    <row r="1625" spans="6:10" hidden="1">
      <c r="F1625" s="569">
        <v>422</v>
      </c>
      <c r="G1625" s="562" t="s">
        <v>3784</v>
      </c>
      <c r="J1625" s="635">
        <f t="shared" si="57"/>
        <v>0</v>
      </c>
    </row>
    <row r="1626" spans="6:10" hidden="1">
      <c r="F1626" s="569">
        <v>423</v>
      </c>
      <c r="G1626" s="562" t="s">
        <v>3785</v>
      </c>
      <c r="J1626" s="635">
        <f t="shared" si="57"/>
        <v>0</v>
      </c>
    </row>
    <row r="1627" spans="6:10" hidden="1">
      <c r="F1627" s="569">
        <v>424</v>
      </c>
      <c r="G1627" s="562" t="s">
        <v>3787</v>
      </c>
      <c r="J1627" s="635">
        <f t="shared" si="57"/>
        <v>0</v>
      </c>
    </row>
    <row r="1628" spans="6:10" hidden="1">
      <c r="F1628" s="569">
        <v>425</v>
      </c>
      <c r="G1628" s="562" t="s">
        <v>4186</v>
      </c>
      <c r="J1628" s="635">
        <f t="shared" si="57"/>
        <v>0</v>
      </c>
    </row>
    <row r="1629" spans="6:10" hidden="1">
      <c r="F1629" s="569">
        <v>426</v>
      </c>
      <c r="G1629" s="562" t="s">
        <v>3791</v>
      </c>
      <c r="J1629" s="635">
        <f t="shared" si="57"/>
        <v>0</v>
      </c>
    </row>
    <row r="1630" spans="6:10" hidden="1">
      <c r="F1630" s="569">
        <v>431</v>
      </c>
      <c r="G1630" s="562" t="s">
        <v>4187</v>
      </c>
      <c r="J1630" s="635">
        <f t="shared" si="57"/>
        <v>0</v>
      </c>
    </row>
    <row r="1631" spans="6:10" hidden="1">
      <c r="F1631" s="569">
        <v>432</v>
      </c>
      <c r="G1631" s="562" t="s">
        <v>4188</v>
      </c>
      <c r="J1631" s="635">
        <f t="shared" si="57"/>
        <v>0</v>
      </c>
    </row>
    <row r="1632" spans="6:10" hidden="1">
      <c r="F1632" s="569">
        <v>433</v>
      </c>
      <c r="G1632" s="562" t="s">
        <v>4189</v>
      </c>
      <c r="J1632" s="635">
        <f t="shared" si="57"/>
        <v>0</v>
      </c>
    </row>
    <row r="1633" spans="5:10" hidden="1">
      <c r="F1633" s="569">
        <v>434</v>
      </c>
      <c r="G1633" s="562" t="s">
        <v>4190</v>
      </c>
      <c r="J1633" s="635">
        <f t="shared" si="57"/>
        <v>0</v>
      </c>
    </row>
    <row r="1634" spans="5:10" hidden="1">
      <c r="F1634" s="569">
        <v>435</v>
      </c>
      <c r="G1634" s="562" t="s">
        <v>3798</v>
      </c>
      <c r="J1634" s="635">
        <f t="shared" si="57"/>
        <v>0</v>
      </c>
    </row>
    <row r="1635" spans="5:10" hidden="1">
      <c r="F1635" s="569">
        <v>441</v>
      </c>
      <c r="G1635" s="562" t="s">
        <v>4191</v>
      </c>
      <c r="J1635" s="635">
        <f t="shared" si="57"/>
        <v>0</v>
      </c>
    </row>
    <row r="1636" spans="5:10" hidden="1">
      <c r="F1636" s="569">
        <v>442</v>
      </c>
      <c r="G1636" s="562" t="s">
        <v>4192</v>
      </c>
      <c r="J1636" s="635">
        <f t="shared" si="57"/>
        <v>0</v>
      </c>
    </row>
    <row r="1637" spans="5:10" hidden="1">
      <c r="F1637" s="569">
        <v>443</v>
      </c>
      <c r="G1637" s="562" t="s">
        <v>3803</v>
      </c>
      <c r="J1637" s="635">
        <f t="shared" si="57"/>
        <v>0</v>
      </c>
    </row>
    <row r="1638" spans="5:10" hidden="1">
      <c r="F1638" s="569">
        <v>444</v>
      </c>
      <c r="G1638" s="562" t="s">
        <v>3804</v>
      </c>
      <c r="J1638" s="635">
        <f t="shared" si="57"/>
        <v>0</v>
      </c>
    </row>
    <row r="1639" spans="5:10" ht="30" hidden="1">
      <c r="F1639" s="569">
        <v>4511</v>
      </c>
      <c r="G1639" s="268" t="s">
        <v>1690</v>
      </c>
      <c r="J1639" s="635">
        <f t="shared" si="57"/>
        <v>0</v>
      </c>
    </row>
    <row r="1640" spans="5:10" ht="30" hidden="1">
      <c r="F1640" s="569">
        <v>4512</v>
      </c>
      <c r="G1640" s="268" t="s">
        <v>1699</v>
      </c>
      <c r="J1640" s="635">
        <f t="shared" si="57"/>
        <v>0</v>
      </c>
    </row>
    <row r="1641" spans="5:10" hidden="1">
      <c r="F1641" s="569">
        <v>452</v>
      </c>
      <c r="G1641" s="562" t="s">
        <v>4193</v>
      </c>
      <c r="J1641" s="635">
        <f t="shared" si="57"/>
        <v>0</v>
      </c>
    </row>
    <row r="1642" spans="5:10" hidden="1">
      <c r="F1642" s="569">
        <v>453</v>
      </c>
      <c r="G1642" s="562" t="s">
        <v>4194</v>
      </c>
      <c r="J1642" s="635">
        <f t="shared" si="57"/>
        <v>0</v>
      </c>
    </row>
    <row r="1643" spans="5:10" hidden="1">
      <c r="F1643" s="569">
        <v>454</v>
      </c>
      <c r="G1643" s="562" t="s">
        <v>3809</v>
      </c>
      <c r="J1643" s="635">
        <f t="shared" si="57"/>
        <v>0</v>
      </c>
    </row>
    <row r="1644" spans="5:10" hidden="1">
      <c r="F1644" s="569">
        <v>461</v>
      </c>
      <c r="G1644" s="562" t="s">
        <v>4175</v>
      </c>
      <c r="J1644" s="635">
        <f t="shared" si="57"/>
        <v>0</v>
      </c>
    </row>
    <row r="1645" spans="5:10" hidden="1">
      <c r="F1645" s="569">
        <v>462</v>
      </c>
      <c r="G1645" s="562" t="s">
        <v>3812</v>
      </c>
      <c r="J1645" s="635">
        <f t="shared" si="57"/>
        <v>0</v>
      </c>
    </row>
    <row r="1646" spans="5:10" ht="15.75" thickBot="1">
      <c r="E1646" s="263">
        <v>53</v>
      </c>
      <c r="F1646" s="569">
        <v>511</v>
      </c>
      <c r="G1646" s="562" t="s">
        <v>4200</v>
      </c>
      <c r="H1646" s="634">
        <v>750000</v>
      </c>
      <c r="J1646" s="635">
        <f t="shared" si="57"/>
        <v>750000</v>
      </c>
    </row>
    <row r="1647" spans="5:10" ht="15.75" hidden="1" thickBot="1">
      <c r="F1647" s="569">
        <v>4632</v>
      </c>
      <c r="G1647" s="562" t="s">
        <v>3814</v>
      </c>
      <c r="J1647" s="635">
        <f t="shared" si="57"/>
        <v>0</v>
      </c>
    </row>
    <row r="1648" spans="5:10" ht="15.75" hidden="1" thickBot="1">
      <c r="F1648" s="569">
        <v>464</v>
      </c>
      <c r="G1648" s="562" t="s">
        <v>3815</v>
      </c>
      <c r="J1648" s="635">
        <f t="shared" si="57"/>
        <v>0</v>
      </c>
    </row>
    <row r="1649" spans="6:10" ht="15.75" hidden="1" thickBot="1">
      <c r="F1649" s="569">
        <v>465</v>
      </c>
      <c r="G1649" s="562" t="s">
        <v>4176</v>
      </c>
      <c r="J1649" s="635">
        <f t="shared" si="57"/>
        <v>0</v>
      </c>
    </row>
    <row r="1650" spans="6:10" ht="15.75" hidden="1" thickBot="1">
      <c r="F1650" s="569">
        <v>472</v>
      </c>
      <c r="G1650" s="562" t="s">
        <v>3819</v>
      </c>
      <c r="J1650" s="635">
        <f t="shared" si="57"/>
        <v>0</v>
      </c>
    </row>
    <row r="1651" spans="6:10" ht="15.75" hidden="1" thickBot="1">
      <c r="F1651" s="569">
        <v>481</v>
      </c>
      <c r="G1651" s="562" t="s">
        <v>4195</v>
      </c>
      <c r="J1651" s="635">
        <f t="shared" si="57"/>
        <v>0</v>
      </c>
    </row>
    <row r="1652" spans="6:10" ht="15.75" hidden="1" thickBot="1">
      <c r="F1652" s="569">
        <v>482</v>
      </c>
      <c r="G1652" s="562" t="s">
        <v>4196</v>
      </c>
      <c r="J1652" s="635">
        <f t="shared" si="57"/>
        <v>0</v>
      </c>
    </row>
    <row r="1653" spans="6:10" ht="15.75" hidden="1" thickBot="1">
      <c r="F1653" s="569">
        <v>483</v>
      </c>
      <c r="G1653" s="566" t="s">
        <v>4197</v>
      </c>
      <c r="J1653" s="635">
        <f t="shared" si="57"/>
        <v>0</v>
      </c>
    </row>
    <row r="1654" spans="6:10" ht="30.75" hidden="1" thickBot="1">
      <c r="F1654" s="569">
        <v>484</v>
      </c>
      <c r="G1654" s="562" t="s">
        <v>4198</v>
      </c>
      <c r="J1654" s="635">
        <f t="shared" si="57"/>
        <v>0</v>
      </c>
    </row>
    <row r="1655" spans="6:10" ht="30.75" hidden="1" thickBot="1">
      <c r="F1655" s="569">
        <v>485</v>
      </c>
      <c r="G1655" s="562" t="s">
        <v>4199</v>
      </c>
      <c r="J1655" s="635">
        <f t="shared" si="57"/>
        <v>0</v>
      </c>
    </row>
    <row r="1656" spans="6:10" ht="30.75" hidden="1" thickBot="1">
      <c r="F1656" s="569">
        <v>489</v>
      </c>
      <c r="G1656" s="562" t="s">
        <v>3827</v>
      </c>
      <c r="J1656" s="635">
        <f t="shared" si="57"/>
        <v>0</v>
      </c>
    </row>
    <row r="1657" spans="6:10" ht="15.75" hidden="1" thickBot="1">
      <c r="F1657" s="569">
        <v>494</v>
      </c>
      <c r="G1657" s="562" t="s">
        <v>4177</v>
      </c>
      <c r="J1657" s="635">
        <f t="shared" si="57"/>
        <v>0</v>
      </c>
    </row>
    <row r="1658" spans="6:10" ht="30.75" hidden="1" thickBot="1">
      <c r="F1658" s="569">
        <v>495</v>
      </c>
      <c r="G1658" s="562" t="s">
        <v>4178</v>
      </c>
      <c r="J1658" s="635">
        <f t="shared" si="57"/>
        <v>0</v>
      </c>
    </row>
    <row r="1659" spans="6:10" ht="30.75" hidden="1" thickBot="1">
      <c r="F1659" s="569">
        <v>496</v>
      </c>
      <c r="G1659" s="562" t="s">
        <v>4179</v>
      </c>
      <c r="J1659" s="635">
        <f t="shared" si="57"/>
        <v>0</v>
      </c>
    </row>
    <row r="1660" spans="6:10" ht="15.75" hidden="1" thickBot="1">
      <c r="F1660" s="569">
        <v>499</v>
      </c>
      <c r="G1660" s="562" t="s">
        <v>4180</v>
      </c>
      <c r="J1660" s="635">
        <f t="shared" si="57"/>
        <v>0</v>
      </c>
    </row>
    <row r="1661" spans="6:10" ht="15.75" hidden="1" thickBot="1">
      <c r="F1661" s="569">
        <v>511</v>
      </c>
      <c r="G1661" s="566" t="s">
        <v>4200</v>
      </c>
      <c r="J1661" s="635">
        <f t="shared" si="57"/>
        <v>0</v>
      </c>
    </row>
    <row r="1662" spans="6:10" ht="15.75" hidden="1" thickBot="1">
      <c r="F1662" s="569">
        <v>512</v>
      </c>
      <c r="G1662" s="566" t="s">
        <v>4201</v>
      </c>
      <c r="J1662" s="635">
        <f t="shared" si="57"/>
        <v>0</v>
      </c>
    </row>
    <row r="1663" spans="6:10" ht="15.75" hidden="1" thickBot="1">
      <c r="F1663" s="569">
        <v>513</v>
      </c>
      <c r="G1663" s="566" t="s">
        <v>4202</v>
      </c>
      <c r="J1663" s="635">
        <f t="shared" si="57"/>
        <v>0</v>
      </c>
    </row>
    <row r="1664" spans="6:10" ht="15.75" hidden="1" thickBot="1">
      <c r="F1664" s="569">
        <v>514</v>
      </c>
      <c r="G1664" s="562" t="s">
        <v>4203</v>
      </c>
      <c r="J1664" s="635">
        <f t="shared" si="57"/>
        <v>0</v>
      </c>
    </row>
    <row r="1665" spans="5:10" ht="15.75" hidden="1" thickBot="1">
      <c r="F1665" s="569">
        <v>515</v>
      </c>
      <c r="G1665" s="562" t="s">
        <v>3838</v>
      </c>
      <c r="J1665" s="635">
        <f t="shared" si="57"/>
        <v>0</v>
      </c>
    </row>
    <row r="1666" spans="5:10" ht="15.75" hidden="1" thickBot="1">
      <c r="F1666" s="569">
        <v>521</v>
      </c>
      <c r="G1666" s="562" t="s">
        <v>4204</v>
      </c>
      <c r="J1666" s="635">
        <f t="shared" si="57"/>
        <v>0</v>
      </c>
    </row>
    <row r="1667" spans="5:10" ht="15.75" hidden="1" thickBot="1">
      <c r="F1667" s="569">
        <v>522</v>
      </c>
      <c r="G1667" s="562" t="s">
        <v>4205</v>
      </c>
      <c r="J1667" s="635">
        <f t="shared" si="57"/>
        <v>0</v>
      </c>
    </row>
    <row r="1668" spans="5:10" ht="15.75" hidden="1" thickBot="1">
      <c r="F1668" s="569">
        <v>523</v>
      </c>
      <c r="G1668" s="562" t="s">
        <v>3843</v>
      </c>
      <c r="J1668" s="635">
        <f t="shared" si="57"/>
        <v>0</v>
      </c>
    </row>
    <row r="1669" spans="5:10" ht="15.75" hidden="1" thickBot="1">
      <c r="F1669" s="569">
        <v>531</v>
      </c>
      <c r="G1669" s="558" t="s">
        <v>4181</v>
      </c>
      <c r="J1669" s="635">
        <f t="shared" si="57"/>
        <v>0</v>
      </c>
    </row>
    <row r="1670" spans="5:10" ht="15.75" hidden="1" thickBot="1">
      <c r="F1670" s="569">
        <v>541</v>
      </c>
      <c r="G1670" s="562" t="s">
        <v>4206</v>
      </c>
      <c r="J1670" s="635">
        <f t="shared" si="57"/>
        <v>0</v>
      </c>
    </row>
    <row r="1671" spans="5:10" ht="15.75" hidden="1" thickBot="1">
      <c r="F1671" s="569">
        <v>542</v>
      </c>
      <c r="G1671" s="562" t="s">
        <v>4207</v>
      </c>
      <c r="J1671" s="635">
        <f t="shared" si="57"/>
        <v>0</v>
      </c>
    </row>
    <row r="1672" spans="5:10" ht="15.75" hidden="1" thickBot="1">
      <c r="F1672" s="569">
        <v>543</v>
      </c>
      <c r="G1672" s="562" t="s">
        <v>3848</v>
      </c>
      <c r="J1672" s="635">
        <f t="shared" si="57"/>
        <v>0</v>
      </c>
    </row>
    <row r="1673" spans="5:10" ht="30.75" hidden="1" thickBot="1">
      <c r="F1673" s="569">
        <v>551</v>
      </c>
      <c r="G1673" s="562" t="s">
        <v>4182</v>
      </c>
      <c r="J1673" s="635">
        <f t="shared" si="57"/>
        <v>0</v>
      </c>
    </row>
    <row r="1674" spans="5:10" ht="15.75" hidden="1" thickBot="1">
      <c r="F1674" s="570">
        <v>611</v>
      </c>
      <c r="G1674" s="568" t="s">
        <v>3854</v>
      </c>
      <c r="J1674" s="635">
        <f t="shared" si="57"/>
        <v>0</v>
      </c>
    </row>
    <row r="1675" spans="5:10" ht="15.75" hidden="1" thickBot="1">
      <c r="F1675" s="570">
        <v>620</v>
      </c>
      <c r="G1675" s="568" t="s">
        <v>88</v>
      </c>
      <c r="J1675" s="635">
        <f t="shared" si="57"/>
        <v>0</v>
      </c>
    </row>
    <row r="1676" spans="5:10">
      <c r="E1676" s="559"/>
      <c r="F1676" s="570"/>
      <c r="G1676" s="372" t="s">
        <v>4350</v>
      </c>
      <c r="H1676" s="636"/>
      <c r="I1676" s="662"/>
      <c r="J1676" s="637"/>
    </row>
    <row r="1677" spans="5:10" ht="15.75" thickBot="1">
      <c r="E1677" s="267"/>
      <c r="F1677" s="294" t="s">
        <v>234</v>
      </c>
      <c r="G1677" s="297" t="s">
        <v>235</v>
      </c>
      <c r="H1677" s="638">
        <f>SUM(H1616:H1675)</f>
        <v>750000</v>
      </c>
      <c r="I1677" s="639"/>
      <c r="J1677" s="639">
        <f t="shared" ref="J1677:J1692" si="58">SUM(H1677:I1677)</f>
        <v>750000</v>
      </c>
    </row>
    <row r="1678" spans="5:10" ht="15.75" hidden="1" thickBot="1">
      <c r="F1678" s="294" t="s">
        <v>236</v>
      </c>
      <c r="G1678" s="297" t="s">
        <v>237</v>
      </c>
      <c r="J1678" s="639">
        <f t="shared" si="58"/>
        <v>0</v>
      </c>
    </row>
    <row r="1679" spans="5:10" ht="15.75" hidden="1" thickBot="1">
      <c r="F1679" s="294" t="s">
        <v>238</v>
      </c>
      <c r="G1679" s="297" t="s">
        <v>239</v>
      </c>
      <c r="J1679" s="639">
        <f t="shared" si="58"/>
        <v>0</v>
      </c>
    </row>
    <row r="1680" spans="5:10" ht="15.75" hidden="1" thickBot="1">
      <c r="F1680" s="294" t="s">
        <v>240</v>
      </c>
      <c r="G1680" s="297" t="s">
        <v>241</v>
      </c>
      <c r="J1680" s="639">
        <f t="shared" si="58"/>
        <v>0</v>
      </c>
    </row>
    <row r="1681" spans="5:10" ht="15.75" hidden="1" thickBot="1">
      <c r="F1681" s="294" t="s">
        <v>242</v>
      </c>
      <c r="G1681" s="297" t="s">
        <v>243</v>
      </c>
      <c r="J1681" s="639">
        <f t="shared" si="58"/>
        <v>0</v>
      </c>
    </row>
    <row r="1682" spans="5:10" ht="15.75" hidden="1" thickBot="1">
      <c r="F1682" s="294" t="s">
        <v>244</v>
      </c>
      <c r="G1682" s="297" t="s">
        <v>245</v>
      </c>
      <c r="J1682" s="639">
        <f t="shared" si="58"/>
        <v>0</v>
      </c>
    </row>
    <row r="1683" spans="5:10" ht="15.75" hidden="1" thickBot="1">
      <c r="F1683" s="294" t="s">
        <v>246</v>
      </c>
      <c r="G1683" s="683" t="s">
        <v>5121</v>
      </c>
      <c r="J1683" s="639">
        <f t="shared" si="58"/>
        <v>0</v>
      </c>
    </row>
    <row r="1684" spans="5:10" ht="15.75" hidden="1" thickBot="1">
      <c r="F1684" s="294" t="s">
        <v>247</v>
      </c>
      <c r="G1684" s="683" t="s">
        <v>5120</v>
      </c>
      <c r="J1684" s="639">
        <f t="shared" si="58"/>
        <v>0</v>
      </c>
    </row>
    <row r="1685" spans="5:10" ht="15.75" hidden="1" thickBot="1">
      <c r="F1685" s="294" t="s">
        <v>248</v>
      </c>
      <c r="G1685" s="297" t="s">
        <v>57</v>
      </c>
      <c r="J1685" s="639">
        <f t="shared" si="58"/>
        <v>0</v>
      </c>
    </row>
    <row r="1686" spans="5:10" ht="15.75" hidden="1" thickBot="1">
      <c r="F1686" s="294" t="s">
        <v>249</v>
      </c>
      <c r="G1686" s="297" t="s">
        <v>250</v>
      </c>
      <c r="J1686" s="639">
        <f t="shared" si="58"/>
        <v>0</v>
      </c>
    </row>
    <row r="1687" spans="5:10" ht="15.75" hidden="1" thickBot="1">
      <c r="F1687" s="294" t="s">
        <v>251</v>
      </c>
      <c r="G1687" s="297" t="s">
        <v>252</v>
      </c>
      <c r="J1687" s="639">
        <f t="shared" si="58"/>
        <v>0</v>
      </c>
    </row>
    <row r="1688" spans="5:10" ht="15.75" hidden="1" thickBot="1">
      <c r="F1688" s="294" t="s">
        <v>253</v>
      </c>
      <c r="G1688" s="297" t="s">
        <v>254</v>
      </c>
      <c r="J1688" s="639">
        <f t="shared" si="58"/>
        <v>0</v>
      </c>
    </row>
    <row r="1689" spans="5:10" ht="15.75" hidden="1" thickBot="1">
      <c r="F1689" s="294" t="s">
        <v>255</v>
      </c>
      <c r="G1689" s="297" t="s">
        <v>256</v>
      </c>
      <c r="J1689" s="639">
        <f t="shared" si="58"/>
        <v>0</v>
      </c>
    </row>
    <row r="1690" spans="5:10" ht="15.75" hidden="1" thickBot="1">
      <c r="F1690" s="294" t="s">
        <v>257</v>
      </c>
      <c r="G1690" s="297" t="s">
        <v>258</v>
      </c>
      <c r="J1690" s="639">
        <f t="shared" si="58"/>
        <v>0</v>
      </c>
    </row>
    <row r="1691" spans="5:10" ht="15.75" hidden="1" thickBot="1">
      <c r="F1691" s="294" t="s">
        <v>259</v>
      </c>
      <c r="G1691" s="297" t="s">
        <v>260</v>
      </c>
      <c r="J1691" s="639">
        <f t="shared" si="58"/>
        <v>0</v>
      </c>
    </row>
    <row r="1692" spans="5:10" ht="15.75" hidden="1" thickBot="1">
      <c r="F1692" s="294" t="s">
        <v>261</v>
      </c>
      <c r="G1692" s="297" t="s">
        <v>262</v>
      </c>
      <c r="H1692" s="638"/>
      <c r="I1692" s="639"/>
      <c r="J1692" s="639">
        <f t="shared" si="58"/>
        <v>0</v>
      </c>
    </row>
    <row r="1693" spans="5:10" ht="15.75" thickBot="1">
      <c r="G1693" s="274" t="s">
        <v>4351</v>
      </c>
      <c r="H1693" s="640">
        <f>SUM(H1677:H1692)</f>
        <v>750000</v>
      </c>
      <c r="I1693" s="641">
        <f>SUM(I1678:I1692)</f>
        <v>0</v>
      </c>
      <c r="J1693" s="641">
        <f>SUM(J1677:J1692)</f>
        <v>750000</v>
      </c>
    </row>
    <row r="1694" spans="5:10" collapsed="1">
      <c r="E1694" s="559"/>
      <c r="F1694" s="570"/>
      <c r="G1694" s="276" t="s">
        <v>5175</v>
      </c>
      <c r="H1694" s="642"/>
      <c r="I1694" s="663"/>
      <c r="J1694" s="643"/>
    </row>
    <row r="1695" spans="5:10" ht="15.75" thickBot="1">
      <c r="E1695" s="267"/>
      <c r="F1695" s="294" t="s">
        <v>234</v>
      </c>
      <c r="G1695" s="297" t="s">
        <v>235</v>
      </c>
      <c r="H1695" s="638">
        <f>SUM(H1616:H1675)</f>
        <v>750000</v>
      </c>
      <c r="I1695" s="639"/>
      <c r="J1695" s="639">
        <f>SUM(H1695:I1695)</f>
        <v>750000</v>
      </c>
    </row>
    <row r="1696" spans="5:10" ht="15.75" hidden="1" thickBot="1">
      <c r="F1696" s="294" t="s">
        <v>236</v>
      </c>
      <c r="G1696" s="297" t="s">
        <v>237</v>
      </c>
      <c r="J1696" s="639">
        <f t="shared" ref="J1696:J1710" si="59">SUM(H1696:I1696)</f>
        <v>0</v>
      </c>
    </row>
    <row r="1697" spans="6:10" ht="15.75" hidden="1" thickBot="1">
      <c r="F1697" s="294" t="s">
        <v>238</v>
      </c>
      <c r="G1697" s="297" t="s">
        <v>239</v>
      </c>
      <c r="J1697" s="639">
        <f t="shared" si="59"/>
        <v>0</v>
      </c>
    </row>
    <row r="1698" spans="6:10" ht="15.75" hidden="1" thickBot="1">
      <c r="F1698" s="294" t="s">
        <v>240</v>
      </c>
      <c r="G1698" s="297" t="s">
        <v>241</v>
      </c>
      <c r="J1698" s="639">
        <f t="shared" si="59"/>
        <v>0</v>
      </c>
    </row>
    <row r="1699" spans="6:10" ht="15.75" hidden="1" thickBot="1">
      <c r="F1699" s="294" t="s">
        <v>242</v>
      </c>
      <c r="G1699" s="297" t="s">
        <v>243</v>
      </c>
      <c r="J1699" s="639">
        <f t="shared" si="59"/>
        <v>0</v>
      </c>
    </row>
    <row r="1700" spans="6:10" ht="15.75" hidden="1" thickBot="1">
      <c r="F1700" s="294" t="s">
        <v>244</v>
      </c>
      <c r="G1700" s="297" t="s">
        <v>245</v>
      </c>
      <c r="J1700" s="639">
        <f t="shared" si="59"/>
        <v>0</v>
      </c>
    </row>
    <row r="1701" spans="6:10" ht="15.75" hidden="1" thickBot="1">
      <c r="F1701" s="294" t="s">
        <v>246</v>
      </c>
      <c r="G1701" s="683" t="s">
        <v>5121</v>
      </c>
      <c r="J1701" s="639">
        <f t="shared" si="59"/>
        <v>0</v>
      </c>
    </row>
    <row r="1702" spans="6:10" ht="15.75" hidden="1" thickBot="1">
      <c r="F1702" s="294" t="s">
        <v>247</v>
      </c>
      <c r="G1702" s="683" t="s">
        <v>5120</v>
      </c>
      <c r="J1702" s="639">
        <f t="shared" si="59"/>
        <v>0</v>
      </c>
    </row>
    <row r="1703" spans="6:10" ht="15.75" hidden="1" thickBot="1">
      <c r="F1703" s="294" t="s">
        <v>248</v>
      </c>
      <c r="G1703" s="297" t="s">
        <v>57</v>
      </c>
      <c r="J1703" s="639">
        <f t="shared" si="59"/>
        <v>0</v>
      </c>
    </row>
    <row r="1704" spans="6:10" ht="15.75" hidden="1" thickBot="1">
      <c r="F1704" s="294" t="s">
        <v>249</v>
      </c>
      <c r="G1704" s="297" t="s">
        <v>250</v>
      </c>
      <c r="J1704" s="639">
        <f t="shared" si="59"/>
        <v>0</v>
      </c>
    </row>
    <row r="1705" spans="6:10" ht="15.75" hidden="1" thickBot="1">
      <c r="F1705" s="294" t="s">
        <v>251</v>
      </c>
      <c r="G1705" s="297" t="s">
        <v>252</v>
      </c>
      <c r="J1705" s="639">
        <f t="shared" si="59"/>
        <v>0</v>
      </c>
    </row>
    <row r="1706" spans="6:10" ht="15.75" hidden="1" thickBot="1">
      <c r="F1706" s="294" t="s">
        <v>253</v>
      </c>
      <c r="G1706" s="297" t="s">
        <v>254</v>
      </c>
      <c r="J1706" s="639">
        <f t="shared" si="59"/>
        <v>0</v>
      </c>
    </row>
    <row r="1707" spans="6:10" ht="15.75" hidden="1" thickBot="1">
      <c r="F1707" s="294" t="s">
        <v>255</v>
      </c>
      <c r="G1707" s="297" t="s">
        <v>256</v>
      </c>
      <c r="J1707" s="639">
        <f t="shared" si="59"/>
        <v>0</v>
      </c>
    </row>
    <row r="1708" spans="6:10" ht="15.75" hidden="1" thickBot="1">
      <c r="F1708" s="294" t="s">
        <v>257</v>
      </c>
      <c r="G1708" s="297" t="s">
        <v>258</v>
      </c>
      <c r="J1708" s="639">
        <f t="shared" si="59"/>
        <v>0</v>
      </c>
    </row>
    <row r="1709" spans="6:10" ht="15.75" hidden="1" thickBot="1">
      <c r="F1709" s="294" t="s">
        <v>259</v>
      </c>
      <c r="G1709" s="297" t="s">
        <v>260</v>
      </c>
      <c r="J1709" s="639">
        <f t="shared" si="59"/>
        <v>0</v>
      </c>
    </row>
    <row r="1710" spans="6:10" ht="15.75" hidden="1" thickBot="1">
      <c r="F1710" s="294" t="s">
        <v>261</v>
      </c>
      <c r="G1710" s="297" t="s">
        <v>262</v>
      </c>
      <c r="H1710" s="638"/>
      <c r="I1710" s="639"/>
      <c r="J1710" s="639">
        <f t="shared" si="59"/>
        <v>0</v>
      </c>
    </row>
    <row r="1711" spans="6:10" ht="15.75" collapsed="1" thickBot="1">
      <c r="G1711" s="274" t="s">
        <v>5259</v>
      </c>
      <c r="H1711" s="640">
        <f>SUM(H1695:H1710)</f>
        <v>750000</v>
      </c>
      <c r="I1711" s="641">
        <f>SUM(I1696:I1710)</f>
        <v>0</v>
      </c>
      <c r="J1711" s="641">
        <f>SUM(J1695:J1710)</f>
        <v>750000</v>
      </c>
    </row>
    <row r="1712" spans="6:10" ht="6" customHeight="1">
      <c r="G1712" s="331"/>
      <c r="H1712" s="644"/>
      <c r="I1712" s="645"/>
      <c r="J1712" s="645"/>
    </row>
    <row r="1713" spans="3:10">
      <c r="C1713" s="273" t="s">
        <v>4640</v>
      </c>
      <c r="D1713" s="264"/>
      <c r="G1713" s="553" t="s">
        <v>5263</v>
      </c>
    </row>
    <row r="1714" spans="3:10">
      <c r="C1714" s="273"/>
      <c r="D1714" s="373">
        <v>620</v>
      </c>
      <c r="E1714" s="374"/>
      <c r="F1714" s="374"/>
      <c r="G1714" s="375" t="s">
        <v>135</v>
      </c>
    </row>
    <row r="1715" spans="3:10" hidden="1">
      <c r="F1715" s="569">
        <v>411</v>
      </c>
      <c r="G1715" s="562" t="s">
        <v>4173</v>
      </c>
      <c r="J1715" s="635">
        <f>SUM(H1715:I1715)</f>
        <v>0</v>
      </c>
    </row>
    <row r="1716" spans="3:10" hidden="1">
      <c r="F1716" s="569">
        <v>412</v>
      </c>
      <c r="G1716" s="558" t="s">
        <v>3770</v>
      </c>
      <c r="J1716" s="635">
        <f t="shared" ref="J1716:J1774" si="60">SUM(H1716:I1716)</f>
        <v>0</v>
      </c>
    </row>
    <row r="1717" spans="3:10" hidden="1">
      <c r="F1717" s="569">
        <v>413</v>
      </c>
      <c r="G1717" s="562" t="s">
        <v>4174</v>
      </c>
      <c r="J1717" s="635">
        <f t="shared" si="60"/>
        <v>0</v>
      </c>
    </row>
    <row r="1718" spans="3:10" hidden="1">
      <c r="F1718" s="569">
        <v>414</v>
      </c>
      <c r="G1718" s="562" t="s">
        <v>3773</v>
      </c>
      <c r="J1718" s="635">
        <f t="shared" si="60"/>
        <v>0</v>
      </c>
    </row>
    <row r="1719" spans="3:10" hidden="1">
      <c r="F1719" s="569">
        <v>415</v>
      </c>
      <c r="G1719" s="562" t="s">
        <v>4183</v>
      </c>
      <c r="J1719" s="635">
        <f t="shared" si="60"/>
        <v>0</v>
      </c>
    </row>
    <row r="1720" spans="3:10" hidden="1">
      <c r="F1720" s="569">
        <v>416</v>
      </c>
      <c r="G1720" s="562" t="s">
        <v>4184</v>
      </c>
      <c r="J1720" s="635">
        <f t="shared" si="60"/>
        <v>0</v>
      </c>
    </row>
    <row r="1721" spans="3:10" hidden="1">
      <c r="F1721" s="569">
        <v>417</v>
      </c>
      <c r="G1721" s="562" t="s">
        <v>4185</v>
      </c>
      <c r="J1721" s="635">
        <f t="shared" si="60"/>
        <v>0</v>
      </c>
    </row>
    <row r="1722" spans="3:10" hidden="1">
      <c r="F1722" s="569">
        <v>418</v>
      </c>
      <c r="G1722" s="562" t="s">
        <v>3779</v>
      </c>
      <c r="J1722" s="635">
        <f t="shared" si="60"/>
        <v>0</v>
      </c>
    </row>
    <row r="1723" spans="3:10" hidden="1">
      <c r="F1723" s="569">
        <v>421</v>
      </c>
      <c r="G1723" s="562" t="s">
        <v>3783</v>
      </c>
      <c r="J1723" s="635">
        <f t="shared" si="60"/>
        <v>0</v>
      </c>
    </row>
    <row r="1724" spans="3:10" hidden="1">
      <c r="F1724" s="569">
        <v>422</v>
      </c>
      <c r="G1724" s="562" t="s">
        <v>3784</v>
      </c>
      <c r="J1724" s="635">
        <f t="shared" si="60"/>
        <v>0</v>
      </c>
    </row>
    <row r="1725" spans="3:10" hidden="1">
      <c r="F1725" s="569">
        <v>423</v>
      </c>
      <c r="G1725" s="562" t="s">
        <v>3785</v>
      </c>
      <c r="J1725" s="635">
        <f t="shared" si="60"/>
        <v>0</v>
      </c>
    </row>
    <row r="1726" spans="3:10" hidden="1">
      <c r="F1726" s="569">
        <v>424</v>
      </c>
      <c r="G1726" s="562" t="s">
        <v>3787</v>
      </c>
      <c r="J1726" s="635">
        <f t="shared" si="60"/>
        <v>0</v>
      </c>
    </row>
    <row r="1727" spans="3:10" hidden="1">
      <c r="F1727" s="569">
        <v>425</v>
      </c>
      <c r="G1727" s="562" t="s">
        <v>4186</v>
      </c>
      <c r="J1727" s="635">
        <f t="shared" si="60"/>
        <v>0</v>
      </c>
    </row>
    <row r="1728" spans="3:10" hidden="1">
      <c r="F1728" s="569">
        <v>426</v>
      </c>
      <c r="G1728" s="562" t="s">
        <v>3791</v>
      </c>
      <c r="J1728" s="635">
        <f t="shared" si="60"/>
        <v>0</v>
      </c>
    </row>
    <row r="1729" spans="6:10" hidden="1">
      <c r="F1729" s="569">
        <v>431</v>
      </c>
      <c r="G1729" s="562" t="s">
        <v>4187</v>
      </c>
      <c r="J1729" s="635">
        <f t="shared" si="60"/>
        <v>0</v>
      </c>
    </row>
    <row r="1730" spans="6:10" hidden="1">
      <c r="F1730" s="569">
        <v>432</v>
      </c>
      <c r="G1730" s="562" t="s">
        <v>4188</v>
      </c>
      <c r="J1730" s="635">
        <f t="shared" si="60"/>
        <v>0</v>
      </c>
    </row>
    <row r="1731" spans="6:10" hidden="1">
      <c r="F1731" s="569">
        <v>433</v>
      </c>
      <c r="G1731" s="562" t="s">
        <v>4189</v>
      </c>
      <c r="J1731" s="635">
        <f t="shared" si="60"/>
        <v>0</v>
      </c>
    </row>
    <row r="1732" spans="6:10" hidden="1">
      <c r="F1732" s="569">
        <v>434</v>
      </c>
      <c r="G1732" s="562" t="s">
        <v>4190</v>
      </c>
      <c r="J1732" s="635">
        <f t="shared" si="60"/>
        <v>0</v>
      </c>
    </row>
    <row r="1733" spans="6:10" hidden="1">
      <c r="F1733" s="569">
        <v>435</v>
      </c>
      <c r="G1733" s="562" t="s">
        <v>3798</v>
      </c>
      <c r="J1733" s="635">
        <f t="shared" si="60"/>
        <v>0</v>
      </c>
    </row>
    <row r="1734" spans="6:10" hidden="1">
      <c r="F1734" s="569">
        <v>441</v>
      </c>
      <c r="G1734" s="562" t="s">
        <v>4191</v>
      </c>
      <c r="J1734" s="635">
        <f t="shared" si="60"/>
        <v>0</v>
      </c>
    </row>
    <row r="1735" spans="6:10" hidden="1">
      <c r="F1735" s="569">
        <v>442</v>
      </c>
      <c r="G1735" s="562" t="s">
        <v>4192</v>
      </c>
      <c r="J1735" s="635">
        <f t="shared" si="60"/>
        <v>0</v>
      </c>
    </row>
    <row r="1736" spans="6:10" hidden="1">
      <c r="F1736" s="569">
        <v>443</v>
      </c>
      <c r="G1736" s="562" t="s">
        <v>3803</v>
      </c>
      <c r="J1736" s="635">
        <f t="shared" si="60"/>
        <v>0</v>
      </c>
    </row>
    <row r="1737" spans="6:10" hidden="1">
      <c r="F1737" s="569">
        <v>444</v>
      </c>
      <c r="G1737" s="562" t="s">
        <v>3804</v>
      </c>
      <c r="J1737" s="635">
        <f t="shared" si="60"/>
        <v>0</v>
      </c>
    </row>
    <row r="1738" spans="6:10" ht="30" hidden="1">
      <c r="F1738" s="569">
        <v>4511</v>
      </c>
      <c r="G1738" s="268" t="s">
        <v>1690</v>
      </c>
      <c r="J1738" s="635">
        <f t="shared" si="60"/>
        <v>0</v>
      </c>
    </row>
    <row r="1739" spans="6:10" ht="30" hidden="1">
      <c r="F1739" s="569">
        <v>4512</v>
      </c>
      <c r="G1739" s="268" t="s">
        <v>1699</v>
      </c>
      <c r="J1739" s="635">
        <f t="shared" si="60"/>
        <v>0</v>
      </c>
    </row>
    <row r="1740" spans="6:10" hidden="1">
      <c r="F1740" s="569">
        <v>452</v>
      </c>
      <c r="G1740" s="562" t="s">
        <v>4193</v>
      </c>
      <c r="J1740" s="635">
        <f t="shared" si="60"/>
        <v>0</v>
      </c>
    </row>
    <row r="1741" spans="6:10" hidden="1">
      <c r="F1741" s="569">
        <v>453</v>
      </c>
      <c r="G1741" s="562" t="s">
        <v>4194</v>
      </c>
      <c r="J1741" s="635">
        <f t="shared" si="60"/>
        <v>0</v>
      </c>
    </row>
    <row r="1742" spans="6:10" hidden="1">
      <c r="F1742" s="569">
        <v>454</v>
      </c>
      <c r="G1742" s="562" t="s">
        <v>3809</v>
      </c>
      <c r="J1742" s="635">
        <f t="shared" si="60"/>
        <v>0</v>
      </c>
    </row>
    <row r="1743" spans="6:10" hidden="1">
      <c r="F1743" s="569">
        <v>461</v>
      </c>
      <c r="G1743" s="562" t="s">
        <v>4175</v>
      </c>
      <c r="J1743" s="635">
        <f t="shared" si="60"/>
        <v>0</v>
      </c>
    </row>
    <row r="1744" spans="6:10" hidden="1">
      <c r="F1744" s="569">
        <v>462</v>
      </c>
      <c r="G1744" s="562" t="s">
        <v>3812</v>
      </c>
      <c r="J1744" s="635">
        <f t="shared" si="60"/>
        <v>0</v>
      </c>
    </row>
    <row r="1745" spans="5:10" hidden="1">
      <c r="F1745" s="569">
        <v>511</v>
      </c>
      <c r="G1745" s="562" t="s">
        <v>4200</v>
      </c>
      <c r="J1745" s="635">
        <f t="shared" si="60"/>
        <v>0</v>
      </c>
    </row>
    <row r="1746" spans="5:10" hidden="1">
      <c r="F1746" s="569">
        <v>4632</v>
      </c>
      <c r="G1746" s="562" t="s">
        <v>3814</v>
      </c>
      <c r="J1746" s="635">
        <f t="shared" si="60"/>
        <v>0</v>
      </c>
    </row>
    <row r="1747" spans="5:10" hidden="1">
      <c r="F1747" s="569">
        <v>464</v>
      </c>
      <c r="G1747" s="562" t="s">
        <v>3815</v>
      </c>
      <c r="J1747" s="635">
        <f t="shared" si="60"/>
        <v>0</v>
      </c>
    </row>
    <row r="1748" spans="5:10" hidden="1">
      <c r="F1748" s="569">
        <v>465</v>
      </c>
      <c r="G1748" s="562" t="s">
        <v>4176</v>
      </c>
      <c r="J1748" s="635">
        <f t="shared" si="60"/>
        <v>0</v>
      </c>
    </row>
    <row r="1749" spans="5:10" hidden="1">
      <c r="F1749" s="569">
        <v>472</v>
      </c>
      <c r="G1749" s="562" t="s">
        <v>3819</v>
      </c>
      <c r="J1749" s="635">
        <f t="shared" si="60"/>
        <v>0</v>
      </c>
    </row>
    <row r="1750" spans="5:10" hidden="1">
      <c r="F1750" s="569">
        <v>481</v>
      </c>
      <c r="G1750" s="562" t="s">
        <v>4195</v>
      </c>
      <c r="J1750" s="635">
        <f t="shared" si="60"/>
        <v>0</v>
      </c>
    </row>
    <row r="1751" spans="5:10" hidden="1">
      <c r="F1751" s="569">
        <v>482</v>
      </c>
      <c r="G1751" s="562" t="s">
        <v>4196</v>
      </c>
      <c r="J1751" s="635">
        <f t="shared" si="60"/>
        <v>0</v>
      </c>
    </row>
    <row r="1752" spans="5:10" hidden="1">
      <c r="F1752" s="569">
        <v>483</v>
      </c>
      <c r="G1752" s="566" t="s">
        <v>4197</v>
      </c>
      <c r="J1752" s="635">
        <f t="shared" si="60"/>
        <v>0</v>
      </c>
    </row>
    <row r="1753" spans="5:10" ht="30" hidden="1">
      <c r="F1753" s="569">
        <v>484</v>
      </c>
      <c r="G1753" s="562" t="s">
        <v>4198</v>
      </c>
      <c r="J1753" s="635">
        <f t="shared" si="60"/>
        <v>0</v>
      </c>
    </row>
    <row r="1754" spans="5:10" ht="30" hidden="1">
      <c r="F1754" s="569">
        <v>485</v>
      </c>
      <c r="G1754" s="562" t="s">
        <v>4199</v>
      </c>
      <c r="J1754" s="635">
        <f t="shared" si="60"/>
        <v>0</v>
      </c>
    </row>
    <row r="1755" spans="5:10" ht="30" hidden="1">
      <c r="F1755" s="569">
        <v>489</v>
      </c>
      <c r="G1755" s="562" t="s">
        <v>3827</v>
      </c>
      <c r="J1755" s="635">
        <f t="shared" si="60"/>
        <v>0</v>
      </c>
    </row>
    <row r="1756" spans="5:10" hidden="1">
      <c r="F1756" s="569">
        <v>494</v>
      </c>
      <c r="G1756" s="562" t="s">
        <v>4177</v>
      </c>
      <c r="J1756" s="635">
        <f t="shared" si="60"/>
        <v>0</v>
      </c>
    </row>
    <row r="1757" spans="5:10" ht="30" hidden="1">
      <c r="F1757" s="569">
        <v>495</v>
      </c>
      <c r="G1757" s="562" t="s">
        <v>4178</v>
      </c>
      <c r="J1757" s="635">
        <f t="shared" si="60"/>
        <v>0</v>
      </c>
    </row>
    <row r="1758" spans="5:10" ht="30" hidden="1">
      <c r="F1758" s="569">
        <v>496</v>
      </c>
      <c r="G1758" s="562" t="s">
        <v>4179</v>
      </c>
      <c r="J1758" s="635">
        <f t="shared" si="60"/>
        <v>0</v>
      </c>
    </row>
    <row r="1759" spans="5:10" hidden="1">
      <c r="F1759" s="569">
        <v>499</v>
      </c>
      <c r="G1759" s="562" t="s">
        <v>4180</v>
      </c>
      <c r="J1759" s="635">
        <f t="shared" si="60"/>
        <v>0</v>
      </c>
    </row>
    <row r="1760" spans="5:10" ht="15.75" thickBot="1">
      <c r="E1760" s="263">
        <v>54</v>
      </c>
      <c r="F1760" s="569">
        <v>511</v>
      </c>
      <c r="G1760" s="566" t="s">
        <v>4200</v>
      </c>
      <c r="H1760" s="634">
        <v>10700000</v>
      </c>
      <c r="J1760" s="635">
        <f t="shared" si="60"/>
        <v>10700000</v>
      </c>
    </row>
    <row r="1761" spans="5:10" hidden="1">
      <c r="F1761" s="569">
        <v>512</v>
      </c>
      <c r="G1761" s="566" t="s">
        <v>4201</v>
      </c>
      <c r="J1761" s="635">
        <f t="shared" si="60"/>
        <v>0</v>
      </c>
    </row>
    <row r="1762" spans="5:10" hidden="1">
      <c r="F1762" s="569">
        <v>513</v>
      </c>
      <c r="G1762" s="566" t="s">
        <v>4202</v>
      </c>
      <c r="J1762" s="635">
        <f t="shared" si="60"/>
        <v>0</v>
      </c>
    </row>
    <row r="1763" spans="5:10" hidden="1">
      <c r="F1763" s="569">
        <v>514</v>
      </c>
      <c r="G1763" s="562" t="s">
        <v>4203</v>
      </c>
      <c r="J1763" s="635">
        <f t="shared" si="60"/>
        <v>0</v>
      </c>
    </row>
    <row r="1764" spans="5:10" hidden="1">
      <c r="F1764" s="569">
        <v>515</v>
      </c>
      <c r="G1764" s="562" t="s">
        <v>3838</v>
      </c>
      <c r="J1764" s="635">
        <f t="shared" si="60"/>
        <v>0</v>
      </c>
    </row>
    <row r="1765" spans="5:10" hidden="1">
      <c r="F1765" s="569">
        <v>521</v>
      </c>
      <c r="G1765" s="562" t="s">
        <v>4204</v>
      </c>
      <c r="J1765" s="635">
        <f t="shared" si="60"/>
        <v>0</v>
      </c>
    </row>
    <row r="1766" spans="5:10" hidden="1">
      <c r="F1766" s="569">
        <v>522</v>
      </c>
      <c r="G1766" s="562" t="s">
        <v>4205</v>
      </c>
      <c r="J1766" s="635">
        <f t="shared" si="60"/>
        <v>0</v>
      </c>
    </row>
    <row r="1767" spans="5:10" hidden="1">
      <c r="F1767" s="569">
        <v>523</v>
      </c>
      <c r="G1767" s="562" t="s">
        <v>3843</v>
      </c>
      <c r="J1767" s="635">
        <f t="shared" si="60"/>
        <v>0</v>
      </c>
    </row>
    <row r="1768" spans="5:10" hidden="1">
      <c r="F1768" s="569">
        <v>531</v>
      </c>
      <c r="G1768" s="558" t="s">
        <v>4181</v>
      </c>
      <c r="J1768" s="635">
        <f t="shared" si="60"/>
        <v>0</v>
      </c>
    </row>
    <row r="1769" spans="5:10" hidden="1">
      <c r="F1769" s="569">
        <v>541</v>
      </c>
      <c r="G1769" s="562" t="s">
        <v>4206</v>
      </c>
      <c r="J1769" s="635">
        <f t="shared" si="60"/>
        <v>0</v>
      </c>
    </row>
    <row r="1770" spans="5:10" hidden="1">
      <c r="F1770" s="569">
        <v>542</v>
      </c>
      <c r="G1770" s="562" t="s">
        <v>4207</v>
      </c>
      <c r="J1770" s="635">
        <f t="shared" si="60"/>
        <v>0</v>
      </c>
    </row>
    <row r="1771" spans="5:10" hidden="1">
      <c r="F1771" s="569">
        <v>543</v>
      </c>
      <c r="G1771" s="562" t="s">
        <v>3848</v>
      </c>
      <c r="J1771" s="635">
        <f t="shared" si="60"/>
        <v>0</v>
      </c>
    </row>
    <row r="1772" spans="5:10" ht="30" hidden="1">
      <c r="F1772" s="569">
        <v>551</v>
      </c>
      <c r="G1772" s="562" t="s">
        <v>4182</v>
      </c>
      <c r="J1772" s="635">
        <f t="shared" si="60"/>
        <v>0</v>
      </c>
    </row>
    <row r="1773" spans="5:10" hidden="1">
      <c r="F1773" s="570">
        <v>611</v>
      </c>
      <c r="G1773" s="568" t="s">
        <v>3854</v>
      </c>
      <c r="J1773" s="635">
        <f t="shared" si="60"/>
        <v>0</v>
      </c>
    </row>
    <row r="1774" spans="5:10" ht="15.75" hidden="1" thickBot="1">
      <c r="F1774" s="570">
        <v>620</v>
      </c>
      <c r="G1774" s="568" t="s">
        <v>88</v>
      </c>
      <c r="J1774" s="635">
        <f t="shared" si="60"/>
        <v>0</v>
      </c>
    </row>
    <row r="1775" spans="5:10">
      <c r="E1775" s="559"/>
      <c r="F1775" s="570"/>
      <c r="G1775" s="372" t="s">
        <v>4350</v>
      </c>
      <c r="H1775" s="636"/>
      <c r="I1775" s="662"/>
      <c r="J1775" s="637"/>
    </row>
    <row r="1776" spans="5:10" ht="15.75" thickBot="1">
      <c r="E1776" s="267"/>
      <c r="F1776" s="682" t="s">
        <v>234</v>
      </c>
      <c r="G1776" s="683" t="s">
        <v>235</v>
      </c>
      <c r="H1776" s="638">
        <f>SUM(H1715:H1774)</f>
        <v>10700000</v>
      </c>
      <c r="I1776" s="639"/>
      <c r="J1776" s="639">
        <f t="shared" ref="J1776:J1791" si="61">SUM(H1776:I1776)</f>
        <v>10700000</v>
      </c>
    </row>
    <row r="1777" spans="6:10" hidden="1">
      <c r="F1777" s="682" t="s">
        <v>236</v>
      </c>
      <c r="G1777" s="683" t="s">
        <v>237</v>
      </c>
      <c r="J1777" s="639">
        <f t="shared" si="61"/>
        <v>0</v>
      </c>
    </row>
    <row r="1778" spans="6:10" hidden="1">
      <c r="F1778" s="682" t="s">
        <v>238</v>
      </c>
      <c r="G1778" s="683" t="s">
        <v>239</v>
      </c>
      <c r="J1778" s="639">
        <f t="shared" si="61"/>
        <v>0</v>
      </c>
    </row>
    <row r="1779" spans="6:10" hidden="1">
      <c r="F1779" s="682" t="s">
        <v>240</v>
      </c>
      <c r="G1779" s="683" t="s">
        <v>241</v>
      </c>
      <c r="J1779" s="639">
        <f t="shared" si="61"/>
        <v>0</v>
      </c>
    </row>
    <row r="1780" spans="6:10" hidden="1">
      <c r="F1780" s="682" t="s">
        <v>242</v>
      </c>
      <c r="G1780" s="683" t="s">
        <v>243</v>
      </c>
      <c r="J1780" s="639">
        <f t="shared" si="61"/>
        <v>0</v>
      </c>
    </row>
    <row r="1781" spans="6:10" hidden="1">
      <c r="F1781" s="682" t="s">
        <v>244</v>
      </c>
      <c r="G1781" s="683" t="s">
        <v>245</v>
      </c>
      <c r="J1781" s="639">
        <f t="shared" si="61"/>
        <v>0</v>
      </c>
    </row>
    <row r="1782" spans="6:10" hidden="1">
      <c r="F1782" s="682" t="s">
        <v>246</v>
      </c>
      <c r="G1782" s="683" t="s">
        <v>5121</v>
      </c>
      <c r="J1782" s="639">
        <f t="shared" si="61"/>
        <v>0</v>
      </c>
    </row>
    <row r="1783" spans="6:10" hidden="1">
      <c r="F1783" s="682" t="s">
        <v>247</v>
      </c>
      <c r="G1783" s="683" t="s">
        <v>5120</v>
      </c>
      <c r="J1783" s="639">
        <f t="shared" si="61"/>
        <v>0</v>
      </c>
    </row>
    <row r="1784" spans="6:10" hidden="1">
      <c r="F1784" s="682" t="s">
        <v>248</v>
      </c>
      <c r="G1784" s="683" t="s">
        <v>57</v>
      </c>
      <c r="J1784" s="639">
        <f t="shared" si="61"/>
        <v>0</v>
      </c>
    </row>
    <row r="1785" spans="6:10" hidden="1">
      <c r="F1785" s="682" t="s">
        <v>249</v>
      </c>
      <c r="G1785" s="683" t="s">
        <v>250</v>
      </c>
      <c r="J1785" s="639">
        <f t="shared" si="61"/>
        <v>0</v>
      </c>
    </row>
    <row r="1786" spans="6:10" hidden="1">
      <c r="F1786" s="682" t="s">
        <v>251</v>
      </c>
      <c r="G1786" s="683" t="s">
        <v>252</v>
      </c>
      <c r="J1786" s="639">
        <f t="shared" si="61"/>
        <v>0</v>
      </c>
    </row>
    <row r="1787" spans="6:10" hidden="1">
      <c r="F1787" s="682" t="s">
        <v>253</v>
      </c>
      <c r="G1787" s="683" t="s">
        <v>254</v>
      </c>
      <c r="J1787" s="639">
        <f t="shared" si="61"/>
        <v>0</v>
      </c>
    </row>
    <row r="1788" spans="6:10" hidden="1">
      <c r="F1788" s="682" t="s">
        <v>255</v>
      </c>
      <c r="G1788" s="683" t="s">
        <v>256</v>
      </c>
      <c r="J1788" s="639">
        <f t="shared" si="61"/>
        <v>0</v>
      </c>
    </row>
    <row r="1789" spans="6:10" hidden="1">
      <c r="F1789" s="682" t="s">
        <v>257</v>
      </c>
      <c r="G1789" s="683" t="s">
        <v>258</v>
      </c>
      <c r="J1789" s="639">
        <f t="shared" si="61"/>
        <v>0</v>
      </c>
    </row>
    <row r="1790" spans="6:10" hidden="1">
      <c r="F1790" s="682" t="s">
        <v>259</v>
      </c>
      <c r="G1790" s="683" t="s">
        <v>260</v>
      </c>
      <c r="J1790" s="639">
        <f t="shared" si="61"/>
        <v>0</v>
      </c>
    </row>
    <row r="1791" spans="6:10" ht="15.75" hidden="1" thickBot="1">
      <c r="F1791" s="682" t="s">
        <v>261</v>
      </c>
      <c r="G1791" s="683" t="s">
        <v>262</v>
      </c>
      <c r="H1791" s="638"/>
      <c r="I1791" s="639"/>
      <c r="J1791" s="639">
        <f t="shared" si="61"/>
        <v>0</v>
      </c>
    </row>
    <row r="1792" spans="6:10" ht="15.75" thickBot="1">
      <c r="G1792" s="274" t="s">
        <v>4351</v>
      </c>
      <c r="H1792" s="640">
        <f>SUM(H1776:H1791)</f>
        <v>10700000</v>
      </c>
      <c r="I1792" s="641">
        <f>SUM(I1777:I1791)</f>
        <v>0</v>
      </c>
      <c r="J1792" s="641">
        <f>SUM(J1776:J1791)</f>
        <v>10700000</v>
      </c>
    </row>
    <row r="1793" spans="5:10">
      <c r="E1793" s="559"/>
      <c r="F1793" s="570"/>
      <c r="G1793" s="276" t="s">
        <v>5176</v>
      </c>
      <c r="H1793" s="642"/>
      <c r="I1793" s="663"/>
      <c r="J1793" s="643"/>
    </row>
    <row r="1794" spans="5:10" ht="15.75" thickBot="1">
      <c r="E1794" s="267"/>
      <c r="F1794" s="682" t="s">
        <v>234</v>
      </c>
      <c r="G1794" s="683" t="s">
        <v>235</v>
      </c>
      <c r="H1794" s="638">
        <f>SUM(H1715:H1774)</f>
        <v>10700000</v>
      </c>
      <c r="I1794" s="639"/>
      <c r="J1794" s="639">
        <f>SUM(H1794:I1794)</f>
        <v>10700000</v>
      </c>
    </row>
    <row r="1795" spans="5:10" hidden="1">
      <c r="F1795" s="682" t="s">
        <v>236</v>
      </c>
      <c r="G1795" s="683" t="s">
        <v>237</v>
      </c>
      <c r="J1795" s="639">
        <f t="shared" ref="J1795:J1809" si="62">SUM(H1795:I1795)</f>
        <v>0</v>
      </c>
    </row>
    <row r="1796" spans="5:10" hidden="1">
      <c r="F1796" s="682" t="s">
        <v>238</v>
      </c>
      <c r="G1796" s="683" t="s">
        <v>239</v>
      </c>
      <c r="J1796" s="639">
        <f t="shared" si="62"/>
        <v>0</v>
      </c>
    </row>
    <row r="1797" spans="5:10" hidden="1">
      <c r="F1797" s="682" t="s">
        <v>240</v>
      </c>
      <c r="G1797" s="683" t="s">
        <v>241</v>
      </c>
      <c r="J1797" s="639">
        <f t="shared" si="62"/>
        <v>0</v>
      </c>
    </row>
    <row r="1798" spans="5:10" hidden="1">
      <c r="F1798" s="682" t="s">
        <v>242</v>
      </c>
      <c r="G1798" s="683" t="s">
        <v>243</v>
      </c>
      <c r="J1798" s="639">
        <f t="shared" si="62"/>
        <v>0</v>
      </c>
    </row>
    <row r="1799" spans="5:10" hidden="1">
      <c r="F1799" s="682" t="s">
        <v>244</v>
      </c>
      <c r="G1799" s="683" t="s">
        <v>245</v>
      </c>
      <c r="J1799" s="639">
        <f t="shared" si="62"/>
        <v>0</v>
      </c>
    </row>
    <row r="1800" spans="5:10" hidden="1">
      <c r="F1800" s="682" t="s">
        <v>246</v>
      </c>
      <c r="G1800" s="683" t="s">
        <v>5121</v>
      </c>
      <c r="J1800" s="639">
        <f t="shared" si="62"/>
        <v>0</v>
      </c>
    </row>
    <row r="1801" spans="5:10" hidden="1">
      <c r="F1801" s="682" t="s">
        <v>247</v>
      </c>
      <c r="G1801" s="683" t="s">
        <v>5120</v>
      </c>
      <c r="J1801" s="639">
        <f t="shared" si="62"/>
        <v>0</v>
      </c>
    </row>
    <row r="1802" spans="5:10" hidden="1">
      <c r="F1802" s="682" t="s">
        <v>248</v>
      </c>
      <c r="G1802" s="683" t="s">
        <v>57</v>
      </c>
      <c r="J1802" s="639">
        <f t="shared" si="62"/>
        <v>0</v>
      </c>
    </row>
    <row r="1803" spans="5:10" hidden="1">
      <c r="F1803" s="682" t="s">
        <v>249</v>
      </c>
      <c r="G1803" s="683" t="s">
        <v>250</v>
      </c>
      <c r="J1803" s="639">
        <f t="shared" si="62"/>
        <v>0</v>
      </c>
    </row>
    <row r="1804" spans="5:10" hidden="1">
      <c r="F1804" s="682" t="s">
        <v>251</v>
      </c>
      <c r="G1804" s="683" t="s">
        <v>252</v>
      </c>
      <c r="J1804" s="639">
        <f t="shared" si="62"/>
        <v>0</v>
      </c>
    </row>
    <row r="1805" spans="5:10" hidden="1">
      <c r="F1805" s="682" t="s">
        <v>253</v>
      </c>
      <c r="G1805" s="683" t="s">
        <v>254</v>
      </c>
      <c r="J1805" s="639">
        <f t="shared" si="62"/>
        <v>0</v>
      </c>
    </row>
    <row r="1806" spans="5:10" hidden="1">
      <c r="F1806" s="682" t="s">
        <v>255</v>
      </c>
      <c r="G1806" s="683" t="s">
        <v>256</v>
      </c>
      <c r="J1806" s="639">
        <f t="shared" si="62"/>
        <v>0</v>
      </c>
    </row>
    <row r="1807" spans="5:10" hidden="1">
      <c r="F1807" s="682" t="s">
        <v>257</v>
      </c>
      <c r="G1807" s="683" t="s">
        <v>258</v>
      </c>
      <c r="J1807" s="639">
        <f t="shared" si="62"/>
        <v>0</v>
      </c>
    </row>
    <row r="1808" spans="5:10" ht="15.75" hidden="1" customHeight="1">
      <c r="F1808" s="682" t="s">
        <v>259</v>
      </c>
      <c r="G1808" s="683" t="s">
        <v>260</v>
      </c>
      <c r="J1808" s="639">
        <f t="shared" si="62"/>
        <v>0</v>
      </c>
    </row>
    <row r="1809" spans="3:10" ht="15.75" hidden="1" thickBot="1">
      <c r="F1809" s="682" t="s">
        <v>261</v>
      </c>
      <c r="G1809" s="683" t="s">
        <v>262</v>
      </c>
      <c r="H1809" s="638"/>
      <c r="I1809" s="639"/>
      <c r="J1809" s="639">
        <f t="shared" si="62"/>
        <v>0</v>
      </c>
    </row>
    <row r="1810" spans="3:10" ht="15.75" thickBot="1">
      <c r="G1810" s="274" t="s">
        <v>5177</v>
      </c>
      <c r="H1810" s="640">
        <f>SUM(H1794:H1809)</f>
        <v>10700000</v>
      </c>
      <c r="I1810" s="641">
        <f>SUM(I1795:I1809)</f>
        <v>0</v>
      </c>
      <c r="J1810" s="641">
        <f>SUM(J1794:J1809)</f>
        <v>10700000</v>
      </c>
    </row>
    <row r="1811" spans="3:10" ht="2.25" customHeight="1">
      <c r="G1811" s="331"/>
      <c r="H1811" s="644"/>
      <c r="I1811" s="645"/>
      <c r="J1811" s="645"/>
    </row>
    <row r="1812" spans="3:10" ht="28.5">
      <c r="C1812" s="273" t="s">
        <v>4641</v>
      </c>
      <c r="D1812" s="264"/>
      <c r="G1812" s="553" t="s">
        <v>5264</v>
      </c>
    </row>
    <row r="1813" spans="3:10">
      <c r="C1813" s="273"/>
      <c r="D1813" s="373">
        <v>620</v>
      </c>
      <c r="E1813" s="374"/>
      <c r="F1813" s="374"/>
      <c r="G1813" s="375" t="s">
        <v>135</v>
      </c>
    </row>
    <row r="1814" spans="3:10" hidden="1">
      <c r="F1814" s="569">
        <v>411</v>
      </c>
      <c r="G1814" s="562" t="s">
        <v>4173</v>
      </c>
      <c r="J1814" s="635">
        <f>SUM(H1814:I1814)</f>
        <v>0</v>
      </c>
    </row>
    <row r="1815" spans="3:10" hidden="1">
      <c r="F1815" s="569">
        <v>412</v>
      </c>
      <c r="G1815" s="558" t="s">
        <v>3770</v>
      </c>
      <c r="J1815" s="635">
        <f t="shared" ref="J1815:J1873" si="63">SUM(H1815:I1815)</f>
        <v>0</v>
      </c>
    </row>
    <row r="1816" spans="3:10" hidden="1">
      <c r="F1816" s="569">
        <v>413</v>
      </c>
      <c r="G1816" s="562" t="s">
        <v>4174</v>
      </c>
      <c r="J1816" s="635">
        <f t="shared" si="63"/>
        <v>0</v>
      </c>
    </row>
    <row r="1817" spans="3:10" hidden="1">
      <c r="F1817" s="569">
        <v>414</v>
      </c>
      <c r="G1817" s="562" t="s">
        <v>3773</v>
      </c>
      <c r="J1817" s="635">
        <f t="shared" si="63"/>
        <v>0</v>
      </c>
    </row>
    <row r="1818" spans="3:10" hidden="1">
      <c r="F1818" s="569">
        <v>415</v>
      </c>
      <c r="G1818" s="562" t="s">
        <v>4183</v>
      </c>
      <c r="J1818" s="635">
        <f t="shared" si="63"/>
        <v>0</v>
      </c>
    </row>
    <row r="1819" spans="3:10" hidden="1">
      <c r="F1819" s="569">
        <v>416</v>
      </c>
      <c r="G1819" s="562" t="s">
        <v>4184</v>
      </c>
      <c r="J1819" s="635">
        <f t="shared" si="63"/>
        <v>0</v>
      </c>
    </row>
    <row r="1820" spans="3:10" hidden="1">
      <c r="F1820" s="569">
        <v>417</v>
      </c>
      <c r="G1820" s="562" t="s">
        <v>4185</v>
      </c>
      <c r="J1820" s="635">
        <f t="shared" si="63"/>
        <v>0</v>
      </c>
    </row>
    <row r="1821" spans="3:10" hidden="1">
      <c r="F1821" s="569">
        <v>418</v>
      </c>
      <c r="G1821" s="562" t="s">
        <v>3779</v>
      </c>
      <c r="J1821" s="635">
        <f t="shared" si="63"/>
        <v>0</v>
      </c>
    </row>
    <row r="1822" spans="3:10" hidden="1">
      <c r="F1822" s="569">
        <v>421</v>
      </c>
      <c r="G1822" s="562" t="s">
        <v>3783</v>
      </c>
      <c r="J1822" s="635">
        <f t="shared" si="63"/>
        <v>0</v>
      </c>
    </row>
    <row r="1823" spans="3:10" hidden="1">
      <c r="F1823" s="569">
        <v>422</v>
      </c>
      <c r="G1823" s="562" t="s">
        <v>3784</v>
      </c>
      <c r="J1823" s="635">
        <f t="shared" si="63"/>
        <v>0</v>
      </c>
    </row>
    <row r="1824" spans="3:10" hidden="1">
      <c r="F1824" s="569">
        <v>423</v>
      </c>
      <c r="G1824" s="562" t="s">
        <v>3785</v>
      </c>
      <c r="J1824" s="635">
        <f t="shared" si="63"/>
        <v>0</v>
      </c>
    </row>
    <row r="1825" spans="6:10" hidden="1">
      <c r="F1825" s="569">
        <v>424</v>
      </c>
      <c r="G1825" s="562" t="s">
        <v>3787</v>
      </c>
      <c r="J1825" s="635">
        <f t="shared" si="63"/>
        <v>0</v>
      </c>
    </row>
    <row r="1826" spans="6:10" hidden="1">
      <c r="F1826" s="569">
        <v>425</v>
      </c>
      <c r="G1826" s="562" t="s">
        <v>4186</v>
      </c>
      <c r="J1826" s="635">
        <f t="shared" si="63"/>
        <v>0</v>
      </c>
    </row>
    <row r="1827" spans="6:10" hidden="1">
      <c r="F1827" s="569">
        <v>426</v>
      </c>
      <c r="G1827" s="562" t="s">
        <v>3791</v>
      </c>
      <c r="J1827" s="635">
        <f t="shared" si="63"/>
        <v>0</v>
      </c>
    </row>
    <row r="1828" spans="6:10" hidden="1">
      <c r="F1828" s="569">
        <v>431</v>
      </c>
      <c r="G1828" s="562" t="s">
        <v>4187</v>
      </c>
      <c r="J1828" s="635">
        <f t="shared" si="63"/>
        <v>0</v>
      </c>
    </row>
    <row r="1829" spans="6:10" hidden="1">
      <c r="F1829" s="569">
        <v>432</v>
      </c>
      <c r="G1829" s="562" t="s">
        <v>4188</v>
      </c>
      <c r="J1829" s="635">
        <f t="shared" si="63"/>
        <v>0</v>
      </c>
    </row>
    <row r="1830" spans="6:10" hidden="1">
      <c r="F1830" s="569">
        <v>433</v>
      </c>
      <c r="G1830" s="562" t="s">
        <v>4189</v>
      </c>
      <c r="J1830" s="635">
        <f t="shared" si="63"/>
        <v>0</v>
      </c>
    </row>
    <row r="1831" spans="6:10" hidden="1">
      <c r="F1831" s="569">
        <v>434</v>
      </c>
      <c r="G1831" s="562" t="s">
        <v>4190</v>
      </c>
      <c r="J1831" s="635">
        <f t="shared" si="63"/>
        <v>0</v>
      </c>
    </row>
    <row r="1832" spans="6:10" hidden="1">
      <c r="F1832" s="569">
        <v>435</v>
      </c>
      <c r="G1832" s="562" t="s">
        <v>3798</v>
      </c>
      <c r="J1832" s="635">
        <f t="shared" si="63"/>
        <v>0</v>
      </c>
    </row>
    <row r="1833" spans="6:10" hidden="1">
      <c r="F1833" s="569">
        <v>441</v>
      </c>
      <c r="G1833" s="562" t="s">
        <v>4191</v>
      </c>
      <c r="J1833" s="635">
        <f t="shared" si="63"/>
        <v>0</v>
      </c>
    </row>
    <row r="1834" spans="6:10" hidden="1">
      <c r="F1834" s="569">
        <v>442</v>
      </c>
      <c r="G1834" s="562" t="s">
        <v>4192</v>
      </c>
      <c r="J1834" s="635">
        <f t="shared" si="63"/>
        <v>0</v>
      </c>
    </row>
    <row r="1835" spans="6:10" hidden="1">
      <c r="F1835" s="569">
        <v>443</v>
      </c>
      <c r="G1835" s="562" t="s">
        <v>3803</v>
      </c>
      <c r="J1835" s="635">
        <f t="shared" si="63"/>
        <v>0</v>
      </c>
    </row>
    <row r="1836" spans="6:10" hidden="1">
      <c r="F1836" s="569">
        <v>444</v>
      </c>
      <c r="G1836" s="562" t="s">
        <v>3804</v>
      </c>
      <c r="J1836" s="635">
        <f t="shared" si="63"/>
        <v>0</v>
      </c>
    </row>
    <row r="1837" spans="6:10" ht="30" hidden="1">
      <c r="F1837" s="569">
        <v>4511</v>
      </c>
      <c r="G1837" s="268" t="s">
        <v>1690</v>
      </c>
      <c r="J1837" s="635">
        <f t="shared" si="63"/>
        <v>0</v>
      </c>
    </row>
    <row r="1838" spans="6:10" ht="30" hidden="1">
      <c r="F1838" s="569">
        <v>4512</v>
      </c>
      <c r="G1838" s="268" t="s">
        <v>1699</v>
      </c>
      <c r="J1838" s="635">
        <f t="shared" si="63"/>
        <v>0</v>
      </c>
    </row>
    <row r="1839" spans="6:10" hidden="1">
      <c r="F1839" s="569">
        <v>452</v>
      </c>
      <c r="G1839" s="562" t="s">
        <v>4193</v>
      </c>
      <c r="J1839" s="635">
        <f t="shared" si="63"/>
        <v>0</v>
      </c>
    </row>
    <row r="1840" spans="6:10" hidden="1">
      <c r="F1840" s="569">
        <v>453</v>
      </c>
      <c r="G1840" s="562" t="s">
        <v>4194</v>
      </c>
      <c r="J1840" s="635">
        <f t="shared" si="63"/>
        <v>0</v>
      </c>
    </row>
    <row r="1841" spans="5:10" hidden="1">
      <c r="F1841" s="569">
        <v>454</v>
      </c>
      <c r="G1841" s="562" t="s">
        <v>3809</v>
      </c>
      <c r="J1841" s="635">
        <f t="shared" si="63"/>
        <v>0</v>
      </c>
    </row>
    <row r="1842" spans="5:10" hidden="1">
      <c r="F1842" s="569">
        <v>461</v>
      </c>
      <c r="G1842" s="562" t="s">
        <v>4175</v>
      </c>
      <c r="J1842" s="635">
        <f t="shared" si="63"/>
        <v>0</v>
      </c>
    </row>
    <row r="1843" spans="5:10" hidden="1">
      <c r="F1843" s="569">
        <v>462</v>
      </c>
      <c r="G1843" s="562" t="s">
        <v>3812</v>
      </c>
      <c r="J1843" s="635">
        <f t="shared" si="63"/>
        <v>0</v>
      </c>
    </row>
    <row r="1844" spans="5:10" ht="15.75" thickBot="1">
      <c r="E1844" s="263">
        <v>55</v>
      </c>
      <c r="F1844" s="569">
        <v>511</v>
      </c>
      <c r="G1844" s="562" t="s">
        <v>4200</v>
      </c>
      <c r="H1844" s="634">
        <v>4500000</v>
      </c>
      <c r="J1844" s="635">
        <f t="shared" si="63"/>
        <v>4500000</v>
      </c>
    </row>
    <row r="1845" spans="5:10" hidden="1">
      <c r="F1845" s="569">
        <v>4632</v>
      </c>
      <c r="G1845" s="562" t="s">
        <v>3814</v>
      </c>
      <c r="J1845" s="635">
        <f t="shared" si="63"/>
        <v>0</v>
      </c>
    </row>
    <row r="1846" spans="5:10" hidden="1">
      <c r="F1846" s="569">
        <v>464</v>
      </c>
      <c r="G1846" s="562" t="s">
        <v>3815</v>
      </c>
      <c r="J1846" s="635">
        <f t="shared" si="63"/>
        <v>0</v>
      </c>
    </row>
    <row r="1847" spans="5:10" hidden="1">
      <c r="F1847" s="569">
        <v>465</v>
      </c>
      <c r="G1847" s="562" t="s">
        <v>4176</v>
      </c>
      <c r="J1847" s="635">
        <f t="shared" si="63"/>
        <v>0</v>
      </c>
    </row>
    <row r="1848" spans="5:10" hidden="1">
      <c r="F1848" s="569">
        <v>472</v>
      </c>
      <c r="G1848" s="562" t="s">
        <v>3819</v>
      </c>
      <c r="J1848" s="635">
        <f t="shared" si="63"/>
        <v>0</v>
      </c>
    </row>
    <row r="1849" spans="5:10" hidden="1">
      <c r="F1849" s="569">
        <v>481</v>
      </c>
      <c r="G1849" s="562" t="s">
        <v>4195</v>
      </c>
      <c r="J1849" s="635">
        <f t="shared" si="63"/>
        <v>0</v>
      </c>
    </row>
    <row r="1850" spans="5:10" hidden="1">
      <c r="F1850" s="569">
        <v>482</v>
      </c>
      <c r="G1850" s="562" t="s">
        <v>4196</v>
      </c>
      <c r="J1850" s="635">
        <f t="shared" si="63"/>
        <v>0</v>
      </c>
    </row>
    <row r="1851" spans="5:10" hidden="1">
      <c r="F1851" s="569">
        <v>483</v>
      </c>
      <c r="G1851" s="566" t="s">
        <v>4197</v>
      </c>
      <c r="J1851" s="635">
        <f t="shared" si="63"/>
        <v>0</v>
      </c>
    </row>
    <row r="1852" spans="5:10" ht="30" hidden="1">
      <c r="F1852" s="569">
        <v>484</v>
      </c>
      <c r="G1852" s="562" t="s">
        <v>4198</v>
      </c>
      <c r="J1852" s="635">
        <f t="shared" si="63"/>
        <v>0</v>
      </c>
    </row>
    <row r="1853" spans="5:10" ht="30" hidden="1">
      <c r="F1853" s="569">
        <v>485</v>
      </c>
      <c r="G1853" s="562" t="s">
        <v>4199</v>
      </c>
      <c r="J1853" s="635">
        <f t="shared" si="63"/>
        <v>0</v>
      </c>
    </row>
    <row r="1854" spans="5:10" ht="30" hidden="1">
      <c r="F1854" s="569">
        <v>489</v>
      </c>
      <c r="G1854" s="562" t="s">
        <v>3827</v>
      </c>
      <c r="J1854" s="635">
        <f t="shared" si="63"/>
        <v>0</v>
      </c>
    </row>
    <row r="1855" spans="5:10" hidden="1">
      <c r="F1855" s="569">
        <v>494</v>
      </c>
      <c r="G1855" s="562" t="s">
        <v>4177</v>
      </c>
      <c r="J1855" s="635">
        <f t="shared" si="63"/>
        <v>0</v>
      </c>
    </row>
    <row r="1856" spans="5:10" ht="30" hidden="1">
      <c r="F1856" s="569">
        <v>495</v>
      </c>
      <c r="G1856" s="562" t="s">
        <v>4178</v>
      </c>
      <c r="J1856" s="635">
        <f t="shared" si="63"/>
        <v>0</v>
      </c>
    </row>
    <row r="1857" spans="6:10" ht="30" hidden="1">
      <c r="F1857" s="569">
        <v>496</v>
      </c>
      <c r="G1857" s="562" t="s">
        <v>4179</v>
      </c>
      <c r="J1857" s="635">
        <f t="shared" si="63"/>
        <v>0</v>
      </c>
    </row>
    <row r="1858" spans="6:10" hidden="1">
      <c r="F1858" s="569">
        <v>499</v>
      </c>
      <c r="G1858" s="562" t="s">
        <v>4180</v>
      </c>
      <c r="J1858" s="635">
        <f t="shared" si="63"/>
        <v>0</v>
      </c>
    </row>
    <row r="1859" spans="6:10" hidden="1">
      <c r="F1859" s="569">
        <v>511</v>
      </c>
      <c r="G1859" s="566" t="s">
        <v>4200</v>
      </c>
      <c r="J1859" s="635">
        <f t="shared" si="63"/>
        <v>0</v>
      </c>
    </row>
    <row r="1860" spans="6:10" hidden="1">
      <c r="F1860" s="569">
        <v>512</v>
      </c>
      <c r="G1860" s="566" t="s">
        <v>4201</v>
      </c>
      <c r="J1860" s="635">
        <f t="shared" si="63"/>
        <v>0</v>
      </c>
    </row>
    <row r="1861" spans="6:10" hidden="1">
      <c r="F1861" s="569">
        <v>513</v>
      </c>
      <c r="G1861" s="566" t="s">
        <v>4202</v>
      </c>
      <c r="J1861" s="635">
        <f t="shared" si="63"/>
        <v>0</v>
      </c>
    </row>
    <row r="1862" spans="6:10" hidden="1">
      <c r="F1862" s="569">
        <v>514</v>
      </c>
      <c r="G1862" s="562" t="s">
        <v>4203</v>
      </c>
      <c r="J1862" s="635">
        <f t="shared" si="63"/>
        <v>0</v>
      </c>
    </row>
    <row r="1863" spans="6:10" hidden="1">
      <c r="F1863" s="569">
        <v>515</v>
      </c>
      <c r="G1863" s="562" t="s">
        <v>3838</v>
      </c>
      <c r="J1863" s="635">
        <f t="shared" si="63"/>
        <v>0</v>
      </c>
    </row>
    <row r="1864" spans="6:10" hidden="1">
      <c r="F1864" s="569">
        <v>521</v>
      </c>
      <c r="G1864" s="562" t="s">
        <v>4204</v>
      </c>
      <c r="J1864" s="635">
        <f t="shared" si="63"/>
        <v>0</v>
      </c>
    </row>
    <row r="1865" spans="6:10" hidden="1">
      <c r="F1865" s="569">
        <v>522</v>
      </c>
      <c r="G1865" s="562" t="s">
        <v>4205</v>
      </c>
      <c r="J1865" s="635">
        <f t="shared" si="63"/>
        <v>0</v>
      </c>
    </row>
    <row r="1866" spans="6:10" hidden="1">
      <c r="F1866" s="569">
        <v>523</v>
      </c>
      <c r="G1866" s="562" t="s">
        <v>3843</v>
      </c>
      <c r="J1866" s="635">
        <f t="shared" si="63"/>
        <v>0</v>
      </c>
    </row>
    <row r="1867" spans="6:10" hidden="1">
      <c r="F1867" s="569">
        <v>531</v>
      </c>
      <c r="G1867" s="558" t="s">
        <v>4181</v>
      </c>
      <c r="J1867" s="635">
        <f t="shared" si="63"/>
        <v>0</v>
      </c>
    </row>
    <row r="1868" spans="6:10" hidden="1">
      <c r="F1868" s="569">
        <v>541</v>
      </c>
      <c r="G1868" s="562" t="s">
        <v>4206</v>
      </c>
      <c r="J1868" s="635">
        <f t="shared" si="63"/>
        <v>0</v>
      </c>
    </row>
    <row r="1869" spans="6:10" hidden="1">
      <c r="F1869" s="569">
        <v>542</v>
      </c>
      <c r="G1869" s="562" t="s">
        <v>4207</v>
      </c>
      <c r="J1869" s="635">
        <f t="shared" si="63"/>
        <v>0</v>
      </c>
    </row>
    <row r="1870" spans="6:10" hidden="1">
      <c r="F1870" s="569">
        <v>543</v>
      </c>
      <c r="G1870" s="562" t="s">
        <v>3848</v>
      </c>
      <c r="J1870" s="635">
        <f t="shared" si="63"/>
        <v>0</v>
      </c>
    </row>
    <row r="1871" spans="6:10" ht="30" hidden="1">
      <c r="F1871" s="569">
        <v>551</v>
      </c>
      <c r="G1871" s="562" t="s">
        <v>4182</v>
      </c>
      <c r="J1871" s="635">
        <f t="shared" si="63"/>
        <v>0</v>
      </c>
    </row>
    <row r="1872" spans="6:10" hidden="1">
      <c r="F1872" s="570">
        <v>611</v>
      </c>
      <c r="G1872" s="568" t="s">
        <v>3854</v>
      </c>
      <c r="J1872" s="635">
        <f t="shared" si="63"/>
        <v>0</v>
      </c>
    </row>
    <row r="1873" spans="5:10" ht="15.75" hidden="1" thickBot="1">
      <c r="F1873" s="570">
        <v>620</v>
      </c>
      <c r="G1873" s="568" t="s">
        <v>88</v>
      </c>
      <c r="J1873" s="635">
        <f t="shared" si="63"/>
        <v>0</v>
      </c>
    </row>
    <row r="1874" spans="5:10">
      <c r="E1874" s="559"/>
      <c r="F1874" s="570"/>
      <c r="G1874" s="372" t="s">
        <v>4350</v>
      </c>
      <c r="H1874" s="636"/>
      <c r="I1874" s="662"/>
      <c r="J1874" s="637"/>
    </row>
    <row r="1875" spans="5:10" ht="15.75" thickBot="1">
      <c r="E1875" s="267"/>
      <c r="F1875" s="682" t="s">
        <v>234</v>
      </c>
      <c r="G1875" s="683" t="s">
        <v>235</v>
      </c>
      <c r="H1875" s="638">
        <f>SUM(H1814:H1873)</f>
        <v>4500000</v>
      </c>
      <c r="I1875" s="639"/>
      <c r="J1875" s="639">
        <f t="shared" ref="J1875:J1890" si="64">SUM(H1875:I1875)</f>
        <v>4500000</v>
      </c>
    </row>
    <row r="1876" spans="5:10" hidden="1">
      <c r="F1876" s="682" t="s">
        <v>236</v>
      </c>
      <c r="G1876" s="683" t="s">
        <v>237</v>
      </c>
      <c r="J1876" s="639">
        <f t="shared" si="64"/>
        <v>0</v>
      </c>
    </row>
    <row r="1877" spans="5:10" hidden="1">
      <c r="F1877" s="682" t="s">
        <v>238</v>
      </c>
      <c r="G1877" s="683" t="s">
        <v>239</v>
      </c>
      <c r="J1877" s="639">
        <f t="shared" si="64"/>
        <v>0</v>
      </c>
    </row>
    <row r="1878" spans="5:10" hidden="1">
      <c r="F1878" s="682" t="s">
        <v>240</v>
      </c>
      <c r="G1878" s="683" t="s">
        <v>241</v>
      </c>
      <c r="J1878" s="639">
        <f t="shared" si="64"/>
        <v>0</v>
      </c>
    </row>
    <row r="1879" spans="5:10" hidden="1">
      <c r="F1879" s="682" t="s">
        <v>242</v>
      </c>
      <c r="G1879" s="683" t="s">
        <v>243</v>
      </c>
      <c r="J1879" s="639">
        <f t="shared" si="64"/>
        <v>0</v>
      </c>
    </row>
    <row r="1880" spans="5:10" hidden="1">
      <c r="F1880" s="682" t="s">
        <v>244</v>
      </c>
      <c r="G1880" s="683" t="s">
        <v>245</v>
      </c>
      <c r="J1880" s="639">
        <f t="shared" si="64"/>
        <v>0</v>
      </c>
    </row>
    <row r="1881" spans="5:10" hidden="1">
      <c r="F1881" s="682" t="s">
        <v>246</v>
      </c>
      <c r="G1881" s="683" t="s">
        <v>5121</v>
      </c>
      <c r="J1881" s="639">
        <f t="shared" si="64"/>
        <v>0</v>
      </c>
    </row>
    <row r="1882" spans="5:10" hidden="1">
      <c r="F1882" s="682" t="s">
        <v>247</v>
      </c>
      <c r="G1882" s="683" t="s">
        <v>5120</v>
      </c>
      <c r="J1882" s="639">
        <f t="shared" si="64"/>
        <v>0</v>
      </c>
    </row>
    <row r="1883" spans="5:10" hidden="1">
      <c r="F1883" s="682" t="s">
        <v>248</v>
      </c>
      <c r="G1883" s="683" t="s">
        <v>57</v>
      </c>
      <c r="J1883" s="639">
        <f t="shared" si="64"/>
        <v>0</v>
      </c>
    </row>
    <row r="1884" spans="5:10" hidden="1">
      <c r="F1884" s="682" t="s">
        <v>249</v>
      </c>
      <c r="G1884" s="683" t="s">
        <v>250</v>
      </c>
      <c r="J1884" s="639">
        <f t="shared" si="64"/>
        <v>0</v>
      </c>
    </row>
    <row r="1885" spans="5:10" hidden="1">
      <c r="F1885" s="682" t="s">
        <v>251</v>
      </c>
      <c r="G1885" s="683" t="s">
        <v>252</v>
      </c>
      <c r="J1885" s="639">
        <f t="shared" si="64"/>
        <v>0</v>
      </c>
    </row>
    <row r="1886" spans="5:10" hidden="1">
      <c r="F1886" s="682" t="s">
        <v>253</v>
      </c>
      <c r="G1886" s="683" t="s">
        <v>254</v>
      </c>
      <c r="J1886" s="639">
        <f t="shared" si="64"/>
        <v>0</v>
      </c>
    </row>
    <row r="1887" spans="5:10" hidden="1">
      <c r="F1887" s="682" t="s">
        <v>255</v>
      </c>
      <c r="G1887" s="683" t="s">
        <v>256</v>
      </c>
      <c r="J1887" s="639">
        <f t="shared" si="64"/>
        <v>0</v>
      </c>
    </row>
    <row r="1888" spans="5:10" hidden="1">
      <c r="F1888" s="682" t="s">
        <v>257</v>
      </c>
      <c r="G1888" s="683" t="s">
        <v>258</v>
      </c>
      <c r="J1888" s="639">
        <f t="shared" si="64"/>
        <v>0</v>
      </c>
    </row>
    <row r="1889" spans="5:10" hidden="1">
      <c r="F1889" s="682" t="s">
        <v>259</v>
      </c>
      <c r="G1889" s="683" t="s">
        <v>260</v>
      </c>
      <c r="J1889" s="639">
        <f t="shared" si="64"/>
        <v>0</v>
      </c>
    </row>
    <row r="1890" spans="5:10" ht="15.75" hidden="1" thickBot="1">
      <c r="F1890" s="682" t="s">
        <v>261</v>
      </c>
      <c r="G1890" s="683" t="s">
        <v>262</v>
      </c>
      <c r="H1890" s="638"/>
      <c r="I1890" s="639"/>
      <c r="J1890" s="639">
        <f t="shared" si="64"/>
        <v>0</v>
      </c>
    </row>
    <row r="1891" spans="5:10" ht="15.75" thickBot="1">
      <c r="G1891" s="274" t="s">
        <v>4351</v>
      </c>
      <c r="H1891" s="640">
        <f>SUM(H1875:H1890)</f>
        <v>4500000</v>
      </c>
      <c r="I1891" s="641">
        <f>SUM(I1876:I1890)</f>
        <v>0</v>
      </c>
      <c r="J1891" s="641">
        <f>SUM(J1875:J1890)</f>
        <v>4500000</v>
      </c>
    </row>
    <row r="1892" spans="5:10">
      <c r="E1892" s="559"/>
      <c r="F1892" s="570"/>
      <c r="G1892" s="276" t="s">
        <v>5179</v>
      </c>
      <c r="H1892" s="642"/>
      <c r="I1892" s="663"/>
      <c r="J1892" s="643"/>
    </row>
    <row r="1893" spans="5:10" ht="15.75" thickBot="1">
      <c r="E1893" s="267"/>
      <c r="F1893" s="682" t="s">
        <v>234</v>
      </c>
      <c r="G1893" s="683" t="s">
        <v>235</v>
      </c>
      <c r="H1893" s="638">
        <f>SUM(H1814:H1873)</f>
        <v>4500000</v>
      </c>
      <c r="I1893" s="639"/>
      <c r="J1893" s="639">
        <f>SUM(H1893:I1893)</f>
        <v>4500000</v>
      </c>
    </row>
    <row r="1894" spans="5:10" hidden="1">
      <c r="F1894" s="682" t="s">
        <v>236</v>
      </c>
      <c r="G1894" s="683" t="s">
        <v>237</v>
      </c>
      <c r="J1894" s="639">
        <f t="shared" ref="J1894:J1908" si="65">SUM(H1894:I1894)</f>
        <v>0</v>
      </c>
    </row>
    <row r="1895" spans="5:10" hidden="1">
      <c r="F1895" s="682" t="s">
        <v>238</v>
      </c>
      <c r="G1895" s="683" t="s">
        <v>239</v>
      </c>
      <c r="J1895" s="639">
        <f t="shared" si="65"/>
        <v>0</v>
      </c>
    </row>
    <row r="1896" spans="5:10" hidden="1">
      <c r="F1896" s="682" t="s">
        <v>240</v>
      </c>
      <c r="G1896" s="683" t="s">
        <v>241</v>
      </c>
      <c r="J1896" s="639">
        <f t="shared" si="65"/>
        <v>0</v>
      </c>
    </row>
    <row r="1897" spans="5:10" hidden="1">
      <c r="F1897" s="682" t="s">
        <v>242</v>
      </c>
      <c r="G1897" s="683" t="s">
        <v>243</v>
      </c>
      <c r="J1897" s="639">
        <f t="shared" si="65"/>
        <v>0</v>
      </c>
    </row>
    <row r="1898" spans="5:10" hidden="1">
      <c r="F1898" s="682" t="s">
        <v>244</v>
      </c>
      <c r="G1898" s="683" t="s">
        <v>245</v>
      </c>
      <c r="J1898" s="639">
        <f t="shared" si="65"/>
        <v>0</v>
      </c>
    </row>
    <row r="1899" spans="5:10" hidden="1">
      <c r="F1899" s="682" t="s">
        <v>246</v>
      </c>
      <c r="G1899" s="683" t="s">
        <v>5121</v>
      </c>
      <c r="J1899" s="639">
        <f t="shared" si="65"/>
        <v>0</v>
      </c>
    </row>
    <row r="1900" spans="5:10" hidden="1">
      <c r="F1900" s="682" t="s">
        <v>247</v>
      </c>
      <c r="G1900" s="683" t="s">
        <v>5120</v>
      </c>
      <c r="J1900" s="639">
        <f t="shared" si="65"/>
        <v>0</v>
      </c>
    </row>
    <row r="1901" spans="5:10" hidden="1">
      <c r="F1901" s="682" t="s">
        <v>248</v>
      </c>
      <c r="G1901" s="683" t="s">
        <v>57</v>
      </c>
      <c r="J1901" s="639">
        <f t="shared" si="65"/>
        <v>0</v>
      </c>
    </row>
    <row r="1902" spans="5:10" hidden="1">
      <c r="F1902" s="682" t="s">
        <v>249</v>
      </c>
      <c r="G1902" s="683" t="s">
        <v>250</v>
      </c>
      <c r="J1902" s="639">
        <f t="shared" si="65"/>
        <v>0</v>
      </c>
    </row>
    <row r="1903" spans="5:10" hidden="1">
      <c r="F1903" s="682" t="s">
        <v>251</v>
      </c>
      <c r="G1903" s="683" t="s">
        <v>252</v>
      </c>
      <c r="J1903" s="639">
        <f t="shared" si="65"/>
        <v>0</v>
      </c>
    </row>
    <row r="1904" spans="5:10" hidden="1">
      <c r="F1904" s="682" t="s">
        <v>253</v>
      </c>
      <c r="G1904" s="683" t="s">
        <v>254</v>
      </c>
      <c r="J1904" s="639">
        <f t="shared" si="65"/>
        <v>0</v>
      </c>
    </row>
    <row r="1905" spans="3:10" hidden="1">
      <c r="F1905" s="682" t="s">
        <v>255</v>
      </c>
      <c r="G1905" s="683" t="s">
        <v>256</v>
      </c>
      <c r="J1905" s="639">
        <f t="shared" si="65"/>
        <v>0</v>
      </c>
    </row>
    <row r="1906" spans="3:10" hidden="1">
      <c r="F1906" s="682" t="s">
        <v>257</v>
      </c>
      <c r="G1906" s="683" t="s">
        <v>258</v>
      </c>
      <c r="J1906" s="639">
        <f t="shared" si="65"/>
        <v>0</v>
      </c>
    </row>
    <row r="1907" spans="3:10" hidden="1">
      <c r="F1907" s="682" t="s">
        <v>259</v>
      </c>
      <c r="G1907" s="683" t="s">
        <v>260</v>
      </c>
      <c r="J1907" s="639">
        <f t="shared" si="65"/>
        <v>0</v>
      </c>
    </row>
    <row r="1908" spans="3:10" ht="15.75" hidden="1" thickBot="1">
      <c r="F1908" s="682" t="s">
        <v>261</v>
      </c>
      <c r="G1908" s="683" t="s">
        <v>262</v>
      </c>
      <c r="H1908" s="638"/>
      <c r="I1908" s="639"/>
      <c r="J1908" s="639">
        <f t="shared" si="65"/>
        <v>0</v>
      </c>
    </row>
    <row r="1909" spans="3:10" ht="15.75" thickBot="1">
      <c r="G1909" s="274" t="s">
        <v>5180</v>
      </c>
      <c r="H1909" s="640">
        <f>SUM(H1893:H1908)</f>
        <v>4500000</v>
      </c>
      <c r="I1909" s="641">
        <f>SUM(I1894:I1908)</f>
        <v>0</v>
      </c>
      <c r="J1909" s="641">
        <f>SUM(J1893:J1908)</f>
        <v>4500000</v>
      </c>
    </row>
    <row r="1910" spans="3:10" ht="6.75" customHeight="1">
      <c r="G1910" s="331"/>
      <c r="H1910" s="644"/>
      <c r="I1910" s="645"/>
      <c r="J1910" s="645"/>
    </row>
    <row r="1911" spans="3:10">
      <c r="C1911" s="273" t="s">
        <v>4642</v>
      </c>
      <c r="D1911" s="264"/>
      <c r="G1911" s="553" t="s">
        <v>5265</v>
      </c>
    </row>
    <row r="1912" spans="3:10">
      <c r="C1912" s="273"/>
      <c r="D1912" s="373">
        <v>620</v>
      </c>
      <c r="E1912" s="374"/>
      <c r="F1912" s="374"/>
      <c r="G1912" s="375" t="s">
        <v>135</v>
      </c>
    </row>
    <row r="1913" spans="3:10" hidden="1">
      <c r="F1913" s="569">
        <v>411</v>
      </c>
      <c r="G1913" s="562" t="s">
        <v>4173</v>
      </c>
      <c r="J1913" s="635">
        <f>SUM(H1913:I1913)</f>
        <v>0</v>
      </c>
    </row>
    <row r="1914" spans="3:10" hidden="1">
      <c r="F1914" s="569">
        <v>412</v>
      </c>
      <c r="G1914" s="558" t="s">
        <v>3770</v>
      </c>
      <c r="J1914" s="635">
        <f t="shared" ref="J1914:J1972" si="66">SUM(H1914:I1914)</f>
        <v>0</v>
      </c>
    </row>
    <row r="1915" spans="3:10" hidden="1">
      <c r="F1915" s="569">
        <v>413</v>
      </c>
      <c r="G1915" s="562" t="s">
        <v>4174</v>
      </c>
      <c r="J1915" s="635">
        <f t="shared" si="66"/>
        <v>0</v>
      </c>
    </row>
    <row r="1916" spans="3:10" hidden="1">
      <c r="F1916" s="569">
        <v>414</v>
      </c>
      <c r="G1916" s="562" t="s">
        <v>3773</v>
      </c>
      <c r="J1916" s="635">
        <f t="shared" si="66"/>
        <v>0</v>
      </c>
    </row>
    <row r="1917" spans="3:10" hidden="1">
      <c r="F1917" s="569">
        <v>415</v>
      </c>
      <c r="G1917" s="562" t="s">
        <v>4183</v>
      </c>
      <c r="J1917" s="635">
        <f t="shared" si="66"/>
        <v>0</v>
      </c>
    </row>
    <row r="1918" spans="3:10" hidden="1">
      <c r="F1918" s="569">
        <v>416</v>
      </c>
      <c r="G1918" s="562" t="s">
        <v>4184</v>
      </c>
      <c r="J1918" s="635">
        <f t="shared" si="66"/>
        <v>0</v>
      </c>
    </row>
    <row r="1919" spans="3:10" hidden="1">
      <c r="F1919" s="569">
        <v>417</v>
      </c>
      <c r="G1919" s="562" t="s">
        <v>4185</v>
      </c>
      <c r="J1919" s="635">
        <f t="shared" si="66"/>
        <v>0</v>
      </c>
    </row>
    <row r="1920" spans="3:10" hidden="1">
      <c r="F1920" s="569">
        <v>418</v>
      </c>
      <c r="G1920" s="562" t="s">
        <v>3779</v>
      </c>
      <c r="J1920" s="635">
        <f t="shared" si="66"/>
        <v>0</v>
      </c>
    </row>
    <row r="1921" spans="6:10" hidden="1">
      <c r="F1921" s="569">
        <v>421</v>
      </c>
      <c r="G1921" s="562" t="s">
        <v>3783</v>
      </c>
      <c r="J1921" s="635">
        <f t="shared" si="66"/>
        <v>0</v>
      </c>
    </row>
    <row r="1922" spans="6:10" hidden="1">
      <c r="F1922" s="569">
        <v>422</v>
      </c>
      <c r="G1922" s="562" t="s">
        <v>3784</v>
      </c>
      <c r="J1922" s="635">
        <f t="shared" si="66"/>
        <v>0</v>
      </c>
    </row>
    <row r="1923" spans="6:10" hidden="1">
      <c r="F1923" s="569">
        <v>423</v>
      </c>
      <c r="G1923" s="562" t="s">
        <v>3785</v>
      </c>
      <c r="J1923" s="635">
        <f t="shared" si="66"/>
        <v>0</v>
      </c>
    </row>
    <row r="1924" spans="6:10" hidden="1">
      <c r="F1924" s="569">
        <v>424</v>
      </c>
      <c r="G1924" s="562" t="s">
        <v>3787</v>
      </c>
      <c r="J1924" s="635">
        <f t="shared" si="66"/>
        <v>0</v>
      </c>
    </row>
    <row r="1925" spans="6:10" hidden="1">
      <c r="F1925" s="569">
        <v>425</v>
      </c>
      <c r="G1925" s="562" t="s">
        <v>4186</v>
      </c>
      <c r="J1925" s="635">
        <f t="shared" si="66"/>
        <v>0</v>
      </c>
    </row>
    <row r="1926" spans="6:10" hidden="1">
      <c r="F1926" s="569">
        <v>426</v>
      </c>
      <c r="G1926" s="562" t="s">
        <v>3791</v>
      </c>
      <c r="J1926" s="635">
        <f t="shared" si="66"/>
        <v>0</v>
      </c>
    </row>
    <row r="1927" spans="6:10" hidden="1">
      <c r="F1927" s="569">
        <v>431</v>
      </c>
      <c r="G1927" s="562" t="s">
        <v>4187</v>
      </c>
      <c r="J1927" s="635">
        <f t="shared" si="66"/>
        <v>0</v>
      </c>
    </row>
    <row r="1928" spans="6:10" hidden="1">
      <c r="F1928" s="569">
        <v>432</v>
      </c>
      <c r="G1928" s="562" t="s">
        <v>4188</v>
      </c>
      <c r="J1928" s="635">
        <f t="shared" si="66"/>
        <v>0</v>
      </c>
    </row>
    <row r="1929" spans="6:10" hidden="1">
      <c r="F1929" s="569">
        <v>433</v>
      </c>
      <c r="G1929" s="562" t="s">
        <v>4189</v>
      </c>
      <c r="J1929" s="635">
        <f t="shared" si="66"/>
        <v>0</v>
      </c>
    </row>
    <row r="1930" spans="6:10" hidden="1">
      <c r="F1930" s="569">
        <v>434</v>
      </c>
      <c r="G1930" s="562" t="s">
        <v>4190</v>
      </c>
      <c r="J1930" s="635">
        <f t="shared" si="66"/>
        <v>0</v>
      </c>
    </row>
    <row r="1931" spans="6:10" hidden="1">
      <c r="F1931" s="569">
        <v>435</v>
      </c>
      <c r="G1931" s="562" t="s">
        <v>3798</v>
      </c>
      <c r="J1931" s="635">
        <f t="shared" si="66"/>
        <v>0</v>
      </c>
    </row>
    <row r="1932" spans="6:10" hidden="1">
      <c r="F1932" s="569">
        <v>441</v>
      </c>
      <c r="G1932" s="562" t="s">
        <v>4191</v>
      </c>
      <c r="J1932" s="635">
        <f t="shared" si="66"/>
        <v>0</v>
      </c>
    </row>
    <row r="1933" spans="6:10" hidden="1">
      <c r="F1933" s="569">
        <v>442</v>
      </c>
      <c r="G1933" s="562" t="s">
        <v>4192</v>
      </c>
      <c r="J1933" s="635">
        <f t="shared" si="66"/>
        <v>0</v>
      </c>
    </row>
    <row r="1934" spans="6:10" hidden="1">
      <c r="F1934" s="569">
        <v>443</v>
      </c>
      <c r="G1934" s="562" t="s">
        <v>3803</v>
      </c>
      <c r="J1934" s="635">
        <f t="shared" si="66"/>
        <v>0</v>
      </c>
    </row>
    <row r="1935" spans="6:10" hidden="1">
      <c r="F1935" s="569">
        <v>444</v>
      </c>
      <c r="G1935" s="562" t="s">
        <v>3804</v>
      </c>
      <c r="J1935" s="635">
        <f t="shared" si="66"/>
        <v>0</v>
      </c>
    </row>
    <row r="1936" spans="6:10" ht="30" hidden="1">
      <c r="F1936" s="569">
        <v>4511</v>
      </c>
      <c r="G1936" s="268" t="s">
        <v>1690</v>
      </c>
      <c r="J1936" s="635">
        <f t="shared" si="66"/>
        <v>0</v>
      </c>
    </row>
    <row r="1937" spans="6:10" ht="30" hidden="1">
      <c r="F1937" s="569">
        <v>4512</v>
      </c>
      <c r="G1937" s="268" t="s">
        <v>1699</v>
      </c>
      <c r="J1937" s="635">
        <f t="shared" si="66"/>
        <v>0</v>
      </c>
    </row>
    <row r="1938" spans="6:10" hidden="1">
      <c r="F1938" s="569">
        <v>452</v>
      </c>
      <c r="G1938" s="562" t="s">
        <v>4193</v>
      </c>
      <c r="J1938" s="635">
        <f t="shared" si="66"/>
        <v>0</v>
      </c>
    </row>
    <row r="1939" spans="6:10" hidden="1">
      <c r="F1939" s="569">
        <v>453</v>
      </c>
      <c r="G1939" s="562" t="s">
        <v>4194</v>
      </c>
      <c r="J1939" s="635">
        <f t="shared" si="66"/>
        <v>0</v>
      </c>
    </row>
    <row r="1940" spans="6:10" hidden="1">
      <c r="F1940" s="569">
        <v>454</v>
      </c>
      <c r="G1940" s="562" t="s">
        <v>3809</v>
      </c>
      <c r="J1940" s="635">
        <f t="shared" si="66"/>
        <v>0</v>
      </c>
    </row>
    <row r="1941" spans="6:10" hidden="1">
      <c r="F1941" s="569">
        <v>461</v>
      </c>
      <c r="G1941" s="562" t="s">
        <v>4175</v>
      </c>
      <c r="J1941" s="635">
        <f t="shared" si="66"/>
        <v>0</v>
      </c>
    </row>
    <row r="1942" spans="6:10" hidden="1">
      <c r="F1942" s="569">
        <v>462</v>
      </c>
      <c r="G1942" s="562" t="s">
        <v>3812</v>
      </c>
      <c r="J1942" s="635">
        <f t="shared" si="66"/>
        <v>0</v>
      </c>
    </row>
    <row r="1943" spans="6:10" hidden="1">
      <c r="F1943" s="569">
        <v>511</v>
      </c>
      <c r="G1943" s="562" t="s">
        <v>4200</v>
      </c>
      <c r="J1943" s="635">
        <f t="shared" si="66"/>
        <v>0</v>
      </c>
    </row>
    <row r="1944" spans="6:10" hidden="1">
      <c r="F1944" s="569">
        <v>4632</v>
      </c>
      <c r="G1944" s="562" t="s">
        <v>3814</v>
      </c>
      <c r="J1944" s="635">
        <f t="shared" si="66"/>
        <v>0</v>
      </c>
    </row>
    <row r="1945" spans="6:10" hidden="1">
      <c r="F1945" s="569">
        <v>464</v>
      </c>
      <c r="G1945" s="562" t="s">
        <v>3815</v>
      </c>
      <c r="J1945" s="635">
        <f t="shared" si="66"/>
        <v>0</v>
      </c>
    </row>
    <row r="1946" spans="6:10" hidden="1">
      <c r="F1946" s="569">
        <v>465</v>
      </c>
      <c r="G1946" s="562" t="s">
        <v>4176</v>
      </c>
      <c r="J1946" s="635">
        <f t="shared" si="66"/>
        <v>0</v>
      </c>
    </row>
    <row r="1947" spans="6:10" hidden="1">
      <c r="F1947" s="569">
        <v>472</v>
      </c>
      <c r="G1947" s="562" t="s">
        <v>3819</v>
      </c>
      <c r="J1947" s="635">
        <f t="shared" si="66"/>
        <v>0</v>
      </c>
    </row>
    <row r="1948" spans="6:10" hidden="1">
      <c r="F1948" s="569">
        <v>481</v>
      </c>
      <c r="G1948" s="562" t="s">
        <v>4195</v>
      </c>
      <c r="J1948" s="635">
        <f t="shared" si="66"/>
        <v>0</v>
      </c>
    </row>
    <row r="1949" spans="6:10" hidden="1">
      <c r="F1949" s="569">
        <v>482</v>
      </c>
      <c r="G1949" s="562" t="s">
        <v>4196</v>
      </c>
      <c r="J1949" s="635">
        <f t="shared" si="66"/>
        <v>0</v>
      </c>
    </row>
    <row r="1950" spans="6:10" hidden="1">
      <c r="F1950" s="569">
        <v>483</v>
      </c>
      <c r="G1950" s="566" t="s">
        <v>4197</v>
      </c>
      <c r="J1950" s="635">
        <f t="shared" si="66"/>
        <v>0</v>
      </c>
    </row>
    <row r="1951" spans="6:10" ht="30" hidden="1">
      <c r="F1951" s="569">
        <v>484</v>
      </c>
      <c r="G1951" s="562" t="s">
        <v>4198</v>
      </c>
      <c r="J1951" s="635">
        <f t="shared" si="66"/>
        <v>0</v>
      </c>
    </row>
    <row r="1952" spans="6:10" ht="30" hidden="1">
      <c r="F1952" s="569">
        <v>485</v>
      </c>
      <c r="G1952" s="562" t="s">
        <v>4199</v>
      </c>
      <c r="J1952" s="635">
        <f t="shared" si="66"/>
        <v>0</v>
      </c>
    </row>
    <row r="1953" spans="5:10" ht="30" hidden="1">
      <c r="F1953" s="569">
        <v>489</v>
      </c>
      <c r="G1953" s="562" t="s">
        <v>3827</v>
      </c>
      <c r="J1953" s="635">
        <f t="shared" si="66"/>
        <v>0</v>
      </c>
    </row>
    <row r="1954" spans="5:10" hidden="1">
      <c r="F1954" s="569">
        <v>494</v>
      </c>
      <c r="G1954" s="562" t="s">
        <v>4177</v>
      </c>
      <c r="J1954" s="635">
        <f t="shared" si="66"/>
        <v>0</v>
      </c>
    </row>
    <row r="1955" spans="5:10" ht="30" hidden="1">
      <c r="F1955" s="569">
        <v>495</v>
      </c>
      <c r="G1955" s="562" t="s">
        <v>4178</v>
      </c>
      <c r="J1955" s="635">
        <f t="shared" si="66"/>
        <v>0</v>
      </c>
    </row>
    <row r="1956" spans="5:10" ht="30" hidden="1">
      <c r="F1956" s="569">
        <v>496</v>
      </c>
      <c r="G1956" s="562" t="s">
        <v>4179</v>
      </c>
      <c r="J1956" s="635">
        <f t="shared" si="66"/>
        <v>0</v>
      </c>
    </row>
    <row r="1957" spans="5:10" hidden="1">
      <c r="F1957" s="569">
        <v>499</v>
      </c>
      <c r="G1957" s="562" t="s">
        <v>4180</v>
      </c>
      <c r="J1957" s="635">
        <f t="shared" si="66"/>
        <v>0</v>
      </c>
    </row>
    <row r="1958" spans="5:10" ht="15.75" thickBot="1">
      <c r="E1958" s="263">
        <v>56</v>
      </c>
      <c r="F1958" s="569">
        <v>511</v>
      </c>
      <c r="G1958" s="566" t="s">
        <v>4200</v>
      </c>
      <c r="H1958" s="634">
        <v>15800000</v>
      </c>
      <c r="J1958" s="635">
        <f t="shared" si="66"/>
        <v>15800000</v>
      </c>
    </row>
    <row r="1959" spans="5:10" hidden="1">
      <c r="F1959" s="569">
        <v>512</v>
      </c>
      <c r="G1959" s="566" t="s">
        <v>4201</v>
      </c>
      <c r="J1959" s="635">
        <f t="shared" si="66"/>
        <v>0</v>
      </c>
    </row>
    <row r="1960" spans="5:10" hidden="1">
      <c r="F1960" s="569">
        <v>513</v>
      </c>
      <c r="G1960" s="566" t="s">
        <v>4202</v>
      </c>
      <c r="J1960" s="635">
        <f t="shared" si="66"/>
        <v>0</v>
      </c>
    </row>
    <row r="1961" spans="5:10" hidden="1">
      <c r="F1961" s="569">
        <v>514</v>
      </c>
      <c r="G1961" s="562" t="s">
        <v>4203</v>
      </c>
      <c r="J1961" s="635">
        <f t="shared" si="66"/>
        <v>0</v>
      </c>
    </row>
    <row r="1962" spans="5:10" hidden="1">
      <c r="F1962" s="569">
        <v>515</v>
      </c>
      <c r="G1962" s="562" t="s">
        <v>3838</v>
      </c>
      <c r="J1962" s="635">
        <f t="shared" si="66"/>
        <v>0</v>
      </c>
    </row>
    <row r="1963" spans="5:10" hidden="1">
      <c r="F1963" s="569">
        <v>521</v>
      </c>
      <c r="G1963" s="562" t="s">
        <v>4204</v>
      </c>
      <c r="J1963" s="635">
        <f t="shared" si="66"/>
        <v>0</v>
      </c>
    </row>
    <row r="1964" spans="5:10" hidden="1">
      <c r="F1964" s="569">
        <v>522</v>
      </c>
      <c r="G1964" s="562" t="s">
        <v>4205</v>
      </c>
      <c r="J1964" s="635">
        <f t="shared" si="66"/>
        <v>0</v>
      </c>
    </row>
    <row r="1965" spans="5:10" hidden="1">
      <c r="F1965" s="569">
        <v>523</v>
      </c>
      <c r="G1965" s="562" t="s">
        <v>3843</v>
      </c>
      <c r="J1965" s="635">
        <f t="shared" si="66"/>
        <v>0</v>
      </c>
    </row>
    <row r="1966" spans="5:10" hidden="1">
      <c r="F1966" s="569">
        <v>531</v>
      </c>
      <c r="G1966" s="558" t="s">
        <v>4181</v>
      </c>
      <c r="J1966" s="635">
        <f t="shared" si="66"/>
        <v>0</v>
      </c>
    </row>
    <row r="1967" spans="5:10" hidden="1">
      <c r="F1967" s="569">
        <v>541</v>
      </c>
      <c r="G1967" s="562" t="s">
        <v>4206</v>
      </c>
      <c r="J1967" s="635">
        <f t="shared" si="66"/>
        <v>0</v>
      </c>
    </row>
    <row r="1968" spans="5:10" hidden="1">
      <c r="F1968" s="569">
        <v>542</v>
      </c>
      <c r="G1968" s="562" t="s">
        <v>4207</v>
      </c>
      <c r="J1968" s="635">
        <f t="shared" si="66"/>
        <v>0</v>
      </c>
    </row>
    <row r="1969" spans="5:10" hidden="1">
      <c r="F1969" s="569">
        <v>543</v>
      </c>
      <c r="G1969" s="562" t="s">
        <v>3848</v>
      </c>
      <c r="J1969" s="635">
        <f t="shared" si="66"/>
        <v>0</v>
      </c>
    </row>
    <row r="1970" spans="5:10" ht="30" hidden="1">
      <c r="F1970" s="569">
        <v>551</v>
      </c>
      <c r="G1970" s="562" t="s">
        <v>4182</v>
      </c>
      <c r="J1970" s="635">
        <f t="shared" si="66"/>
        <v>0</v>
      </c>
    </row>
    <row r="1971" spans="5:10" hidden="1">
      <c r="F1971" s="570">
        <v>611</v>
      </c>
      <c r="G1971" s="568" t="s">
        <v>3854</v>
      </c>
      <c r="J1971" s="635">
        <f t="shared" si="66"/>
        <v>0</v>
      </c>
    </row>
    <row r="1972" spans="5:10" ht="15.75" hidden="1" thickBot="1">
      <c r="F1972" s="570">
        <v>620</v>
      </c>
      <c r="G1972" s="568" t="s">
        <v>88</v>
      </c>
      <c r="J1972" s="635">
        <f t="shared" si="66"/>
        <v>0</v>
      </c>
    </row>
    <row r="1973" spans="5:10">
      <c r="E1973" s="559"/>
      <c r="F1973" s="570"/>
      <c r="G1973" s="372" t="s">
        <v>4350</v>
      </c>
      <c r="H1973" s="636"/>
      <c r="I1973" s="662"/>
      <c r="J1973" s="637"/>
    </row>
    <row r="1974" spans="5:10" ht="15.75" thickBot="1">
      <c r="E1974" s="267"/>
      <c r="F1974" s="682" t="s">
        <v>234</v>
      </c>
      <c r="G1974" s="683" t="s">
        <v>235</v>
      </c>
      <c r="H1974" s="638">
        <f>SUM(H1913:H1972)</f>
        <v>15800000</v>
      </c>
      <c r="I1974" s="639"/>
      <c r="J1974" s="639">
        <f t="shared" ref="J1974:J1989" si="67">SUM(H1974:I1974)</f>
        <v>15800000</v>
      </c>
    </row>
    <row r="1975" spans="5:10" hidden="1">
      <c r="F1975" s="682" t="s">
        <v>236</v>
      </c>
      <c r="G1975" s="683" t="s">
        <v>237</v>
      </c>
      <c r="J1975" s="639">
        <f t="shared" si="67"/>
        <v>0</v>
      </c>
    </row>
    <row r="1976" spans="5:10" hidden="1">
      <c r="F1976" s="682" t="s">
        <v>238</v>
      </c>
      <c r="G1976" s="683" t="s">
        <v>239</v>
      </c>
      <c r="J1976" s="639">
        <f t="shared" si="67"/>
        <v>0</v>
      </c>
    </row>
    <row r="1977" spans="5:10" hidden="1">
      <c r="F1977" s="682" t="s">
        <v>240</v>
      </c>
      <c r="G1977" s="683" t="s">
        <v>241</v>
      </c>
      <c r="J1977" s="639">
        <f t="shared" si="67"/>
        <v>0</v>
      </c>
    </row>
    <row r="1978" spans="5:10" hidden="1">
      <c r="F1978" s="682" t="s">
        <v>242</v>
      </c>
      <c r="G1978" s="683" t="s">
        <v>243</v>
      </c>
      <c r="J1978" s="639">
        <f t="shared" si="67"/>
        <v>0</v>
      </c>
    </row>
    <row r="1979" spans="5:10" hidden="1">
      <c r="F1979" s="682" t="s">
        <v>244</v>
      </c>
      <c r="G1979" s="683" t="s">
        <v>245</v>
      </c>
      <c r="J1979" s="639">
        <f t="shared" si="67"/>
        <v>0</v>
      </c>
    </row>
    <row r="1980" spans="5:10" hidden="1">
      <c r="F1980" s="682" t="s">
        <v>246</v>
      </c>
      <c r="G1980" s="683" t="s">
        <v>5121</v>
      </c>
      <c r="J1980" s="639">
        <f t="shared" si="67"/>
        <v>0</v>
      </c>
    </row>
    <row r="1981" spans="5:10" hidden="1">
      <c r="F1981" s="682" t="s">
        <v>247</v>
      </c>
      <c r="G1981" s="683" t="s">
        <v>5120</v>
      </c>
      <c r="J1981" s="639">
        <f t="shared" si="67"/>
        <v>0</v>
      </c>
    </row>
    <row r="1982" spans="5:10" hidden="1">
      <c r="F1982" s="682" t="s">
        <v>248</v>
      </c>
      <c r="G1982" s="683" t="s">
        <v>57</v>
      </c>
      <c r="J1982" s="639">
        <f t="shared" si="67"/>
        <v>0</v>
      </c>
    </row>
    <row r="1983" spans="5:10" hidden="1">
      <c r="F1983" s="682" t="s">
        <v>249</v>
      </c>
      <c r="G1983" s="683" t="s">
        <v>250</v>
      </c>
      <c r="J1983" s="639">
        <f t="shared" si="67"/>
        <v>0</v>
      </c>
    </row>
    <row r="1984" spans="5:10" hidden="1">
      <c r="F1984" s="682" t="s">
        <v>251</v>
      </c>
      <c r="G1984" s="683" t="s">
        <v>252</v>
      </c>
      <c r="J1984" s="639">
        <f t="shared" si="67"/>
        <v>0</v>
      </c>
    </row>
    <row r="1985" spans="5:10" hidden="1">
      <c r="F1985" s="682" t="s">
        <v>253</v>
      </c>
      <c r="G1985" s="683" t="s">
        <v>254</v>
      </c>
      <c r="J1985" s="639">
        <f t="shared" si="67"/>
        <v>0</v>
      </c>
    </row>
    <row r="1986" spans="5:10" hidden="1">
      <c r="F1986" s="682" t="s">
        <v>255</v>
      </c>
      <c r="G1986" s="683" t="s">
        <v>256</v>
      </c>
      <c r="J1986" s="639">
        <f t="shared" si="67"/>
        <v>0</v>
      </c>
    </row>
    <row r="1987" spans="5:10" hidden="1">
      <c r="F1987" s="682" t="s">
        <v>257</v>
      </c>
      <c r="G1987" s="683" t="s">
        <v>258</v>
      </c>
      <c r="J1987" s="639">
        <f t="shared" si="67"/>
        <v>0</v>
      </c>
    </row>
    <row r="1988" spans="5:10" hidden="1">
      <c r="F1988" s="682" t="s">
        <v>259</v>
      </c>
      <c r="G1988" s="683" t="s">
        <v>260</v>
      </c>
      <c r="J1988" s="639">
        <f t="shared" si="67"/>
        <v>0</v>
      </c>
    </row>
    <row r="1989" spans="5:10" ht="15.75" hidden="1" thickBot="1">
      <c r="F1989" s="682" t="s">
        <v>261</v>
      </c>
      <c r="G1989" s="683" t="s">
        <v>262</v>
      </c>
      <c r="H1989" s="638"/>
      <c r="I1989" s="639"/>
      <c r="J1989" s="639">
        <f t="shared" si="67"/>
        <v>0</v>
      </c>
    </row>
    <row r="1990" spans="5:10" ht="15.75" thickBot="1">
      <c r="G1990" s="274" t="s">
        <v>4351</v>
      </c>
      <c r="H1990" s="640">
        <f>SUM(H1974:H1989)</f>
        <v>15800000</v>
      </c>
      <c r="I1990" s="641">
        <f>SUM(I1975:I1989)</f>
        <v>0</v>
      </c>
      <c r="J1990" s="641">
        <f>SUM(J1974:J1989)</f>
        <v>15800000</v>
      </c>
    </row>
    <row r="1991" spans="5:10">
      <c r="E1991" s="559"/>
      <c r="F1991" s="570"/>
      <c r="G1991" s="276" t="s">
        <v>5181</v>
      </c>
      <c r="H1991" s="642"/>
      <c r="I1991" s="663"/>
      <c r="J1991" s="643"/>
    </row>
    <row r="1992" spans="5:10" ht="15.75" thickBot="1">
      <c r="E1992" s="267"/>
      <c r="F1992" s="682" t="s">
        <v>234</v>
      </c>
      <c r="G1992" s="683" t="s">
        <v>235</v>
      </c>
      <c r="H1992" s="638">
        <f>SUM(H1913:H1972)</f>
        <v>15800000</v>
      </c>
      <c r="I1992" s="639"/>
      <c r="J1992" s="639">
        <f>SUM(H1992:I1992)</f>
        <v>15800000</v>
      </c>
    </row>
    <row r="1993" spans="5:10" hidden="1">
      <c r="F1993" s="682" t="s">
        <v>236</v>
      </c>
      <c r="G1993" s="683" t="s">
        <v>237</v>
      </c>
      <c r="J1993" s="639">
        <f t="shared" ref="J1993:J2007" si="68">SUM(H1993:I1993)</f>
        <v>0</v>
      </c>
    </row>
    <row r="1994" spans="5:10" hidden="1">
      <c r="F1994" s="682" t="s">
        <v>238</v>
      </c>
      <c r="G1994" s="683" t="s">
        <v>239</v>
      </c>
      <c r="J1994" s="639">
        <f t="shared" si="68"/>
        <v>0</v>
      </c>
    </row>
    <row r="1995" spans="5:10" hidden="1">
      <c r="F1995" s="682" t="s">
        <v>240</v>
      </c>
      <c r="G1995" s="683" t="s">
        <v>241</v>
      </c>
      <c r="J1995" s="639">
        <f t="shared" si="68"/>
        <v>0</v>
      </c>
    </row>
    <row r="1996" spans="5:10" hidden="1">
      <c r="F1996" s="682" t="s">
        <v>242</v>
      </c>
      <c r="G1996" s="683" t="s">
        <v>243</v>
      </c>
      <c r="J1996" s="639">
        <f t="shared" si="68"/>
        <v>0</v>
      </c>
    </row>
    <row r="1997" spans="5:10" hidden="1">
      <c r="F1997" s="682" t="s">
        <v>244</v>
      </c>
      <c r="G1997" s="683" t="s">
        <v>245</v>
      </c>
      <c r="J1997" s="639">
        <f t="shared" si="68"/>
        <v>0</v>
      </c>
    </row>
    <row r="1998" spans="5:10" hidden="1">
      <c r="F1998" s="682" t="s">
        <v>246</v>
      </c>
      <c r="G1998" s="683" t="s">
        <v>5121</v>
      </c>
      <c r="J1998" s="639">
        <f t="shared" si="68"/>
        <v>0</v>
      </c>
    </row>
    <row r="1999" spans="5:10" hidden="1">
      <c r="F1999" s="682" t="s">
        <v>247</v>
      </c>
      <c r="G1999" s="683" t="s">
        <v>5120</v>
      </c>
      <c r="J1999" s="639">
        <f t="shared" si="68"/>
        <v>0</v>
      </c>
    </row>
    <row r="2000" spans="5:10" hidden="1">
      <c r="F2000" s="682" t="s">
        <v>248</v>
      </c>
      <c r="G2000" s="683" t="s">
        <v>57</v>
      </c>
      <c r="J2000" s="639">
        <f t="shared" si="68"/>
        <v>0</v>
      </c>
    </row>
    <row r="2001" spans="3:10" hidden="1">
      <c r="F2001" s="682" t="s">
        <v>249</v>
      </c>
      <c r="G2001" s="683" t="s">
        <v>250</v>
      </c>
      <c r="J2001" s="639">
        <f t="shared" si="68"/>
        <v>0</v>
      </c>
    </row>
    <row r="2002" spans="3:10" hidden="1">
      <c r="F2002" s="682" t="s">
        <v>251</v>
      </c>
      <c r="G2002" s="683" t="s">
        <v>252</v>
      </c>
      <c r="J2002" s="639">
        <f t="shared" si="68"/>
        <v>0</v>
      </c>
    </row>
    <row r="2003" spans="3:10" hidden="1">
      <c r="F2003" s="682" t="s">
        <v>253</v>
      </c>
      <c r="G2003" s="683" t="s">
        <v>254</v>
      </c>
      <c r="J2003" s="639">
        <f t="shared" si="68"/>
        <v>0</v>
      </c>
    </row>
    <row r="2004" spans="3:10" hidden="1">
      <c r="F2004" s="682" t="s">
        <v>255</v>
      </c>
      <c r="G2004" s="683" t="s">
        <v>256</v>
      </c>
      <c r="J2004" s="639">
        <f t="shared" si="68"/>
        <v>0</v>
      </c>
    </row>
    <row r="2005" spans="3:10" hidden="1">
      <c r="F2005" s="682" t="s">
        <v>257</v>
      </c>
      <c r="G2005" s="683" t="s">
        <v>258</v>
      </c>
      <c r="J2005" s="639">
        <f t="shared" si="68"/>
        <v>0</v>
      </c>
    </row>
    <row r="2006" spans="3:10" hidden="1">
      <c r="F2006" s="682" t="s">
        <v>259</v>
      </c>
      <c r="G2006" s="683" t="s">
        <v>260</v>
      </c>
      <c r="J2006" s="639">
        <f t="shared" si="68"/>
        <v>0</v>
      </c>
    </row>
    <row r="2007" spans="3:10" ht="15.75" hidden="1" thickBot="1">
      <c r="F2007" s="682" t="s">
        <v>261</v>
      </c>
      <c r="G2007" s="683" t="s">
        <v>262</v>
      </c>
      <c r="H2007" s="638"/>
      <c r="I2007" s="639"/>
      <c r="J2007" s="639">
        <f t="shared" si="68"/>
        <v>0</v>
      </c>
    </row>
    <row r="2008" spans="3:10" ht="15.75" thickBot="1">
      <c r="G2008" s="274" t="s">
        <v>5182</v>
      </c>
      <c r="H2008" s="640">
        <f>SUM(H1992:H2007)</f>
        <v>15800000</v>
      </c>
      <c r="I2008" s="641">
        <f>SUM(I1993:I2007)</f>
        <v>0</v>
      </c>
      <c r="J2008" s="641">
        <f>SUM(J1992:J2007)</f>
        <v>15800000</v>
      </c>
    </row>
    <row r="2009" spans="3:10" ht="7.5" customHeight="1">
      <c r="G2009" s="331"/>
      <c r="H2009" s="644"/>
      <c r="I2009" s="645"/>
      <c r="J2009" s="645"/>
    </row>
    <row r="2010" spans="3:10" hidden="1">
      <c r="C2010" s="273" t="s">
        <v>4643</v>
      </c>
      <c r="D2010" s="264"/>
      <c r="G2010" s="553" t="s">
        <v>5178</v>
      </c>
    </row>
    <row r="2011" spans="3:10" hidden="1">
      <c r="C2011" s="273"/>
      <c r="D2011" s="373">
        <v>620</v>
      </c>
      <c r="E2011" s="374"/>
      <c r="F2011" s="374"/>
      <c r="G2011" s="375" t="s">
        <v>135</v>
      </c>
    </row>
    <row r="2012" spans="3:10" hidden="1">
      <c r="F2012" s="569">
        <v>411</v>
      </c>
      <c r="G2012" s="562" t="s">
        <v>4173</v>
      </c>
      <c r="J2012" s="635">
        <f>SUM(H2012:I2012)</f>
        <v>0</v>
      </c>
    </row>
    <row r="2013" spans="3:10" hidden="1">
      <c r="F2013" s="569">
        <v>412</v>
      </c>
      <c r="G2013" s="558" t="s">
        <v>3770</v>
      </c>
      <c r="J2013" s="635">
        <f t="shared" ref="J2013:J2071" si="69">SUM(H2013:I2013)</f>
        <v>0</v>
      </c>
    </row>
    <row r="2014" spans="3:10" hidden="1">
      <c r="F2014" s="569">
        <v>413</v>
      </c>
      <c r="G2014" s="562" t="s">
        <v>4174</v>
      </c>
      <c r="J2014" s="635">
        <f t="shared" si="69"/>
        <v>0</v>
      </c>
    </row>
    <row r="2015" spans="3:10" hidden="1">
      <c r="F2015" s="569">
        <v>414</v>
      </c>
      <c r="G2015" s="562" t="s">
        <v>3773</v>
      </c>
      <c r="J2015" s="635">
        <f t="shared" si="69"/>
        <v>0</v>
      </c>
    </row>
    <row r="2016" spans="3:10" hidden="1">
      <c r="F2016" s="569">
        <v>415</v>
      </c>
      <c r="G2016" s="562" t="s">
        <v>4183</v>
      </c>
      <c r="J2016" s="635">
        <f t="shared" si="69"/>
        <v>0</v>
      </c>
    </row>
    <row r="2017" spans="6:10" hidden="1">
      <c r="F2017" s="569">
        <v>416</v>
      </c>
      <c r="G2017" s="562" t="s">
        <v>4184</v>
      </c>
      <c r="J2017" s="635">
        <f t="shared" si="69"/>
        <v>0</v>
      </c>
    </row>
    <row r="2018" spans="6:10" hidden="1">
      <c r="F2018" s="569">
        <v>417</v>
      </c>
      <c r="G2018" s="562" t="s">
        <v>4185</v>
      </c>
      <c r="J2018" s="635">
        <f t="shared" si="69"/>
        <v>0</v>
      </c>
    </row>
    <row r="2019" spans="6:10" hidden="1">
      <c r="F2019" s="569">
        <v>418</v>
      </c>
      <c r="G2019" s="562" t="s">
        <v>3779</v>
      </c>
      <c r="J2019" s="635">
        <f t="shared" si="69"/>
        <v>0</v>
      </c>
    </row>
    <row r="2020" spans="6:10" hidden="1">
      <c r="F2020" s="569">
        <v>421</v>
      </c>
      <c r="G2020" s="562" t="s">
        <v>3783</v>
      </c>
      <c r="J2020" s="635">
        <f t="shared" si="69"/>
        <v>0</v>
      </c>
    </row>
    <row r="2021" spans="6:10" hidden="1">
      <c r="F2021" s="569">
        <v>422</v>
      </c>
      <c r="G2021" s="562" t="s">
        <v>3784</v>
      </c>
      <c r="J2021" s="635">
        <f t="shared" si="69"/>
        <v>0</v>
      </c>
    </row>
    <row r="2022" spans="6:10" hidden="1">
      <c r="F2022" s="569">
        <v>423</v>
      </c>
      <c r="G2022" s="562" t="s">
        <v>3785</v>
      </c>
      <c r="J2022" s="635">
        <f t="shared" si="69"/>
        <v>0</v>
      </c>
    </row>
    <row r="2023" spans="6:10" hidden="1">
      <c r="F2023" s="569">
        <v>424</v>
      </c>
      <c r="G2023" s="562" t="s">
        <v>3787</v>
      </c>
      <c r="J2023" s="635">
        <f t="shared" si="69"/>
        <v>0</v>
      </c>
    </row>
    <row r="2024" spans="6:10" hidden="1">
      <c r="F2024" s="569">
        <v>425</v>
      </c>
      <c r="G2024" s="562" t="s">
        <v>4186</v>
      </c>
      <c r="J2024" s="635">
        <f t="shared" si="69"/>
        <v>0</v>
      </c>
    </row>
    <row r="2025" spans="6:10" hidden="1">
      <c r="F2025" s="569">
        <v>426</v>
      </c>
      <c r="G2025" s="562" t="s">
        <v>3791</v>
      </c>
      <c r="J2025" s="635">
        <f t="shared" si="69"/>
        <v>0</v>
      </c>
    </row>
    <row r="2026" spans="6:10" hidden="1">
      <c r="F2026" s="569">
        <v>431</v>
      </c>
      <c r="G2026" s="562" t="s">
        <v>4187</v>
      </c>
      <c r="J2026" s="635">
        <f t="shared" si="69"/>
        <v>0</v>
      </c>
    </row>
    <row r="2027" spans="6:10" hidden="1">
      <c r="F2027" s="569">
        <v>432</v>
      </c>
      <c r="G2027" s="562" t="s">
        <v>4188</v>
      </c>
      <c r="J2027" s="635">
        <f t="shared" si="69"/>
        <v>0</v>
      </c>
    </row>
    <row r="2028" spans="6:10" hidden="1">
      <c r="F2028" s="569">
        <v>433</v>
      </c>
      <c r="G2028" s="562" t="s">
        <v>4189</v>
      </c>
      <c r="J2028" s="635">
        <f t="shared" si="69"/>
        <v>0</v>
      </c>
    </row>
    <row r="2029" spans="6:10" hidden="1">
      <c r="F2029" s="569">
        <v>434</v>
      </c>
      <c r="G2029" s="562" t="s">
        <v>4190</v>
      </c>
      <c r="J2029" s="635">
        <f t="shared" si="69"/>
        <v>0</v>
      </c>
    </row>
    <row r="2030" spans="6:10" hidden="1">
      <c r="F2030" s="569">
        <v>435</v>
      </c>
      <c r="G2030" s="562" t="s">
        <v>3798</v>
      </c>
      <c r="J2030" s="635">
        <f t="shared" si="69"/>
        <v>0</v>
      </c>
    </row>
    <row r="2031" spans="6:10" hidden="1">
      <c r="F2031" s="569">
        <v>441</v>
      </c>
      <c r="G2031" s="562" t="s">
        <v>4191</v>
      </c>
      <c r="J2031" s="635">
        <f t="shared" si="69"/>
        <v>0</v>
      </c>
    </row>
    <row r="2032" spans="6:10" hidden="1">
      <c r="F2032" s="569">
        <v>442</v>
      </c>
      <c r="G2032" s="562" t="s">
        <v>4192</v>
      </c>
      <c r="J2032" s="635">
        <f t="shared" si="69"/>
        <v>0</v>
      </c>
    </row>
    <row r="2033" spans="6:10" hidden="1">
      <c r="F2033" s="569">
        <v>443</v>
      </c>
      <c r="G2033" s="562" t="s">
        <v>3803</v>
      </c>
      <c r="J2033" s="635">
        <f t="shared" si="69"/>
        <v>0</v>
      </c>
    </row>
    <row r="2034" spans="6:10" hidden="1">
      <c r="F2034" s="569">
        <v>444</v>
      </c>
      <c r="G2034" s="562" t="s">
        <v>3804</v>
      </c>
      <c r="J2034" s="635">
        <f t="shared" si="69"/>
        <v>0</v>
      </c>
    </row>
    <row r="2035" spans="6:10" ht="30" hidden="1">
      <c r="F2035" s="569">
        <v>4511</v>
      </c>
      <c r="G2035" s="268" t="s">
        <v>1690</v>
      </c>
      <c r="J2035" s="635">
        <f t="shared" si="69"/>
        <v>0</v>
      </c>
    </row>
    <row r="2036" spans="6:10" ht="30" hidden="1">
      <c r="F2036" s="569">
        <v>4512</v>
      </c>
      <c r="G2036" s="268" t="s">
        <v>1699</v>
      </c>
      <c r="J2036" s="635">
        <f t="shared" si="69"/>
        <v>0</v>
      </c>
    </row>
    <row r="2037" spans="6:10" hidden="1">
      <c r="F2037" s="569">
        <v>452</v>
      </c>
      <c r="G2037" s="562" t="s">
        <v>4193</v>
      </c>
      <c r="J2037" s="635">
        <f t="shared" si="69"/>
        <v>0</v>
      </c>
    </row>
    <row r="2038" spans="6:10" hidden="1">
      <c r="F2038" s="569">
        <v>453</v>
      </c>
      <c r="G2038" s="562" t="s">
        <v>4194</v>
      </c>
      <c r="J2038" s="635">
        <f t="shared" si="69"/>
        <v>0</v>
      </c>
    </row>
    <row r="2039" spans="6:10" hidden="1">
      <c r="F2039" s="569">
        <v>454</v>
      </c>
      <c r="G2039" s="562" t="s">
        <v>3809</v>
      </c>
      <c r="J2039" s="635">
        <f t="shared" si="69"/>
        <v>0</v>
      </c>
    </row>
    <row r="2040" spans="6:10" hidden="1">
      <c r="F2040" s="569">
        <v>461</v>
      </c>
      <c r="G2040" s="562" t="s">
        <v>4175</v>
      </c>
      <c r="J2040" s="635">
        <f t="shared" si="69"/>
        <v>0</v>
      </c>
    </row>
    <row r="2041" spans="6:10" hidden="1">
      <c r="F2041" s="569">
        <v>462</v>
      </c>
      <c r="G2041" s="562" t="s">
        <v>3812</v>
      </c>
      <c r="J2041" s="635">
        <f t="shared" si="69"/>
        <v>0</v>
      </c>
    </row>
    <row r="2042" spans="6:10" ht="15.75" hidden="1" thickBot="1">
      <c r="F2042" s="569">
        <v>511</v>
      </c>
      <c r="G2042" s="562" t="s">
        <v>4200</v>
      </c>
      <c r="J2042" s="635">
        <f t="shared" si="69"/>
        <v>0</v>
      </c>
    </row>
    <row r="2043" spans="6:10" hidden="1">
      <c r="F2043" s="569">
        <v>4632</v>
      </c>
      <c r="G2043" s="562" t="s">
        <v>3814</v>
      </c>
      <c r="J2043" s="635">
        <f t="shared" si="69"/>
        <v>0</v>
      </c>
    </row>
    <row r="2044" spans="6:10" hidden="1">
      <c r="F2044" s="569">
        <v>464</v>
      </c>
      <c r="G2044" s="562" t="s">
        <v>3815</v>
      </c>
      <c r="J2044" s="635">
        <f t="shared" si="69"/>
        <v>0</v>
      </c>
    </row>
    <row r="2045" spans="6:10" hidden="1">
      <c r="F2045" s="569">
        <v>465</v>
      </c>
      <c r="G2045" s="562" t="s">
        <v>4176</v>
      </c>
      <c r="J2045" s="635">
        <f t="shared" si="69"/>
        <v>0</v>
      </c>
    </row>
    <row r="2046" spans="6:10" hidden="1">
      <c r="F2046" s="569">
        <v>472</v>
      </c>
      <c r="G2046" s="562" t="s">
        <v>3819</v>
      </c>
      <c r="J2046" s="635">
        <f t="shared" si="69"/>
        <v>0</v>
      </c>
    </row>
    <row r="2047" spans="6:10" hidden="1">
      <c r="F2047" s="569">
        <v>481</v>
      </c>
      <c r="G2047" s="562" t="s">
        <v>4195</v>
      </c>
      <c r="J2047" s="635">
        <f t="shared" si="69"/>
        <v>0</v>
      </c>
    </row>
    <row r="2048" spans="6:10" hidden="1">
      <c r="F2048" s="569">
        <v>482</v>
      </c>
      <c r="G2048" s="562" t="s">
        <v>4196</v>
      </c>
      <c r="J2048" s="635">
        <f t="shared" si="69"/>
        <v>0</v>
      </c>
    </row>
    <row r="2049" spans="6:10" hidden="1">
      <c r="F2049" s="569">
        <v>483</v>
      </c>
      <c r="G2049" s="566" t="s">
        <v>4197</v>
      </c>
      <c r="J2049" s="635">
        <f t="shared" si="69"/>
        <v>0</v>
      </c>
    </row>
    <row r="2050" spans="6:10" ht="30" hidden="1">
      <c r="F2050" s="569">
        <v>484</v>
      </c>
      <c r="G2050" s="562" t="s">
        <v>4198</v>
      </c>
      <c r="J2050" s="635">
        <f t="shared" si="69"/>
        <v>0</v>
      </c>
    </row>
    <row r="2051" spans="6:10" ht="30" hidden="1">
      <c r="F2051" s="569">
        <v>485</v>
      </c>
      <c r="G2051" s="562" t="s">
        <v>4199</v>
      </c>
      <c r="J2051" s="635">
        <f t="shared" si="69"/>
        <v>0</v>
      </c>
    </row>
    <row r="2052" spans="6:10" ht="30" hidden="1">
      <c r="F2052" s="569">
        <v>489</v>
      </c>
      <c r="G2052" s="562" t="s">
        <v>3827</v>
      </c>
      <c r="J2052" s="635">
        <f t="shared" si="69"/>
        <v>0</v>
      </c>
    </row>
    <row r="2053" spans="6:10" hidden="1">
      <c r="F2053" s="569">
        <v>494</v>
      </c>
      <c r="G2053" s="562" t="s">
        <v>4177</v>
      </c>
      <c r="J2053" s="635">
        <f t="shared" si="69"/>
        <v>0</v>
      </c>
    </row>
    <row r="2054" spans="6:10" ht="30" hidden="1">
      <c r="F2054" s="569">
        <v>495</v>
      </c>
      <c r="G2054" s="562" t="s">
        <v>4178</v>
      </c>
      <c r="J2054" s="635">
        <f t="shared" si="69"/>
        <v>0</v>
      </c>
    </row>
    <row r="2055" spans="6:10" ht="30" hidden="1">
      <c r="F2055" s="569">
        <v>496</v>
      </c>
      <c r="G2055" s="562" t="s">
        <v>4179</v>
      </c>
      <c r="J2055" s="635">
        <f t="shared" si="69"/>
        <v>0</v>
      </c>
    </row>
    <row r="2056" spans="6:10" hidden="1">
      <c r="F2056" s="569">
        <v>499</v>
      </c>
      <c r="G2056" s="562" t="s">
        <v>4180</v>
      </c>
      <c r="J2056" s="635">
        <f t="shared" si="69"/>
        <v>0</v>
      </c>
    </row>
    <row r="2057" spans="6:10" hidden="1">
      <c r="F2057" s="569">
        <v>511</v>
      </c>
      <c r="G2057" s="566" t="s">
        <v>4200</v>
      </c>
      <c r="J2057" s="635">
        <f t="shared" si="69"/>
        <v>0</v>
      </c>
    </row>
    <row r="2058" spans="6:10" hidden="1">
      <c r="F2058" s="569">
        <v>512</v>
      </c>
      <c r="G2058" s="566" t="s">
        <v>4201</v>
      </c>
      <c r="J2058" s="635">
        <f t="shared" si="69"/>
        <v>0</v>
      </c>
    </row>
    <row r="2059" spans="6:10" hidden="1">
      <c r="F2059" s="569">
        <v>513</v>
      </c>
      <c r="G2059" s="566" t="s">
        <v>4202</v>
      </c>
      <c r="J2059" s="635">
        <f t="shared" si="69"/>
        <v>0</v>
      </c>
    </row>
    <row r="2060" spans="6:10" hidden="1">
      <c r="F2060" s="569">
        <v>514</v>
      </c>
      <c r="G2060" s="562" t="s">
        <v>4203</v>
      </c>
      <c r="J2060" s="635">
        <f t="shared" si="69"/>
        <v>0</v>
      </c>
    </row>
    <row r="2061" spans="6:10" hidden="1">
      <c r="F2061" s="569">
        <v>515</v>
      </c>
      <c r="G2061" s="562" t="s">
        <v>3838</v>
      </c>
      <c r="J2061" s="635">
        <f t="shared" si="69"/>
        <v>0</v>
      </c>
    </row>
    <row r="2062" spans="6:10" hidden="1">
      <c r="F2062" s="569">
        <v>521</v>
      </c>
      <c r="G2062" s="562" t="s">
        <v>4204</v>
      </c>
      <c r="J2062" s="635">
        <f t="shared" si="69"/>
        <v>0</v>
      </c>
    </row>
    <row r="2063" spans="6:10" hidden="1">
      <c r="F2063" s="569">
        <v>522</v>
      </c>
      <c r="G2063" s="562" t="s">
        <v>4205</v>
      </c>
      <c r="J2063" s="635">
        <f t="shared" si="69"/>
        <v>0</v>
      </c>
    </row>
    <row r="2064" spans="6:10" hidden="1">
      <c r="F2064" s="569">
        <v>523</v>
      </c>
      <c r="G2064" s="562" t="s">
        <v>3843</v>
      </c>
      <c r="J2064" s="635">
        <f t="shared" si="69"/>
        <v>0</v>
      </c>
    </row>
    <row r="2065" spans="5:10" hidden="1">
      <c r="F2065" s="569">
        <v>531</v>
      </c>
      <c r="G2065" s="558" t="s">
        <v>4181</v>
      </c>
      <c r="J2065" s="635">
        <f t="shared" si="69"/>
        <v>0</v>
      </c>
    </row>
    <row r="2066" spans="5:10" hidden="1">
      <c r="F2066" s="569">
        <v>541</v>
      </c>
      <c r="G2066" s="562" t="s">
        <v>4206</v>
      </c>
      <c r="J2066" s="635">
        <f t="shared" si="69"/>
        <v>0</v>
      </c>
    </row>
    <row r="2067" spans="5:10" hidden="1">
      <c r="F2067" s="569">
        <v>542</v>
      </c>
      <c r="G2067" s="562" t="s">
        <v>4207</v>
      </c>
      <c r="J2067" s="635">
        <f t="shared" si="69"/>
        <v>0</v>
      </c>
    </row>
    <row r="2068" spans="5:10" hidden="1">
      <c r="F2068" s="569">
        <v>543</v>
      </c>
      <c r="G2068" s="562" t="s">
        <v>3848</v>
      </c>
      <c r="J2068" s="635">
        <f t="shared" si="69"/>
        <v>0</v>
      </c>
    </row>
    <row r="2069" spans="5:10" ht="30" hidden="1">
      <c r="F2069" s="569">
        <v>551</v>
      </c>
      <c r="G2069" s="562" t="s">
        <v>4182</v>
      </c>
      <c r="J2069" s="635">
        <f t="shared" si="69"/>
        <v>0</v>
      </c>
    </row>
    <row r="2070" spans="5:10" hidden="1">
      <c r="F2070" s="570">
        <v>611</v>
      </c>
      <c r="G2070" s="568" t="s">
        <v>3854</v>
      </c>
      <c r="J2070" s="635">
        <f t="shared" si="69"/>
        <v>0</v>
      </c>
    </row>
    <row r="2071" spans="5:10" ht="15.75" hidden="1" thickBot="1">
      <c r="F2071" s="570">
        <v>620</v>
      </c>
      <c r="G2071" s="568" t="s">
        <v>88</v>
      </c>
      <c r="J2071" s="635">
        <f t="shared" si="69"/>
        <v>0</v>
      </c>
    </row>
    <row r="2072" spans="5:10" hidden="1">
      <c r="E2072" s="559"/>
      <c r="F2072" s="570"/>
      <c r="G2072" s="372" t="s">
        <v>4350</v>
      </c>
      <c r="H2072" s="636"/>
      <c r="I2072" s="662"/>
      <c r="J2072" s="637"/>
    </row>
    <row r="2073" spans="5:10" ht="15.75" hidden="1" thickBot="1">
      <c r="E2073" s="267"/>
      <c r="F2073" s="682" t="s">
        <v>234</v>
      </c>
      <c r="G2073" s="683" t="s">
        <v>235</v>
      </c>
      <c r="H2073" s="638">
        <f>SUM(H2012:H2071)</f>
        <v>0</v>
      </c>
      <c r="I2073" s="639"/>
      <c r="J2073" s="639">
        <f t="shared" ref="J2073:J2088" si="70">SUM(H2073:I2073)</f>
        <v>0</v>
      </c>
    </row>
    <row r="2074" spans="5:10" hidden="1">
      <c r="F2074" s="682" t="s">
        <v>236</v>
      </c>
      <c r="G2074" s="683" t="s">
        <v>237</v>
      </c>
      <c r="J2074" s="639">
        <f t="shared" si="70"/>
        <v>0</v>
      </c>
    </row>
    <row r="2075" spans="5:10" hidden="1">
      <c r="F2075" s="682" t="s">
        <v>238</v>
      </c>
      <c r="G2075" s="683" t="s">
        <v>239</v>
      </c>
      <c r="J2075" s="639">
        <f t="shared" si="70"/>
        <v>0</v>
      </c>
    </row>
    <row r="2076" spans="5:10" hidden="1">
      <c r="F2076" s="682" t="s">
        <v>240</v>
      </c>
      <c r="G2076" s="683" t="s">
        <v>241</v>
      </c>
      <c r="J2076" s="639">
        <f t="shared" si="70"/>
        <v>0</v>
      </c>
    </row>
    <row r="2077" spans="5:10" hidden="1">
      <c r="F2077" s="682" t="s">
        <v>242</v>
      </c>
      <c r="G2077" s="683" t="s">
        <v>243</v>
      </c>
      <c r="J2077" s="639">
        <f t="shared" si="70"/>
        <v>0</v>
      </c>
    </row>
    <row r="2078" spans="5:10" hidden="1">
      <c r="F2078" s="682" t="s">
        <v>244</v>
      </c>
      <c r="G2078" s="683" t="s">
        <v>245</v>
      </c>
      <c r="J2078" s="639">
        <f t="shared" si="70"/>
        <v>0</v>
      </c>
    </row>
    <row r="2079" spans="5:10" hidden="1">
      <c r="F2079" s="682" t="s">
        <v>246</v>
      </c>
      <c r="G2079" s="683" t="s">
        <v>5121</v>
      </c>
      <c r="J2079" s="639">
        <f t="shared" si="70"/>
        <v>0</v>
      </c>
    </row>
    <row r="2080" spans="5:10" hidden="1">
      <c r="F2080" s="682" t="s">
        <v>247</v>
      </c>
      <c r="G2080" s="683" t="s">
        <v>5120</v>
      </c>
      <c r="J2080" s="639">
        <f t="shared" si="70"/>
        <v>0</v>
      </c>
    </row>
    <row r="2081" spans="5:10" hidden="1">
      <c r="F2081" s="682" t="s">
        <v>248</v>
      </c>
      <c r="G2081" s="683" t="s">
        <v>57</v>
      </c>
      <c r="J2081" s="639">
        <f t="shared" si="70"/>
        <v>0</v>
      </c>
    </row>
    <row r="2082" spans="5:10" hidden="1">
      <c r="F2082" s="682" t="s">
        <v>249</v>
      </c>
      <c r="G2082" s="683" t="s">
        <v>250</v>
      </c>
      <c r="J2082" s="639">
        <f t="shared" si="70"/>
        <v>0</v>
      </c>
    </row>
    <row r="2083" spans="5:10" hidden="1">
      <c r="F2083" s="682" t="s">
        <v>251</v>
      </c>
      <c r="G2083" s="683" t="s">
        <v>252</v>
      </c>
      <c r="J2083" s="639">
        <f t="shared" si="70"/>
        <v>0</v>
      </c>
    </row>
    <row r="2084" spans="5:10" hidden="1">
      <c r="F2084" s="682" t="s">
        <v>253</v>
      </c>
      <c r="G2084" s="683" t="s">
        <v>254</v>
      </c>
      <c r="J2084" s="639">
        <f t="shared" si="70"/>
        <v>0</v>
      </c>
    </row>
    <row r="2085" spans="5:10" hidden="1">
      <c r="F2085" s="682" t="s">
        <v>255</v>
      </c>
      <c r="G2085" s="683" t="s">
        <v>256</v>
      </c>
      <c r="J2085" s="639">
        <f t="shared" si="70"/>
        <v>0</v>
      </c>
    </row>
    <row r="2086" spans="5:10" hidden="1">
      <c r="F2086" s="682" t="s">
        <v>257</v>
      </c>
      <c r="G2086" s="683" t="s">
        <v>258</v>
      </c>
      <c r="J2086" s="639">
        <f t="shared" si="70"/>
        <v>0</v>
      </c>
    </row>
    <row r="2087" spans="5:10" hidden="1">
      <c r="F2087" s="682" t="s">
        <v>259</v>
      </c>
      <c r="G2087" s="683" t="s">
        <v>260</v>
      </c>
      <c r="J2087" s="639">
        <f t="shared" si="70"/>
        <v>0</v>
      </c>
    </row>
    <row r="2088" spans="5:10" ht="15.75" hidden="1" thickBot="1">
      <c r="F2088" s="682" t="s">
        <v>261</v>
      </c>
      <c r="G2088" s="683" t="s">
        <v>262</v>
      </c>
      <c r="H2088" s="638"/>
      <c r="I2088" s="639"/>
      <c r="J2088" s="639">
        <f t="shared" si="70"/>
        <v>0</v>
      </c>
    </row>
    <row r="2089" spans="5:10" ht="15.75" hidden="1" thickBot="1">
      <c r="G2089" s="274" t="s">
        <v>4351</v>
      </c>
      <c r="H2089" s="640">
        <f>SUM(H2073:H2088)</f>
        <v>0</v>
      </c>
      <c r="I2089" s="641">
        <f>SUM(I2074:I2088)</f>
        <v>0</v>
      </c>
      <c r="J2089" s="641">
        <f>SUM(J2073:J2088)</f>
        <v>0</v>
      </c>
    </row>
    <row r="2090" spans="5:10" hidden="1">
      <c r="E2090" s="559"/>
      <c r="F2090" s="570"/>
      <c r="G2090" s="276" t="s">
        <v>5183</v>
      </c>
      <c r="H2090" s="642"/>
      <c r="I2090" s="663"/>
      <c r="J2090" s="643"/>
    </row>
    <row r="2091" spans="5:10" ht="15.75" hidden="1" thickBot="1">
      <c r="E2091" s="267"/>
      <c r="F2091" s="682" t="s">
        <v>234</v>
      </c>
      <c r="G2091" s="683" t="s">
        <v>235</v>
      </c>
      <c r="H2091" s="638">
        <f>SUM(H2012:H2071)</f>
        <v>0</v>
      </c>
      <c r="I2091" s="639"/>
      <c r="J2091" s="639">
        <f>SUM(H2091:I2091)</f>
        <v>0</v>
      </c>
    </row>
    <row r="2092" spans="5:10" hidden="1">
      <c r="F2092" s="682" t="s">
        <v>236</v>
      </c>
      <c r="G2092" s="683" t="s">
        <v>237</v>
      </c>
      <c r="J2092" s="639">
        <f t="shared" ref="J2092:J2106" si="71">SUM(H2092:I2092)</f>
        <v>0</v>
      </c>
    </row>
    <row r="2093" spans="5:10" hidden="1">
      <c r="F2093" s="682" t="s">
        <v>238</v>
      </c>
      <c r="G2093" s="683" t="s">
        <v>239</v>
      </c>
      <c r="J2093" s="639">
        <f t="shared" si="71"/>
        <v>0</v>
      </c>
    </row>
    <row r="2094" spans="5:10" hidden="1">
      <c r="F2094" s="682" t="s">
        <v>240</v>
      </c>
      <c r="G2094" s="683" t="s">
        <v>241</v>
      </c>
      <c r="J2094" s="639">
        <f t="shared" si="71"/>
        <v>0</v>
      </c>
    </row>
    <row r="2095" spans="5:10" ht="15.75" hidden="1" customHeight="1">
      <c r="F2095" s="682" t="s">
        <v>242</v>
      </c>
      <c r="G2095" s="683" t="s">
        <v>243</v>
      </c>
      <c r="J2095" s="639">
        <f t="shared" si="71"/>
        <v>0</v>
      </c>
    </row>
    <row r="2096" spans="5:10" hidden="1">
      <c r="F2096" s="682" t="s">
        <v>244</v>
      </c>
      <c r="G2096" s="683" t="s">
        <v>245</v>
      </c>
      <c r="J2096" s="639">
        <f t="shared" si="71"/>
        <v>0</v>
      </c>
    </row>
    <row r="2097" spans="3:10" hidden="1">
      <c r="F2097" s="682" t="s">
        <v>246</v>
      </c>
      <c r="G2097" s="683" t="s">
        <v>5121</v>
      </c>
      <c r="J2097" s="639">
        <f t="shared" si="71"/>
        <v>0</v>
      </c>
    </row>
    <row r="2098" spans="3:10" ht="14.25" hidden="1" customHeight="1">
      <c r="F2098" s="682" t="s">
        <v>247</v>
      </c>
      <c r="G2098" s="683" t="s">
        <v>5120</v>
      </c>
      <c r="J2098" s="639">
        <f t="shared" si="71"/>
        <v>0</v>
      </c>
    </row>
    <row r="2099" spans="3:10" hidden="1">
      <c r="F2099" s="682" t="s">
        <v>248</v>
      </c>
      <c r="G2099" s="683" t="s">
        <v>57</v>
      </c>
      <c r="J2099" s="639">
        <f t="shared" si="71"/>
        <v>0</v>
      </c>
    </row>
    <row r="2100" spans="3:10" ht="15.75" hidden="1" customHeight="1">
      <c r="F2100" s="682" t="s">
        <v>249</v>
      </c>
      <c r="G2100" s="683" t="s">
        <v>250</v>
      </c>
      <c r="J2100" s="639">
        <f t="shared" si="71"/>
        <v>0</v>
      </c>
    </row>
    <row r="2101" spans="3:10" hidden="1">
      <c r="F2101" s="682" t="s">
        <v>251</v>
      </c>
      <c r="G2101" s="683" t="s">
        <v>252</v>
      </c>
      <c r="J2101" s="639">
        <f t="shared" si="71"/>
        <v>0</v>
      </c>
    </row>
    <row r="2102" spans="3:10" hidden="1">
      <c r="F2102" s="682" t="s">
        <v>253</v>
      </c>
      <c r="G2102" s="683" t="s">
        <v>254</v>
      </c>
      <c r="J2102" s="639">
        <f t="shared" si="71"/>
        <v>0</v>
      </c>
    </row>
    <row r="2103" spans="3:10" hidden="1">
      <c r="F2103" s="682" t="s">
        <v>255</v>
      </c>
      <c r="G2103" s="683" t="s">
        <v>256</v>
      </c>
      <c r="J2103" s="639">
        <f t="shared" si="71"/>
        <v>0</v>
      </c>
    </row>
    <row r="2104" spans="3:10" hidden="1">
      <c r="F2104" s="682" t="s">
        <v>257</v>
      </c>
      <c r="G2104" s="683" t="s">
        <v>258</v>
      </c>
      <c r="J2104" s="639">
        <f t="shared" si="71"/>
        <v>0</v>
      </c>
    </row>
    <row r="2105" spans="3:10" hidden="1">
      <c r="F2105" s="682" t="s">
        <v>259</v>
      </c>
      <c r="G2105" s="683" t="s">
        <v>260</v>
      </c>
      <c r="J2105" s="639">
        <f t="shared" si="71"/>
        <v>0</v>
      </c>
    </row>
    <row r="2106" spans="3:10" ht="15.75" hidden="1" thickBot="1">
      <c r="F2106" s="682" t="s">
        <v>261</v>
      </c>
      <c r="G2106" s="683" t="s">
        <v>262</v>
      </c>
      <c r="H2106" s="638"/>
      <c r="I2106" s="639"/>
      <c r="J2106" s="639">
        <f t="shared" si="71"/>
        <v>0</v>
      </c>
    </row>
    <row r="2107" spans="3:10" ht="15.75" hidden="1" thickBot="1">
      <c r="G2107" s="274" t="s">
        <v>5184</v>
      </c>
      <c r="H2107" s="640">
        <f>SUM(H2091:H2106)</f>
        <v>0</v>
      </c>
      <c r="I2107" s="641">
        <f>SUM(I2092:I2106)</f>
        <v>0</v>
      </c>
      <c r="J2107" s="641">
        <f>SUM(J2091:J2106)</f>
        <v>0</v>
      </c>
    </row>
    <row r="2108" spans="3:10" hidden="1">
      <c r="G2108" s="331"/>
      <c r="H2108" s="644"/>
      <c r="I2108" s="645"/>
      <c r="J2108" s="645"/>
    </row>
    <row r="2109" spans="3:10" hidden="1">
      <c r="C2109" s="273" t="s">
        <v>4644</v>
      </c>
      <c r="D2109" s="264"/>
      <c r="G2109" s="553" t="s">
        <v>5178</v>
      </c>
    </row>
    <row r="2110" spans="3:10" hidden="1">
      <c r="C2110" s="273"/>
      <c r="D2110" s="373">
        <v>620</v>
      </c>
      <c r="E2110" s="374"/>
      <c r="F2110" s="374"/>
      <c r="G2110" s="375" t="s">
        <v>135</v>
      </c>
    </row>
    <row r="2111" spans="3:10" hidden="1">
      <c r="F2111" s="569">
        <v>411</v>
      </c>
      <c r="G2111" s="562" t="s">
        <v>4173</v>
      </c>
      <c r="J2111" s="635">
        <f>SUM(H2111:I2111)</f>
        <v>0</v>
      </c>
    </row>
    <row r="2112" spans="3:10" hidden="1">
      <c r="F2112" s="569">
        <v>412</v>
      </c>
      <c r="G2112" s="558" t="s">
        <v>3770</v>
      </c>
      <c r="J2112" s="635">
        <f t="shared" ref="J2112:J2170" si="72">SUM(H2112:I2112)</f>
        <v>0</v>
      </c>
    </row>
    <row r="2113" spans="6:10" hidden="1">
      <c r="F2113" s="569">
        <v>413</v>
      </c>
      <c r="G2113" s="562" t="s">
        <v>4174</v>
      </c>
      <c r="J2113" s="635">
        <f t="shared" si="72"/>
        <v>0</v>
      </c>
    </row>
    <row r="2114" spans="6:10" hidden="1">
      <c r="F2114" s="569">
        <v>414</v>
      </c>
      <c r="G2114" s="562" t="s">
        <v>3773</v>
      </c>
      <c r="J2114" s="635">
        <f t="shared" si="72"/>
        <v>0</v>
      </c>
    </row>
    <row r="2115" spans="6:10" hidden="1">
      <c r="F2115" s="569">
        <v>415</v>
      </c>
      <c r="G2115" s="562" t="s">
        <v>4183</v>
      </c>
      <c r="J2115" s="635">
        <f t="shared" si="72"/>
        <v>0</v>
      </c>
    </row>
    <row r="2116" spans="6:10" hidden="1">
      <c r="F2116" s="569">
        <v>416</v>
      </c>
      <c r="G2116" s="562" t="s">
        <v>4184</v>
      </c>
      <c r="J2116" s="635">
        <f t="shared" si="72"/>
        <v>0</v>
      </c>
    </row>
    <row r="2117" spans="6:10" hidden="1">
      <c r="F2117" s="569">
        <v>417</v>
      </c>
      <c r="G2117" s="562" t="s">
        <v>4185</v>
      </c>
      <c r="J2117" s="635">
        <f t="shared" si="72"/>
        <v>0</v>
      </c>
    </row>
    <row r="2118" spans="6:10" hidden="1">
      <c r="F2118" s="569">
        <v>418</v>
      </c>
      <c r="G2118" s="562" t="s">
        <v>3779</v>
      </c>
      <c r="J2118" s="635">
        <f t="shared" si="72"/>
        <v>0</v>
      </c>
    </row>
    <row r="2119" spans="6:10" hidden="1">
      <c r="F2119" s="569">
        <v>421</v>
      </c>
      <c r="G2119" s="562" t="s">
        <v>3783</v>
      </c>
      <c r="J2119" s="635">
        <f t="shared" si="72"/>
        <v>0</v>
      </c>
    </row>
    <row r="2120" spans="6:10" hidden="1">
      <c r="F2120" s="569">
        <v>422</v>
      </c>
      <c r="G2120" s="562" t="s">
        <v>3784</v>
      </c>
      <c r="J2120" s="635">
        <f t="shared" si="72"/>
        <v>0</v>
      </c>
    </row>
    <row r="2121" spans="6:10" hidden="1">
      <c r="F2121" s="569">
        <v>423</v>
      </c>
      <c r="G2121" s="562" t="s">
        <v>3785</v>
      </c>
      <c r="J2121" s="635">
        <f t="shared" si="72"/>
        <v>0</v>
      </c>
    </row>
    <row r="2122" spans="6:10" hidden="1">
      <c r="F2122" s="569">
        <v>424</v>
      </c>
      <c r="G2122" s="562" t="s">
        <v>3787</v>
      </c>
      <c r="J2122" s="635">
        <f t="shared" si="72"/>
        <v>0</v>
      </c>
    </row>
    <row r="2123" spans="6:10" hidden="1">
      <c r="F2123" s="569">
        <v>425</v>
      </c>
      <c r="G2123" s="562" t="s">
        <v>4186</v>
      </c>
      <c r="J2123" s="635">
        <f t="shared" si="72"/>
        <v>0</v>
      </c>
    </row>
    <row r="2124" spans="6:10" hidden="1">
      <c r="F2124" s="569">
        <v>426</v>
      </c>
      <c r="G2124" s="562" t="s">
        <v>3791</v>
      </c>
      <c r="J2124" s="635">
        <f t="shared" si="72"/>
        <v>0</v>
      </c>
    </row>
    <row r="2125" spans="6:10" hidden="1">
      <c r="F2125" s="569">
        <v>431</v>
      </c>
      <c r="G2125" s="562" t="s">
        <v>4187</v>
      </c>
      <c r="J2125" s="635">
        <f t="shared" si="72"/>
        <v>0</v>
      </c>
    </row>
    <row r="2126" spans="6:10" hidden="1">
      <c r="F2126" s="569">
        <v>432</v>
      </c>
      <c r="G2126" s="562" t="s">
        <v>4188</v>
      </c>
      <c r="J2126" s="635">
        <f t="shared" si="72"/>
        <v>0</v>
      </c>
    </row>
    <row r="2127" spans="6:10" hidden="1">
      <c r="F2127" s="569">
        <v>433</v>
      </c>
      <c r="G2127" s="562" t="s">
        <v>4189</v>
      </c>
      <c r="J2127" s="635">
        <f t="shared" si="72"/>
        <v>0</v>
      </c>
    </row>
    <row r="2128" spans="6:10" hidden="1">
      <c r="F2128" s="569">
        <v>434</v>
      </c>
      <c r="G2128" s="562" t="s">
        <v>4190</v>
      </c>
      <c r="J2128" s="635">
        <f t="shared" si="72"/>
        <v>0</v>
      </c>
    </row>
    <row r="2129" spans="6:10" hidden="1">
      <c r="F2129" s="569">
        <v>435</v>
      </c>
      <c r="G2129" s="562" t="s">
        <v>3798</v>
      </c>
      <c r="J2129" s="635">
        <f t="shared" si="72"/>
        <v>0</v>
      </c>
    </row>
    <row r="2130" spans="6:10" hidden="1">
      <c r="F2130" s="569">
        <v>441</v>
      </c>
      <c r="G2130" s="562" t="s">
        <v>4191</v>
      </c>
      <c r="J2130" s="635">
        <f t="shared" si="72"/>
        <v>0</v>
      </c>
    </row>
    <row r="2131" spans="6:10" hidden="1">
      <c r="F2131" s="569">
        <v>442</v>
      </c>
      <c r="G2131" s="562" t="s">
        <v>4192</v>
      </c>
      <c r="J2131" s="635">
        <f t="shared" si="72"/>
        <v>0</v>
      </c>
    </row>
    <row r="2132" spans="6:10" hidden="1">
      <c r="F2132" s="569">
        <v>443</v>
      </c>
      <c r="G2132" s="562" t="s">
        <v>3803</v>
      </c>
      <c r="J2132" s="635">
        <f t="shared" si="72"/>
        <v>0</v>
      </c>
    </row>
    <row r="2133" spans="6:10" hidden="1">
      <c r="F2133" s="569">
        <v>444</v>
      </c>
      <c r="G2133" s="562" t="s">
        <v>3804</v>
      </c>
      <c r="J2133" s="635">
        <f t="shared" si="72"/>
        <v>0</v>
      </c>
    </row>
    <row r="2134" spans="6:10" ht="30" hidden="1">
      <c r="F2134" s="569">
        <v>4511</v>
      </c>
      <c r="G2134" s="268" t="s">
        <v>1690</v>
      </c>
      <c r="J2134" s="635">
        <f t="shared" si="72"/>
        <v>0</v>
      </c>
    </row>
    <row r="2135" spans="6:10" ht="30" hidden="1">
      <c r="F2135" s="569">
        <v>4512</v>
      </c>
      <c r="G2135" s="268" t="s">
        <v>1699</v>
      </c>
      <c r="J2135" s="635">
        <f t="shared" si="72"/>
        <v>0</v>
      </c>
    </row>
    <row r="2136" spans="6:10" hidden="1">
      <c r="F2136" s="569">
        <v>452</v>
      </c>
      <c r="G2136" s="562" t="s">
        <v>4193</v>
      </c>
      <c r="J2136" s="635">
        <f t="shared" si="72"/>
        <v>0</v>
      </c>
    </row>
    <row r="2137" spans="6:10" hidden="1">
      <c r="F2137" s="569">
        <v>453</v>
      </c>
      <c r="G2137" s="562" t="s">
        <v>4194</v>
      </c>
      <c r="J2137" s="635">
        <f t="shared" si="72"/>
        <v>0</v>
      </c>
    </row>
    <row r="2138" spans="6:10" hidden="1">
      <c r="F2138" s="569">
        <v>454</v>
      </c>
      <c r="G2138" s="562" t="s">
        <v>3809</v>
      </c>
      <c r="J2138" s="635">
        <f t="shared" si="72"/>
        <v>0</v>
      </c>
    </row>
    <row r="2139" spans="6:10" hidden="1">
      <c r="F2139" s="569">
        <v>461</v>
      </c>
      <c r="G2139" s="562" t="s">
        <v>4175</v>
      </c>
      <c r="J2139" s="635">
        <f t="shared" si="72"/>
        <v>0</v>
      </c>
    </row>
    <row r="2140" spans="6:10" hidden="1">
      <c r="F2140" s="569">
        <v>462</v>
      </c>
      <c r="G2140" s="562" t="s">
        <v>3812</v>
      </c>
      <c r="J2140" s="635">
        <f t="shared" si="72"/>
        <v>0</v>
      </c>
    </row>
    <row r="2141" spans="6:10" hidden="1">
      <c r="F2141" s="569">
        <v>511</v>
      </c>
      <c r="G2141" s="562" t="s">
        <v>4200</v>
      </c>
      <c r="J2141" s="635">
        <f t="shared" si="72"/>
        <v>0</v>
      </c>
    </row>
    <row r="2142" spans="6:10" hidden="1">
      <c r="F2142" s="569">
        <v>4632</v>
      </c>
      <c r="G2142" s="562" t="s">
        <v>3814</v>
      </c>
      <c r="J2142" s="635">
        <f t="shared" si="72"/>
        <v>0</v>
      </c>
    </row>
    <row r="2143" spans="6:10" hidden="1">
      <c r="F2143" s="569">
        <v>464</v>
      </c>
      <c r="G2143" s="562" t="s">
        <v>3815</v>
      </c>
      <c r="J2143" s="635">
        <f t="shared" si="72"/>
        <v>0</v>
      </c>
    </row>
    <row r="2144" spans="6:10" hidden="1">
      <c r="F2144" s="569">
        <v>465</v>
      </c>
      <c r="G2144" s="562" t="s">
        <v>4176</v>
      </c>
      <c r="J2144" s="635">
        <f t="shared" si="72"/>
        <v>0</v>
      </c>
    </row>
    <row r="2145" spans="6:10" hidden="1">
      <c r="F2145" s="569">
        <v>472</v>
      </c>
      <c r="G2145" s="562" t="s">
        <v>3819</v>
      </c>
      <c r="J2145" s="635">
        <f t="shared" si="72"/>
        <v>0</v>
      </c>
    </row>
    <row r="2146" spans="6:10" hidden="1">
      <c r="F2146" s="569">
        <v>481</v>
      </c>
      <c r="G2146" s="562" t="s">
        <v>4195</v>
      </c>
      <c r="J2146" s="635">
        <f t="shared" si="72"/>
        <v>0</v>
      </c>
    </row>
    <row r="2147" spans="6:10" hidden="1">
      <c r="F2147" s="569">
        <v>482</v>
      </c>
      <c r="G2147" s="562" t="s">
        <v>4196</v>
      </c>
      <c r="J2147" s="635">
        <f t="shared" si="72"/>
        <v>0</v>
      </c>
    </row>
    <row r="2148" spans="6:10" hidden="1">
      <c r="F2148" s="569">
        <v>483</v>
      </c>
      <c r="G2148" s="566" t="s">
        <v>4197</v>
      </c>
      <c r="J2148" s="635">
        <f t="shared" si="72"/>
        <v>0</v>
      </c>
    </row>
    <row r="2149" spans="6:10" ht="30" hidden="1">
      <c r="F2149" s="569">
        <v>484</v>
      </c>
      <c r="G2149" s="562" t="s">
        <v>4198</v>
      </c>
      <c r="J2149" s="635">
        <f t="shared" si="72"/>
        <v>0</v>
      </c>
    </row>
    <row r="2150" spans="6:10" ht="30" hidden="1">
      <c r="F2150" s="569">
        <v>485</v>
      </c>
      <c r="G2150" s="562" t="s">
        <v>4199</v>
      </c>
      <c r="J2150" s="635">
        <f t="shared" si="72"/>
        <v>0</v>
      </c>
    </row>
    <row r="2151" spans="6:10" ht="30" hidden="1">
      <c r="F2151" s="569">
        <v>489</v>
      </c>
      <c r="G2151" s="562" t="s">
        <v>3827</v>
      </c>
      <c r="J2151" s="635">
        <f t="shared" si="72"/>
        <v>0</v>
      </c>
    </row>
    <row r="2152" spans="6:10" hidden="1">
      <c r="F2152" s="569">
        <v>494</v>
      </c>
      <c r="G2152" s="562" t="s">
        <v>4177</v>
      </c>
      <c r="J2152" s="635">
        <f t="shared" si="72"/>
        <v>0</v>
      </c>
    </row>
    <row r="2153" spans="6:10" ht="30" hidden="1">
      <c r="F2153" s="569">
        <v>495</v>
      </c>
      <c r="G2153" s="562" t="s">
        <v>4178</v>
      </c>
      <c r="J2153" s="635">
        <f t="shared" si="72"/>
        <v>0</v>
      </c>
    </row>
    <row r="2154" spans="6:10" ht="30" hidden="1">
      <c r="F2154" s="569">
        <v>496</v>
      </c>
      <c r="G2154" s="562" t="s">
        <v>4179</v>
      </c>
      <c r="J2154" s="635">
        <f t="shared" si="72"/>
        <v>0</v>
      </c>
    </row>
    <row r="2155" spans="6:10" hidden="1">
      <c r="F2155" s="569">
        <v>499</v>
      </c>
      <c r="G2155" s="562" t="s">
        <v>4180</v>
      </c>
      <c r="J2155" s="635">
        <f t="shared" si="72"/>
        <v>0</v>
      </c>
    </row>
    <row r="2156" spans="6:10" ht="15.75" hidden="1" thickBot="1">
      <c r="F2156" s="569">
        <v>511</v>
      </c>
      <c r="G2156" s="566" t="s">
        <v>4200</v>
      </c>
      <c r="J2156" s="635">
        <f t="shared" si="72"/>
        <v>0</v>
      </c>
    </row>
    <row r="2157" spans="6:10" hidden="1">
      <c r="F2157" s="569">
        <v>512</v>
      </c>
      <c r="G2157" s="566" t="s">
        <v>4201</v>
      </c>
      <c r="J2157" s="635">
        <f t="shared" si="72"/>
        <v>0</v>
      </c>
    </row>
    <row r="2158" spans="6:10" hidden="1">
      <c r="F2158" s="569">
        <v>513</v>
      </c>
      <c r="G2158" s="566" t="s">
        <v>4202</v>
      </c>
      <c r="J2158" s="635">
        <f t="shared" si="72"/>
        <v>0</v>
      </c>
    </row>
    <row r="2159" spans="6:10" hidden="1">
      <c r="F2159" s="569">
        <v>514</v>
      </c>
      <c r="G2159" s="562" t="s">
        <v>4203</v>
      </c>
      <c r="J2159" s="635">
        <f t="shared" si="72"/>
        <v>0</v>
      </c>
    </row>
    <row r="2160" spans="6:10" hidden="1">
      <c r="F2160" s="569">
        <v>515</v>
      </c>
      <c r="G2160" s="562" t="s">
        <v>3838</v>
      </c>
      <c r="J2160" s="635">
        <f t="shared" si="72"/>
        <v>0</v>
      </c>
    </row>
    <row r="2161" spans="5:10" hidden="1">
      <c r="F2161" s="569">
        <v>521</v>
      </c>
      <c r="G2161" s="562" t="s">
        <v>4204</v>
      </c>
      <c r="J2161" s="635">
        <f t="shared" si="72"/>
        <v>0</v>
      </c>
    </row>
    <row r="2162" spans="5:10" hidden="1">
      <c r="F2162" s="569">
        <v>522</v>
      </c>
      <c r="G2162" s="562" t="s">
        <v>4205</v>
      </c>
      <c r="J2162" s="635">
        <f t="shared" si="72"/>
        <v>0</v>
      </c>
    </row>
    <row r="2163" spans="5:10" hidden="1">
      <c r="F2163" s="569">
        <v>523</v>
      </c>
      <c r="G2163" s="562" t="s">
        <v>3843</v>
      </c>
      <c r="J2163" s="635">
        <f t="shared" si="72"/>
        <v>0</v>
      </c>
    </row>
    <row r="2164" spans="5:10" hidden="1">
      <c r="F2164" s="569">
        <v>531</v>
      </c>
      <c r="G2164" s="558" t="s">
        <v>4181</v>
      </c>
      <c r="J2164" s="635">
        <f t="shared" si="72"/>
        <v>0</v>
      </c>
    </row>
    <row r="2165" spans="5:10" hidden="1">
      <c r="F2165" s="569">
        <v>541</v>
      </c>
      <c r="G2165" s="562" t="s">
        <v>4206</v>
      </c>
      <c r="J2165" s="635">
        <f t="shared" si="72"/>
        <v>0</v>
      </c>
    </row>
    <row r="2166" spans="5:10" hidden="1">
      <c r="F2166" s="569">
        <v>542</v>
      </c>
      <c r="G2166" s="562" t="s">
        <v>4207</v>
      </c>
      <c r="J2166" s="635">
        <f t="shared" si="72"/>
        <v>0</v>
      </c>
    </row>
    <row r="2167" spans="5:10" hidden="1">
      <c r="F2167" s="569">
        <v>543</v>
      </c>
      <c r="G2167" s="562" t="s">
        <v>3848</v>
      </c>
      <c r="J2167" s="635">
        <f t="shared" si="72"/>
        <v>0</v>
      </c>
    </row>
    <row r="2168" spans="5:10" ht="30" hidden="1">
      <c r="F2168" s="569">
        <v>551</v>
      </c>
      <c r="G2168" s="562" t="s">
        <v>4182</v>
      </c>
      <c r="J2168" s="635">
        <f t="shared" si="72"/>
        <v>0</v>
      </c>
    </row>
    <row r="2169" spans="5:10" hidden="1">
      <c r="F2169" s="570">
        <v>611</v>
      </c>
      <c r="G2169" s="568" t="s">
        <v>3854</v>
      </c>
      <c r="J2169" s="635">
        <f t="shared" si="72"/>
        <v>0</v>
      </c>
    </row>
    <row r="2170" spans="5:10" ht="15.75" hidden="1" thickBot="1">
      <c r="F2170" s="570">
        <v>620</v>
      </c>
      <c r="G2170" s="568" t="s">
        <v>88</v>
      </c>
      <c r="J2170" s="635">
        <f t="shared" si="72"/>
        <v>0</v>
      </c>
    </row>
    <row r="2171" spans="5:10" hidden="1">
      <c r="E2171" s="559"/>
      <c r="F2171" s="570"/>
      <c r="G2171" s="372" t="s">
        <v>4350</v>
      </c>
      <c r="H2171" s="636"/>
      <c r="I2171" s="662"/>
      <c r="J2171" s="637"/>
    </row>
    <row r="2172" spans="5:10" ht="15.75" hidden="1" thickBot="1">
      <c r="E2172" s="267"/>
      <c r="F2172" s="682" t="s">
        <v>234</v>
      </c>
      <c r="G2172" s="683" t="s">
        <v>235</v>
      </c>
      <c r="H2172" s="638">
        <f>SUM(H2111:H2170)</f>
        <v>0</v>
      </c>
      <c r="I2172" s="639"/>
      <c r="J2172" s="639">
        <f t="shared" ref="J2172:J2187" si="73">SUM(H2172:I2172)</f>
        <v>0</v>
      </c>
    </row>
    <row r="2173" spans="5:10" hidden="1">
      <c r="F2173" s="682" t="s">
        <v>236</v>
      </c>
      <c r="G2173" s="683" t="s">
        <v>237</v>
      </c>
      <c r="J2173" s="639">
        <f t="shared" si="73"/>
        <v>0</v>
      </c>
    </row>
    <row r="2174" spans="5:10" hidden="1">
      <c r="F2174" s="682" t="s">
        <v>238</v>
      </c>
      <c r="G2174" s="683" t="s">
        <v>239</v>
      </c>
      <c r="J2174" s="639">
        <f t="shared" si="73"/>
        <v>0</v>
      </c>
    </row>
    <row r="2175" spans="5:10" hidden="1">
      <c r="F2175" s="682" t="s">
        <v>240</v>
      </c>
      <c r="G2175" s="683" t="s">
        <v>241</v>
      </c>
      <c r="J2175" s="639">
        <f t="shared" si="73"/>
        <v>0</v>
      </c>
    </row>
    <row r="2176" spans="5:10" hidden="1">
      <c r="F2176" s="682" t="s">
        <v>242</v>
      </c>
      <c r="G2176" s="683" t="s">
        <v>243</v>
      </c>
      <c r="J2176" s="639">
        <f t="shared" si="73"/>
        <v>0</v>
      </c>
    </row>
    <row r="2177" spans="5:10" hidden="1">
      <c r="F2177" s="682" t="s">
        <v>244</v>
      </c>
      <c r="G2177" s="683" t="s">
        <v>245</v>
      </c>
      <c r="J2177" s="639">
        <f t="shared" si="73"/>
        <v>0</v>
      </c>
    </row>
    <row r="2178" spans="5:10" hidden="1">
      <c r="F2178" s="682" t="s">
        <v>246</v>
      </c>
      <c r="G2178" s="683" t="s">
        <v>5121</v>
      </c>
      <c r="J2178" s="639">
        <f t="shared" si="73"/>
        <v>0</v>
      </c>
    </row>
    <row r="2179" spans="5:10" hidden="1">
      <c r="F2179" s="682" t="s">
        <v>247</v>
      </c>
      <c r="G2179" s="683" t="s">
        <v>5120</v>
      </c>
      <c r="J2179" s="639">
        <f t="shared" si="73"/>
        <v>0</v>
      </c>
    </row>
    <row r="2180" spans="5:10" hidden="1">
      <c r="F2180" s="682" t="s">
        <v>248</v>
      </c>
      <c r="G2180" s="683" t="s">
        <v>57</v>
      </c>
      <c r="J2180" s="639">
        <f t="shared" si="73"/>
        <v>0</v>
      </c>
    </row>
    <row r="2181" spans="5:10" hidden="1">
      <c r="F2181" s="682" t="s">
        <v>249</v>
      </c>
      <c r="G2181" s="683" t="s">
        <v>250</v>
      </c>
      <c r="J2181" s="639">
        <f t="shared" si="73"/>
        <v>0</v>
      </c>
    </row>
    <row r="2182" spans="5:10" hidden="1">
      <c r="F2182" s="682" t="s">
        <v>251</v>
      </c>
      <c r="G2182" s="683" t="s">
        <v>252</v>
      </c>
      <c r="J2182" s="639">
        <f t="shared" si="73"/>
        <v>0</v>
      </c>
    </row>
    <row r="2183" spans="5:10" hidden="1">
      <c r="F2183" s="682" t="s">
        <v>253</v>
      </c>
      <c r="G2183" s="683" t="s">
        <v>254</v>
      </c>
      <c r="J2183" s="639">
        <f t="shared" si="73"/>
        <v>0</v>
      </c>
    </row>
    <row r="2184" spans="5:10" hidden="1">
      <c r="F2184" s="682" t="s">
        <v>255</v>
      </c>
      <c r="G2184" s="683" t="s">
        <v>256</v>
      </c>
      <c r="J2184" s="639">
        <f t="shared" si="73"/>
        <v>0</v>
      </c>
    </row>
    <row r="2185" spans="5:10" hidden="1">
      <c r="F2185" s="682" t="s">
        <v>257</v>
      </c>
      <c r="G2185" s="683" t="s">
        <v>258</v>
      </c>
      <c r="J2185" s="639">
        <f t="shared" si="73"/>
        <v>0</v>
      </c>
    </row>
    <row r="2186" spans="5:10" hidden="1">
      <c r="F2186" s="682" t="s">
        <v>259</v>
      </c>
      <c r="G2186" s="683" t="s">
        <v>260</v>
      </c>
      <c r="J2186" s="639">
        <f t="shared" si="73"/>
        <v>0</v>
      </c>
    </row>
    <row r="2187" spans="5:10" ht="15.75" hidden="1" thickBot="1">
      <c r="F2187" s="682" t="s">
        <v>261</v>
      </c>
      <c r="G2187" s="683" t="s">
        <v>262</v>
      </c>
      <c r="H2187" s="638"/>
      <c r="I2187" s="639"/>
      <c r="J2187" s="639">
        <f t="shared" si="73"/>
        <v>0</v>
      </c>
    </row>
    <row r="2188" spans="5:10" ht="15.75" hidden="1" thickBot="1">
      <c r="G2188" s="274" t="s">
        <v>4351</v>
      </c>
      <c r="H2188" s="640">
        <f>SUM(H2172:H2187)</f>
        <v>0</v>
      </c>
      <c r="I2188" s="641">
        <f>SUM(I2173:I2187)</f>
        <v>0</v>
      </c>
      <c r="J2188" s="641">
        <f>SUM(J2172:J2187)</f>
        <v>0</v>
      </c>
    </row>
    <row r="2189" spans="5:10" hidden="1">
      <c r="E2189" s="559"/>
      <c r="F2189" s="570"/>
      <c r="G2189" s="276" t="s">
        <v>5185</v>
      </c>
      <c r="H2189" s="642"/>
      <c r="I2189" s="663"/>
      <c r="J2189" s="643"/>
    </row>
    <row r="2190" spans="5:10" ht="15.75" hidden="1" thickBot="1">
      <c r="E2190" s="267"/>
      <c r="F2190" s="682" t="s">
        <v>234</v>
      </c>
      <c r="G2190" s="683" t="s">
        <v>235</v>
      </c>
      <c r="H2190" s="638">
        <f>SUM(H2111:H2170)</f>
        <v>0</v>
      </c>
      <c r="I2190" s="639"/>
      <c r="J2190" s="639">
        <f>SUM(H2190:I2190)</f>
        <v>0</v>
      </c>
    </row>
    <row r="2191" spans="5:10" hidden="1">
      <c r="F2191" s="682" t="s">
        <v>236</v>
      </c>
      <c r="G2191" s="683" t="s">
        <v>237</v>
      </c>
      <c r="J2191" s="639">
        <f t="shared" ref="J2191:J2205" si="74">SUM(H2191:I2191)</f>
        <v>0</v>
      </c>
    </row>
    <row r="2192" spans="5:10" hidden="1">
      <c r="F2192" s="682" t="s">
        <v>238</v>
      </c>
      <c r="G2192" s="683" t="s">
        <v>239</v>
      </c>
      <c r="J2192" s="639">
        <f t="shared" si="74"/>
        <v>0</v>
      </c>
    </row>
    <row r="2193" spans="3:10" hidden="1">
      <c r="F2193" s="682" t="s">
        <v>240</v>
      </c>
      <c r="G2193" s="683" t="s">
        <v>241</v>
      </c>
      <c r="J2193" s="639">
        <f t="shared" si="74"/>
        <v>0</v>
      </c>
    </row>
    <row r="2194" spans="3:10" hidden="1">
      <c r="F2194" s="682" t="s">
        <v>242</v>
      </c>
      <c r="G2194" s="683" t="s">
        <v>243</v>
      </c>
      <c r="J2194" s="639">
        <f t="shared" si="74"/>
        <v>0</v>
      </c>
    </row>
    <row r="2195" spans="3:10" hidden="1">
      <c r="F2195" s="682" t="s">
        <v>244</v>
      </c>
      <c r="G2195" s="683" t="s">
        <v>245</v>
      </c>
      <c r="J2195" s="639">
        <f t="shared" si="74"/>
        <v>0</v>
      </c>
    </row>
    <row r="2196" spans="3:10" hidden="1">
      <c r="F2196" s="682" t="s">
        <v>246</v>
      </c>
      <c r="G2196" s="683" t="s">
        <v>5121</v>
      </c>
      <c r="J2196" s="639">
        <f t="shared" si="74"/>
        <v>0</v>
      </c>
    </row>
    <row r="2197" spans="3:10" hidden="1">
      <c r="F2197" s="682" t="s">
        <v>247</v>
      </c>
      <c r="G2197" s="683" t="s">
        <v>5120</v>
      </c>
      <c r="J2197" s="639">
        <f t="shared" si="74"/>
        <v>0</v>
      </c>
    </row>
    <row r="2198" spans="3:10" hidden="1">
      <c r="F2198" s="682" t="s">
        <v>248</v>
      </c>
      <c r="G2198" s="683" t="s">
        <v>57</v>
      </c>
      <c r="J2198" s="639">
        <f t="shared" si="74"/>
        <v>0</v>
      </c>
    </row>
    <row r="2199" spans="3:10" hidden="1">
      <c r="F2199" s="682" t="s">
        <v>249</v>
      </c>
      <c r="G2199" s="683" t="s">
        <v>250</v>
      </c>
      <c r="J2199" s="639">
        <f t="shared" si="74"/>
        <v>0</v>
      </c>
    </row>
    <row r="2200" spans="3:10" hidden="1">
      <c r="F2200" s="682" t="s">
        <v>251</v>
      </c>
      <c r="G2200" s="683" t="s">
        <v>252</v>
      </c>
      <c r="J2200" s="639">
        <f t="shared" si="74"/>
        <v>0</v>
      </c>
    </row>
    <row r="2201" spans="3:10" hidden="1">
      <c r="F2201" s="682" t="s">
        <v>253</v>
      </c>
      <c r="G2201" s="683" t="s">
        <v>254</v>
      </c>
      <c r="J2201" s="639">
        <f t="shared" si="74"/>
        <v>0</v>
      </c>
    </row>
    <row r="2202" spans="3:10" hidden="1">
      <c r="F2202" s="682" t="s">
        <v>255</v>
      </c>
      <c r="G2202" s="683" t="s">
        <v>256</v>
      </c>
      <c r="J2202" s="639">
        <f t="shared" si="74"/>
        <v>0</v>
      </c>
    </row>
    <row r="2203" spans="3:10" hidden="1">
      <c r="F2203" s="682" t="s">
        <v>257</v>
      </c>
      <c r="G2203" s="683" t="s">
        <v>258</v>
      </c>
      <c r="J2203" s="639">
        <f t="shared" si="74"/>
        <v>0</v>
      </c>
    </row>
    <row r="2204" spans="3:10" hidden="1">
      <c r="F2204" s="682" t="s">
        <v>259</v>
      </c>
      <c r="G2204" s="683" t="s">
        <v>260</v>
      </c>
      <c r="J2204" s="639">
        <f t="shared" si="74"/>
        <v>0</v>
      </c>
    </row>
    <row r="2205" spans="3:10" ht="15.75" hidden="1" thickBot="1">
      <c r="F2205" s="682" t="s">
        <v>261</v>
      </c>
      <c r="G2205" s="683" t="s">
        <v>262</v>
      </c>
      <c r="H2205" s="638"/>
      <c r="I2205" s="639"/>
      <c r="J2205" s="639">
        <f t="shared" si="74"/>
        <v>0</v>
      </c>
    </row>
    <row r="2206" spans="3:10" ht="15.75" hidden="1" thickBot="1">
      <c r="G2206" s="274" t="s">
        <v>5186</v>
      </c>
      <c r="H2206" s="640">
        <f>SUM(H2190:H2205)</f>
        <v>0</v>
      </c>
      <c r="I2206" s="641">
        <f>SUM(I2191:I2205)</f>
        <v>0</v>
      </c>
      <c r="J2206" s="641">
        <f>SUM(J2190:J2205)</f>
        <v>0</v>
      </c>
    </row>
    <row r="2207" spans="3:10" hidden="1">
      <c r="G2207" s="331"/>
      <c r="H2207" s="644"/>
      <c r="I2207" s="645"/>
      <c r="J2207" s="645"/>
    </row>
    <row r="2208" spans="3:10" hidden="1">
      <c r="C2208" s="273" t="s">
        <v>4645</v>
      </c>
      <c r="D2208" s="264"/>
      <c r="G2208" s="553" t="s">
        <v>5178</v>
      </c>
    </row>
    <row r="2209" spans="3:10" hidden="1">
      <c r="C2209" s="273"/>
      <c r="D2209" s="373">
        <v>620</v>
      </c>
      <c r="E2209" s="374"/>
      <c r="F2209" s="374"/>
      <c r="G2209" s="375" t="s">
        <v>135</v>
      </c>
    </row>
    <row r="2210" spans="3:10" hidden="1">
      <c r="F2210" s="569">
        <v>411</v>
      </c>
      <c r="G2210" s="562" t="s">
        <v>4173</v>
      </c>
      <c r="J2210" s="635">
        <f>SUM(H2210:I2210)</f>
        <v>0</v>
      </c>
    </row>
    <row r="2211" spans="3:10" hidden="1">
      <c r="F2211" s="569">
        <v>412</v>
      </c>
      <c r="G2211" s="558" t="s">
        <v>3770</v>
      </c>
      <c r="J2211" s="635">
        <f t="shared" ref="J2211:J2269" si="75">SUM(H2211:I2211)</f>
        <v>0</v>
      </c>
    </row>
    <row r="2212" spans="3:10" hidden="1">
      <c r="F2212" s="569">
        <v>413</v>
      </c>
      <c r="G2212" s="562" t="s">
        <v>4174</v>
      </c>
      <c r="J2212" s="635">
        <f t="shared" si="75"/>
        <v>0</v>
      </c>
    </row>
    <row r="2213" spans="3:10" hidden="1">
      <c r="F2213" s="569">
        <v>414</v>
      </c>
      <c r="G2213" s="562" t="s">
        <v>3773</v>
      </c>
      <c r="J2213" s="635">
        <f t="shared" si="75"/>
        <v>0</v>
      </c>
    </row>
    <row r="2214" spans="3:10" hidden="1">
      <c r="F2214" s="569">
        <v>415</v>
      </c>
      <c r="G2214" s="562" t="s">
        <v>4183</v>
      </c>
      <c r="J2214" s="635">
        <f t="shared" si="75"/>
        <v>0</v>
      </c>
    </row>
    <row r="2215" spans="3:10" hidden="1">
      <c r="F2215" s="569">
        <v>416</v>
      </c>
      <c r="G2215" s="562" t="s">
        <v>4184</v>
      </c>
      <c r="J2215" s="635">
        <f t="shared" si="75"/>
        <v>0</v>
      </c>
    </row>
    <row r="2216" spans="3:10" hidden="1">
      <c r="F2216" s="569">
        <v>417</v>
      </c>
      <c r="G2216" s="562" t="s">
        <v>4185</v>
      </c>
      <c r="J2216" s="635">
        <f t="shared" si="75"/>
        <v>0</v>
      </c>
    </row>
    <row r="2217" spans="3:10" hidden="1">
      <c r="F2217" s="569">
        <v>418</v>
      </c>
      <c r="G2217" s="562" t="s">
        <v>3779</v>
      </c>
      <c r="J2217" s="635">
        <f t="shared" si="75"/>
        <v>0</v>
      </c>
    </row>
    <row r="2218" spans="3:10" hidden="1">
      <c r="F2218" s="569">
        <v>421</v>
      </c>
      <c r="G2218" s="562" t="s">
        <v>3783</v>
      </c>
      <c r="J2218" s="635">
        <f t="shared" si="75"/>
        <v>0</v>
      </c>
    </row>
    <row r="2219" spans="3:10" hidden="1">
      <c r="F2219" s="569">
        <v>422</v>
      </c>
      <c r="G2219" s="562" t="s">
        <v>3784</v>
      </c>
      <c r="J2219" s="635">
        <f t="shared" si="75"/>
        <v>0</v>
      </c>
    </row>
    <row r="2220" spans="3:10" hidden="1">
      <c r="F2220" s="569">
        <v>423</v>
      </c>
      <c r="G2220" s="562" t="s">
        <v>3785</v>
      </c>
      <c r="J2220" s="635">
        <f t="shared" si="75"/>
        <v>0</v>
      </c>
    </row>
    <row r="2221" spans="3:10" hidden="1">
      <c r="F2221" s="569">
        <v>424</v>
      </c>
      <c r="G2221" s="562" t="s">
        <v>3787</v>
      </c>
      <c r="J2221" s="635">
        <f t="shared" si="75"/>
        <v>0</v>
      </c>
    </row>
    <row r="2222" spans="3:10" hidden="1">
      <c r="F2222" s="569">
        <v>425</v>
      </c>
      <c r="G2222" s="562" t="s">
        <v>4186</v>
      </c>
      <c r="J2222" s="635">
        <f t="shared" si="75"/>
        <v>0</v>
      </c>
    </row>
    <row r="2223" spans="3:10" hidden="1">
      <c r="F2223" s="569">
        <v>426</v>
      </c>
      <c r="G2223" s="562" t="s">
        <v>3791</v>
      </c>
      <c r="J2223" s="635">
        <f t="shared" si="75"/>
        <v>0</v>
      </c>
    </row>
    <row r="2224" spans="3:10" hidden="1">
      <c r="F2224" s="569">
        <v>431</v>
      </c>
      <c r="G2224" s="562" t="s">
        <v>4187</v>
      </c>
      <c r="J2224" s="635">
        <f t="shared" si="75"/>
        <v>0</v>
      </c>
    </row>
    <row r="2225" spans="6:10" hidden="1">
      <c r="F2225" s="569">
        <v>432</v>
      </c>
      <c r="G2225" s="562" t="s">
        <v>4188</v>
      </c>
      <c r="J2225" s="635">
        <f t="shared" si="75"/>
        <v>0</v>
      </c>
    </row>
    <row r="2226" spans="6:10" hidden="1">
      <c r="F2226" s="569">
        <v>433</v>
      </c>
      <c r="G2226" s="562" t="s">
        <v>4189</v>
      </c>
      <c r="J2226" s="635">
        <f t="shared" si="75"/>
        <v>0</v>
      </c>
    </row>
    <row r="2227" spans="6:10" hidden="1">
      <c r="F2227" s="569">
        <v>434</v>
      </c>
      <c r="G2227" s="562" t="s">
        <v>4190</v>
      </c>
      <c r="J2227" s="635">
        <f t="shared" si="75"/>
        <v>0</v>
      </c>
    </row>
    <row r="2228" spans="6:10" hidden="1">
      <c r="F2228" s="569">
        <v>435</v>
      </c>
      <c r="G2228" s="562" t="s">
        <v>3798</v>
      </c>
      <c r="J2228" s="635">
        <f t="shared" si="75"/>
        <v>0</v>
      </c>
    </row>
    <row r="2229" spans="6:10" hidden="1">
      <c r="F2229" s="569">
        <v>441</v>
      </c>
      <c r="G2229" s="562" t="s">
        <v>4191</v>
      </c>
      <c r="J2229" s="635">
        <f t="shared" si="75"/>
        <v>0</v>
      </c>
    </row>
    <row r="2230" spans="6:10" hidden="1">
      <c r="F2230" s="569">
        <v>442</v>
      </c>
      <c r="G2230" s="562" t="s">
        <v>4192</v>
      </c>
      <c r="J2230" s="635">
        <f t="shared" si="75"/>
        <v>0</v>
      </c>
    </row>
    <row r="2231" spans="6:10" hidden="1">
      <c r="F2231" s="569">
        <v>443</v>
      </c>
      <c r="G2231" s="562" t="s">
        <v>3803</v>
      </c>
      <c r="J2231" s="635">
        <f t="shared" si="75"/>
        <v>0</v>
      </c>
    </row>
    <row r="2232" spans="6:10" hidden="1">
      <c r="F2232" s="569">
        <v>444</v>
      </c>
      <c r="G2232" s="562" t="s">
        <v>3804</v>
      </c>
      <c r="J2232" s="635">
        <f t="shared" si="75"/>
        <v>0</v>
      </c>
    </row>
    <row r="2233" spans="6:10" ht="30" hidden="1">
      <c r="F2233" s="569">
        <v>4511</v>
      </c>
      <c r="G2233" s="268" t="s">
        <v>1690</v>
      </c>
      <c r="J2233" s="635">
        <f t="shared" si="75"/>
        <v>0</v>
      </c>
    </row>
    <row r="2234" spans="6:10" ht="30" hidden="1">
      <c r="F2234" s="569">
        <v>4512</v>
      </c>
      <c r="G2234" s="268" t="s">
        <v>1699</v>
      </c>
      <c r="J2234" s="635">
        <f t="shared" si="75"/>
        <v>0</v>
      </c>
    </row>
    <row r="2235" spans="6:10" hidden="1">
      <c r="F2235" s="569">
        <v>452</v>
      </c>
      <c r="G2235" s="562" t="s">
        <v>4193</v>
      </c>
      <c r="J2235" s="635">
        <f t="shared" si="75"/>
        <v>0</v>
      </c>
    </row>
    <row r="2236" spans="6:10" hidden="1">
      <c r="F2236" s="569">
        <v>453</v>
      </c>
      <c r="G2236" s="562" t="s">
        <v>4194</v>
      </c>
      <c r="J2236" s="635">
        <f t="shared" si="75"/>
        <v>0</v>
      </c>
    </row>
    <row r="2237" spans="6:10" hidden="1">
      <c r="F2237" s="569">
        <v>454</v>
      </c>
      <c r="G2237" s="562" t="s">
        <v>3809</v>
      </c>
      <c r="J2237" s="635">
        <f t="shared" si="75"/>
        <v>0</v>
      </c>
    </row>
    <row r="2238" spans="6:10" hidden="1">
      <c r="F2238" s="569">
        <v>461</v>
      </c>
      <c r="G2238" s="562" t="s">
        <v>4175</v>
      </c>
      <c r="J2238" s="635">
        <f t="shared" si="75"/>
        <v>0</v>
      </c>
    </row>
    <row r="2239" spans="6:10" hidden="1">
      <c r="F2239" s="569">
        <v>462</v>
      </c>
      <c r="G2239" s="562" t="s">
        <v>3812</v>
      </c>
      <c r="J2239" s="635">
        <f t="shared" si="75"/>
        <v>0</v>
      </c>
    </row>
    <row r="2240" spans="6:10" ht="15.75" hidden="1" thickBot="1">
      <c r="F2240" s="569">
        <v>511</v>
      </c>
      <c r="G2240" s="562" t="s">
        <v>4200</v>
      </c>
      <c r="J2240" s="635">
        <f t="shared" si="75"/>
        <v>0</v>
      </c>
    </row>
    <row r="2241" spans="6:10" hidden="1">
      <c r="F2241" s="569">
        <v>4632</v>
      </c>
      <c r="G2241" s="562" t="s">
        <v>3814</v>
      </c>
      <c r="J2241" s="635">
        <f t="shared" si="75"/>
        <v>0</v>
      </c>
    </row>
    <row r="2242" spans="6:10" hidden="1">
      <c r="F2242" s="569">
        <v>464</v>
      </c>
      <c r="G2242" s="562" t="s">
        <v>3815</v>
      </c>
      <c r="J2242" s="635">
        <f t="shared" si="75"/>
        <v>0</v>
      </c>
    </row>
    <row r="2243" spans="6:10" hidden="1">
      <c r="F2243" s="569">
        <v>465</v>
      </c>
      <c r="G2243" s="562" t="s">
        <v>4176</v>
      </c>
      <c r="J2243" s="635">
        <f t="shared" si="75"/>
        <v>0</v>
      </c>
    </row>
    <row r="2244" spans="6:10" hidden="1">
      <c r="F2244" s="569">
        <v>472</v>
      </c>
      <c r="G2244" s="562" t="s">
        <v>3819</v>
      </c>
      <c r="J2244" s="635">
        <f t="shared" si="75"/>
        <v>0</v>
      </c>
    </row>
    <row r="2245" spans="6:10" hidden="1">
      <c r="F2245" s="569">
        <v>481</v>
      </c>
      <c r="G2245" s="562" t="s">
        <v>4195</v>
      </c>
      <c r="J2245" s="635">
        <f t="shared" si="75"/>
        <v>0</v>
      </c>
    </row>
    <row r="2246" spans="6:10" hidden="1">
      <c r="F2246" s="569">
        <v>482</v>
      </c>
      <c r="G2246" s="562" t="s">
        <v>4196</v>
      </c>
      <c r="J2246" s="635">
        <f t="shared" si="75"/>
        <v>0</v>
      </c>
    </row>
    <row r="2247" spans="6:10" hidden="1">
      <c r="F2247" s="569">
        <v>483</v>
      </c>
      <c r="G2247" s="566" t="s">
        <v>4197</v>
      </c>
      <c r="J2247" s="635">
        <f t="shared" si="75"/>
        <v>0</v>
      </c>
    </row>
    <row r="2248" spans="6:10" ht="30" hidden="1">
      <c r="F2248" s="569">
        <v>484</v>
      </c>
      <c r="G2248" s="562" t="s">
        <v>4198</v>
      </c>
      <c r="J2248" s="635">
        <f t="shared" si="75"/>
        <v>0</v>
      </c>
    </row>
    <row r="2249" spans="6:10" ht="30" hidden="1">
      <c r="F2249" s="569">
        <v>485</v>
      </c>
      <c r="G2249" s="562" t="s">
        <v>4199</v>
      </c>
      <c r="J2249" s="635">
        <f t="shared" si="75"/>
        <v>0</v>
      </c>
    </row>
    <row r="2250" spans="6:10" ht="30" hidden="1">
      <c r="F2250" s="569">
        <v>489</v>
      </c>
      <c r="G2250" s="562" t="s">
        <v>3827</v>
      </c>
      <c r="J2250" s="635">
        <f t="shared" si="75"/>
        <v>0</v>
      </c>
    </row>
    <row r="2251" spans="6:10" hidden="1">
      <c r="F2251" s="569">
        <v>494</v>
      </c>
      <c r="G2251" s="562" t="s">
        <v>4177</v>
      </c>
      <c r="J2251" s="635">
        <f t="shared" si="75"/>
        <v>0</v>
      </c>
    </row>
    <row r="2252" spans="6:10" ht="30" hidden="1">
      <c r="F2252" s="569">
        <v>495</v>
      </c>
      <c r="G2252" s="562" t="s">
        <v>4178</v>
      </c>
      <c r="J2252" s="635">
        <f t="shared" si="75"/>
        <v>0</v>
      </c>
    </row>
    <row r="2253" spans="6:10" ht="30" hidden="1">
      <c r="F2253" s="569">
        <v>496</v>
      </c>
      <c r="G2253" s="562" t="s">
        <v>4179</v>
      </c>
      <c r="J2253" s="635">
        <f t="shared" si="75"/>
        <v>0</v>
      </c>
    </row>
    <row r="2254" spans="6:10" hidden="1">
      <c r="F2254" s="569">
        <v>499</v>
      </c>
      <c r="G2254" s="562" t="s">
        <v>4180</v>
      </c>
      <c r="J2254" s="635">
        <f t="shared" si="75"/>
        <v>0</v>
      </c>
    </row>
    <row r="2255" spans="6:10" hidden="1">
      <c r="F2255" s="569">
        <v>511</v>
      </c>
      <c r="G2255" s="566" t="s">
        <v>4200</v>
      </c>
      <c r="J2255" s="635">
        <f t="shared" si="75"/>
        <v>0</v>
      </c>
    </row>
    <row r="2256" spans="6:10" hidden="1">
      <c r="F2256" s="569">
        <v>512</v>
      </c>
      <c r="G2256" s="566" t="s">
        <v>4201</v>
      </c>
      <c r="J2256" s="635">
        <f t="shared" si="75"/>
        <v>0</v>
      </c>
    </row>
    <row r="2257" spans="5:10" hidden="1">
      <c r="F2257" s="569">
        <v>513</v>
      </c>
      <c r="G2257" s="566" t="s">
        <v>4202</v>
      </c>
      <c r="J2257" s="635">
        <f t="shared" si="75"/>
        <v>0</v>
      </c>
    </row>
    <row r="2258" spans="5:10" hidden="1">
      <c r="F2258" s="569">
        <v>514</v>
      </c>
      <c r="G2258" s="562" t="s">
        <v>4203</v>
      </c>
      <c r="J2258" s="635">
        <f t="shared" si="75"/>
        <v>0</v>
      </c>
    </row>
    <row r="2259" spans="5:10" hidden="1">
      <c r="F2259" s="569">
        <v>515</v>
      </c>
      <c r="G2259" s="562" t="s">
        <v>3838</v>
      </c>
      <c r="J2259" s="635">
        <f t="shared" si="75"/>
        <v>0</v>
      </c>
    </row>
    <row r="2260" spans="5:10" hidden="1">
      <c r="F2260" s="569">
        <v>521</v>
      </c>
      <c r="G2260" s="562" t="s">
        <v>4204</v>
      </c>
      <c r="J2260" s="635">
        <f t="shared" si="75"/>
        <v>0</v>
      </c>
    </row>
    <row r="2261" spans="5:10" hidden="1">
      <c r="F2261" s="569">
        <v>522</v>
      </c>
      <c r="G2261" s="562" t="s">
        <v>4205</v>
      </c>
      <c r="J2261" s="635">
        <f t="shared" si="75"/>
        <v>0</v>
      </c>
    </row>
    <row r="2262" spans="5:10" hidden="1">
      <c r="F2262" s="569">
        <v>523</v>
      </c>
      <c r="G2262" s="562" t="s">
        <v>3843</v>
      </c>
      <c r="J2262" s="635">
        <f t="shared" si="75"/>
        <v>0</v>
      </c>
    </row>
    <row r="2263" spans="5:10" hidden="1">
      <c r="F2263" s="569">
        <v>531</v>
      </c>
      <c r="G2263" s="558" t="s">
        <v>4181</v>
      </c>
      <c r="J2263" s="635">
        <f t="shared" si="75"/>
        <v>0</v>
      </c>
    </row>
    <row r="2264" spans="5:10" hidden="1">
      <c r="F2264" s="569">
        <v>541</v>
      </c>
      <c r="G2264" s="562" t="s">
        <v>4206</v>
      </c>
      <c r="J2264" s="635">
        <f t="shared" si="75"/>
        <v>0</v>
      </c>
    </row>
    <row r="2265" spans="5:10" hidden="1">
      <c r="F2265" s="569">
        <v>542</v>
      </c>
      <c r="G2265" s="562" t="s">
        <v>4207</v>
      </c>
      <c r="J2265" s="635">
        <f t="shared" si="75"/>
        <v>0</v>
      </c>
    </row>
    <row r="2266" spans="5:10" hidden="1">
      <c r="F2266" s="569">
        <v>543</v>
      </c>
      <c r="G2266" s="562" t="s">
        <v>3848</v>
      </c>
      <c r="J2266" s="635">
        <f t="shared" si="75"/>
        <v>0</v>
      </c>
    </row>
    <row r="2267" spans="5:10" ht="30" hidden="1">
      <c r="F2267" s="569">
        <v>551</v>
      </c>
      <c r="G2267" s="562" t="s">
        <v>4182</v>
      </c>
      <c r="J2267" s="635">
        <f t="shared" si="75"/>
        <v>0</v>
      </c>
    </row>
    <row r="2268" spans="5:10" hidden="1">
      <c r="F2268" s="570">
        <v>611</v>
      </c>
      <c r="G2268" s="568" t="s">
        <v>3854</v>
      </c>
      <c r="J2268" s="635">
        <f t="shared" si="75"/>
        <v>0</v>
      </c>
    </row>
    <row r="2269" spans="5:10" ht="15.75" hidden="1" thickBot="1">
      <c r="F2269" s="570">
        <v>620</v>
      </c>
      <c r="G2269" s="568" t="s">
        <v>88</v>
      </c>
      <c r="J2269" s="635">
        <f t="shared" si="75"/>
        <v>0</v>
      </c>
    </row>
    <row r="2270" spans="5:10" hidden="1">
      <c r="E2270" s="559"/>
      <c r="F2270" s="570"/>
      <c r="G2270" s="372" t="s">
        <v>4350</v>
      </c>
      <c r="H2270" s="636"/>
      <c r="I2270" s="662"/>
      <c r="J2270" s="637"/>
    </row>
    <row r="2271" spans="5:10" ht="15.75" hidden="1" thickBot="1">
      <c r="E2271" s="267"/>
      <c r="F2271" s="682" t="s">
        <v>234</v>
      </c>
      <c r="G2271" s="683" t="s">
        <v>235</v>
      </c>
      <c r="H2271" s="638">
        <f>SUM(H2210:H2269)</f>
        <v>0</v>
      </c>
      <c r="I2271" s="639"/>
      <c r="J2271" s="639">
        <f t="shared" ref="J2271:J2286" si="76">SUM(H2271:I2271)</f>
        <v>0</v>
      </c>
    </row>
    <row r="2272" spans="5:10" hidden="1">
      <c r="F2272" s="682" t="s">
        <v>236</v>
      </c>
      <c r="G2272" s="683" t="s">
        <v>237</v>
      </c>
      <c r="J2272" s="639">
        <f t="shared" si="76"/>
        <v>0</v>
      </c>
    </row>
    <row r="2273" spans="5:10" hidden="1">
      <c r="F2273" s="682" t="s">
        <v>238</v>
      </c>
      <c r="G2273" s="683" t="s">
        <v>239</v>
      </c>
      <c r="J2273" s="639">
        <f t="shared" si="76"/>
        <v>0</v>
      </c>
    </row>
    <row r="2274" spans="5:10" hidden="1">
      <c r="F2274" s="682" t="s">
        <v>240</v>
      </c>
      <c r="G2274" s="683" t="s">
        <v>241</v>
      </c>
      <c r="J2274" s="639">
        <f t="shared" si="76"/>
        <v>0</v>
      </c>
    </row>
    <row r="2275" spans="5:10" hidden="1">
      <c r="F2275" s="682" t="s">
        <v>242</v>
      </c>
      <c r="G2275" s="683" t="s">
        <v>243</v>
      </c>
      <c r="J2275" s="639">
        <f t="shared" si="76"/>
        <v>0</v>
      </c>
    </row>
    <row r="2276" spans="5:10" hidden="1">
      <c r="F2276" s="682" t="s">
        <v>244</v>
      </c>
      <c r="G2276" s="683" t="s">
        <v>245</v>
      </c>
      <c r="J2276" s="639">
        <f t="shared" si="76"/>
        <v>0</v>
      </c>
    </row>
    <row r="2277" spans="5:10" hidden="1">
      <c r="F2277" s="682" t="s">
        <v>246</v>
      </c>
      <c r="G2277" s="683" t="s">
        <v>5121</v>
      </c>
      <c r="J2277" s="639">
        <f t="shared" si="76"/>
        <v>0</v>
      </c>
    </row>
    <row r="2278" spans="5:10" hidden="1">
      <c r="F2278" s="682" t="s">
        <v>247</v>
      </c>
      <c r="G2278" s="683" t="s">
        <v>5120</v>
      </c>
      <c r="J2278" s="639">
        <f t="shared" si="76"/>
        <v>0</v>
      </c>
    </row>
    <row r="2279" spans="5:10" hidden="1">
      <c r="F2279" s="682" t="s">
        <v>248</v>
      </c>
      <c r="G2279" s="683" t="s">
        <v>57</v>
      </c>
      <c r="J2279" s="639">
        <f t="shared" si="76"/>
        <v>0</v>
      </c>
    </row>
    <row r="2280" spans="5:10" hidden="1">
      <c r="F2280" s="682" t="s">
        <v>249</v>
      </c>
      <c r="G2280" s="683" t="s">
        <v>250</v>
      </c>
      <c r="J2280" s="639">
        <f t="shared" si="76"/>
        <v>0</v>
      </c>
    </row>
    <row r="2281" spans="5:10" hidden="1">
      <c r="F2281" s="682" t="s">
        <v>251</v>
      </c>
      <c r="G2281" s="683" t="s">
        <v>252</v>
      </c>
      <c r="J2281" s="639">
        <f t="shared" si="76"/>
        <v>0</v>
      </c>
    </row>
    <row r="2282" spans="5:10" hidden="1">
      <c r="F2282" s="682" t="s">
        <v>253</v>
      </c>
      <c r="G2282" s="683" t="s">
        <v>254</v>
      </c>
      <c r="J2282" s="639">
        <f t="shared" si="76"/>
        <v>0</v>
      </c>
    </row>
    <row r="2283" spans="5:10" hidden="1">
      <c r="F2283" s="682" t="s">
        <v>255</v>
      </c>
      <c r="G2283" s="683" t="s">
        <v>256</v>
      </c>
      <c r="J2283" s="639">
        <f t="shared" si="76"/>
        <v>0</v>
      </c>
    </row>
    <row r="2284" spans="5:10" hidden="1">
      <c r="F2284" s="682" t="s">
        <v>257</v>
      </c>
      <c r="G2284" s="683" t="s">
        <v>258</v>
      </c>
      <c r="J2284" s="639">
        <f t="shared" si="76"/>
        <v>0</v>
      </c>
    </row>
    <row r="2285" spans="5:10" hidden="1">
      <c r="F2285" s="682" t="s">
        <v>259</v>
      </c>
      <c r="G2285" s="683" t="s">
        <v>260</v>
      </c>
      <c r="J2285" s="639">
        <f t="shared" si="76"/>
        <v>0</v>
      </c>
    </row>
    <row r="2286" spans="5:10" ht="15.75" hidden="1" thickBot="1">
      <c r="F2286" s="682" t="s">
        <v>261</v>
      </c>
      <c r="G2286" s="683" t="s">
        <v>262</v>
      </c>
      <c r="H2286" s="638"/>
      <c r="I2286" s="639"/>
      <c r="J2286" s="639">
        <f t="shared" si="76"/>
        <v>0</v>
      </c>
    </row>
    <row r="2287" spans="5:10" ht="15.75" hidden="1" thickBot="1">
      <c r="G2287" s="274" t="s">
        <v>4351</v>
      </c>
      <c r="H2287" s="640">
        <f>SUM(H2271:H2286)</f>
        <v>0</v>
      </c>
      <c r="I2287" s="641">
        <f>SUM(I2272:I2286)</f>
        <v>0</v>
      </c>
      <c r="J2287" s="641">
        <f>SUM(J2271:J2286)</f>
        <v>0</v>
      </c>
    </row>
    <row r="2288" spans="5:10" hidden="1">
      <c r="E2288" s="559"/>
      <c r="F2288" s="570"/>
      <c r="G2288" s="276" t="s">
        <v>5187</v>
      </c>
      <c r="H2288" s="642"/>
      <c r="I2288" s="663"/>
      <c r="J2288" s="643"/>
    </row>
    <row r="2289" spans="5:10" ht="15.75" hidden="1" thickBot="1">
      <c r="E2289" s="267"/>
      <c r="F2289" s="682" t="s">
        <v>234</v>
      </c>
      <c r="G2289" s="683" t="s">
        <v>235</v>
      </c>
      <c r="H2289" s="638">
        <f>SUM(H2210:H2269)</f>
        <v>0</v>
      </c>
      <c r="I2289" s="639"/>
      <c r="J2289" s="639">
        <f>SUM(H2289:I2289)</f>
        <v>0</v>
      </c>
    </row>
    <row r="2290" spans="5:10" hidden="1">
      <c r="F2290" s="682" t="s">
        <v>236</v>
      </c>
      <c r="G2290" s="683" t="s">
        <v>237</v>
      </c>
      <c r="J2290" s="639">
        <f t="shared" ref="J2290:J2304" si="77">SUM(H2290:I2290)</f>
        <v>0</v>
      </c>
    </row>
    <row r="2291" spans="5:10" hidden="1">
      <c r="F2291" s="682" t="s">
        <v>238</v>
      </c>
      <c r="G2291" s="683" t="s">
        <v>239</v>
      </c>
      <c r="J2291" s="639">
        <f t="shared" si="77"/>
        <v>0</v>
      </c>
    </row>
    <row r="2292" spans="5:10" hidden="1">
      <c r="F2292" s="682" t="s">
        <v>240</v>
      </c>
      <c r="G2292" s="683" t="s">
        <v>241</v>
      </c>
      <c r="J2292" s="639">
        <f t="shared" si="77"/>
        <v>0</v>
      </c>
    </row>
    <row r="2293" spans="5:10" hidden="1">
      <c r="F2293" s="682" t="s">
        <v>242</v>
      </c>
      <c r="G2293" s="683" t="s">
        <v>243</v>
      </c>
      <c r="J2293" s="639">
        <f t="shared" si="77"/>
        <v>0</v>
      </c>
    </row>
    <row r="2294" spans="5:10" hidden="1">
      <c r="F2294" s="682" t="s">
        <v>244</v>
      </c>
      <c r="G2294" s="683" t="s">
        <v>245</v>
      </c>
      <c r="J2294" s="639">
        <f t="shared" si="77"/>
        <v>0</v>
      </c>
    </row>
    <row r="2295" spans="5:10" hidden="1">
      <c r="F2295" s="682" t="s">
        <v>246</v>
      </c>
      <c r="G2295" s="683" t="s">
        <v>5121</v>
      </c>
      <c r="J2295" s="639">
        <f t="shared" si="77"/>
        <v>0</v>
      </c>
    </row>
    <row r="2296" spans="5:10" hidden="1">
      <c r="F2296" s="682" t="s">
        <v>247</v>
      </c>
      <c r="G2296" s="683" t="s">
        <v>5120</v>
      </c>
      <c r="J2296" s="639">
        <f t="shared" si="77"/>
        <v>0</v>
      </c>
    </row>
    <row r="2297" spans="5:10" hidden="1">
      <c r="F2297" s="682" t="s">
        <v>248</v>
      </c>
      <c r="G2297" s="683" t="s">
        <v>57</v>
      </c>
      <c r="J2297" s="639">
        <f t="shared" si="77"/>
        <v>0</v>
      </c>
    </row>
    <row r="2298" spans="5:10" hidden="1">
      <c r="F2298" s="682" t="s">
        <v>249</v>
      </c>
      <c r="G2298" s="683" t="s">
        <v>250</v>
      </c>
      <c r="J2298" s="639">
        <f t="shared" si="77"/>
        <v>0</v>
      </c>
    </row>
    <row r="2299" spans="5:10" hidden="1">
      <c r="F2299" s="682" t="s">
        <v>251</v>
      </c>
      <c r="G2299" s="683" t="s">
        <v>252</v>
      </c>
      <c r="J2299" s="639">
        <f t="shared" si="77"/>
        <v>0</v>
      </c>
    </row>
    <row r="2300" spans="5:10" hidden="1">
      <c r="F2300" s="682" t="s">
        <v>253</v>
      </c>
      <c r="G2300" s="683" t="s">
        <v>254</v>
      </c>
      <c r="J2300" s="639">
        <f t="shared" si="77"/>
        <v>0</v>
      </c>
    </row>
    <row r="2301" spans="5:10" hidden="1">
      <c r="F2301" s="682" t="s">
        <v>255</v>
      </c>
      <c r="G2301" s="683" t="s">
        <v>256</v>
      </c>
      <c r="J2301" s="639">
        <f t="shared" si="77"/>
        <v>0</v>
      </c>
    </row>
    <row r="2302" spans="5:10" hidden="1">
      <c r="F2302" s="682" t="s">
        <v>257</v>
      </c>
      <c r="G2302" s="683" t="s">
        <v>258</v>
      </c>
      <c r="J2302" s="639">
        <f t="shared" si="77"/>
        <v>0</v>
      </c>
    </row>
    <row r="2303" spans="5:10" hidden="1">
      <c r="F2303" s="682" t="s">
        <v>259</v>
      </c>
      <c r="G2303" s="683" t="s">
        <v>260</v>
      </c>
      <c r="J2303" s="639">
        <f t="shared" si="77"/>
        <v>0</v>
      </c>
    </row>
    <row r="2304" spans="5:10" ht="15.75" hidden="1" thickBot="1">
      <c r="F2304" s="682" t="s">
        <v>261</v>
      </c>
      <c r="G2304" s="683" t="s">
        <v>262</v>
      </c>
      <c r="H2304" s="638"/>
      <c r="I2304" s="639"/>
      <c r="J2304" s="639">
        <f t="shared" si="77"/>
        <v>0</v>
      </c>
    </row>
    <row r="2305" spans="3:10" ht="15.75" hidden="1" thickBot="1">
      <c r="G2305" s="274" t="s">
        <v>5188</v>
      </c>
      <c r="H2305" s="640">
        <f>SUM(H2289:H2304)</f>
        <v>0</v>
      </c>
      <c r="I2305" s="641">
        <f>SUM(I2290:I2304)</f>
        <v>0</v>
      </c>
      <c r="J2305" s="641">
        <f>SUM(J2289:J2304)</f>
        <v>0</v>
      </c>
    </row>
    <row r="2306" spans="3:10" hidden="1">
      <c r="G2306" s="331"/>
      <c r="H2306" s="644"/>
      <c r="I2306" s="645"/>
      <c r="J2306" s="645"/>
    </row>
    <row r="2307" spans="3:10" hidden="1">
      <c r="C2307" s="273" t="s">
        <v>4646</v>
      </c>
      <c r="D2307" s="264"/>
      <c r="G2307" s="553" t="s">
        <v>5178</v>
      </c>
    </row>
    <row r="2308" spans="3:10" hidden="1">
      <c r="C2308" s="273"/>
      <c r="D2308" s="373">
        <v>620</v>
      </c>
      <c r="E2308" s="374"/>
      <c r="F2308" s="374"/>
      <c r="G2308" s="375" t="s">
        <v>135</v>
      </c>
    </row>
    <row r="2309" spans="3:10" hidden="1">
      <c r="F2309" s="569">
        <v>411</v>
      </c>
      <c r="G2309" s="562" t="s">
        <v>4173</v>
      </c>
      <c r="J2309" s="635">
        <f>SUM(H2309:I2309)</f>
        <v>0</v>
      </c>
    </row>
    <row r="2310" spans="3:10" hidden="1">
      <c r="F2310" s="569">
        <v>412</v>
      </c>
      <c r="G2310" s="558" t="s">
        <v>3770</v>
      </c>
      <c r="J2310" s="635">
        <f t="shared" ref="J2310:J2368" si="78">SUM(H2310:I2310)</f>
        <v>0</v>
      </c>
    </row>
    <row r="2311" spans="3:10" hidden="1">
      <c r="F2311" s="569">
        <v>413</v>
      </c>
      <c r="G2311" s="562" t="s">
        <v>4174</v>
      </c>
      <c r="J2311" s="635">
        <f t="shared" si="78"/>
        <v>0</v>
      </c>
    </row>
    <row r="2312" spans="3:10" hidden="1">
      <c r="F2312" s="569">
        <v>414</v>
      </c>
      <c r="G2312" s="562" t="s">
        <v>3773</v>
      </c>
      <c r="J2312" s="635">
        <f t="shared" si="78"/>
        <v>0</v>
      </c>
    </row>
    <row r="2313" spans="3:10" hidden="1">
      <c r="F2313" s="569">
        <v>415</v>
      </c>
      <c r="G2313" s="562" t="s">
        <v>4183</v>
      </c>
      <c r="J2313" s="635">
        <f t="shared" si="78"/>
        <v>0</v>
      </c>
    </row>
    <row r="2314" spans="3:10" hidden="1">
      <c r="F2314" s="569">
        <v>416</v>
      </c>
      <c r="G2314" s="562" t="s">
        <v>4184</v>
      </c>
      <c r="J2314" s="635">
        <f t="shared" si="78"/>
        <v>0</v>
      </c>
    </row>
    <row r="2315" spans="3:10" hidden="1">
      <c r="F2315" s="569">
        <v>417</v>
      </c>
      <c r="G2315" s="562" t="s">
        <v>4185</v>
      </c>
      <c r="J2315" s="635">
        <f t="shared" si="78"/>
        <v>0</v>
      </c>
    </row>
    <row r="2316" spans="3:10" hidden="1">
      <c r="F2316" s="569">
        <v>418</v>
      </c>
      <c r="G2316" s="562" t="s">
        <v>3779</v>
      </c>
      <c r="J2316" s="635">
        <f t="shared" si="78"/>
        <v>0</v>
      </c>
    </row>
    <row r="2317" spans="3:10" hidden="1">
      <c r="F2317" s="569">
        <v>421</v>
      </c>
      <c r="G2317" s="562" t="s">
        <v>3783</v>
      </c>
      <c r="J2317" s="635">
        <f t="shared" si="78"/>
        <v>0</v>
      </c>
    </row>
    <row r="2318" spans="3:10" hidden="1">
      <c r="F2318" s="569">
        <v>422</v>
      </c>
      <c r="G2318" s="562" t="s">
        <v>3784</v>
      </c>
      <c r="J2318" s="635">
        <f t="shared" si="78"/>
        <v>0</v>
      </c>
    </row>
    <row r="2319" spans="3:10" hidden="1">
      <c r="F2319" s="569">
        <v>423</v>
      </c>
      <c r="G2319" s="562" t="s">
        <v>3785</v>
      </c>
      <c r="J2319" s="635">
        <f t="shared" si="78"/>
        <v>0</v>
      </c>
    </row>
    <row r="2320" spans="3:10" hidden="1">
      <c r="F2320" s="569">
        <v>424</v>
      </c>
      <c r="G2320" s="562" t="s">
        <v>3787</v>
      </c>
      <c r="J2320" s="635">
        <f t="shared" si="78"/>
        <v>0</v>
      </c>
    </row>
    <row r="2321" spans="6:10" hidden="1">
      <c r="F2321" s="569">
        <v>425</v>
      </c>
      <c r="G2321" s="562" t="s">
        <v>4186</v>
      </c>
      <c r="J2321" s="635">
        <f t="shared" si="78"/>
        <v>0</v>
      </c>
    </row>
    <row r="2322" spans="6:10" hidden="1">
      <c r="F2322" s="569">
        <v>426</v>
      </c>
      <c r="G2322" s="562" t="s">
        <v>3791</v>
      </c>
      <c r="J2322" s="635">
        <f t="shared" si="78"/>
        <v>0</v>
      </c>
    </row>
    <row r="2323" spans="6:10" hidden="1">
      <c r="F2323" s="569">
        <v>431</v>
      </c>
      <c r="G2323" s="562" t="s">
        <v>4187</v>
      </c>
      <c r="J2323" s="635">
        <f t="shared" si="78"/>
        <v>0</v>
      </c>
    </row>
    <row r="2324" spans="6:10" hidden="1">
      <c r="F2324" s="569">
        <v>432</v>
      </c>
      <c r="G2324" s="562" t="s">
        <v>4188</v>
      </c>
      <c r="J2324" s="635">
        <f t="shared" si="78"/>
        <v>0</v>
      </c>
    </row>
    <row r="2325" spans="6:10" hidden="1">
      <c r="F2325" s="569">
        <v>433</v>
      </c>
      <c r="G2325" s="562" t="s">
        <v>4189</v>
      </c>
      <c r="J2325" s="635">
        <f t="shared" si="78"/>
        <v>0</v>
      </c>
    </row>
    <row r="2326" spans="6:10" hidden="1">
      <c r="F2326" s="569">
        <v>434</v>
      </c>
      <c r="G2326" s="562" t="s">
        <v>4190</v>
      </c>
      <c r="J2326" s="635">
        <f t="shared" si="78"/>
        <v>0</v>
      </c>
    </row>
    <row r="2327" spans="6:10" hidden="1">
      <c r="F2327" s="569">
        <v>435</v>
      </c>
      <c r="G2327" s="562" t="s">
        <v>3798</v>
      </c>
      <c r="J2327" s="635">
        <f t="shared" si="78"/>
        <v>0</v>
      </c>
    </row>
    <row r="2328" spans="6:10" hidden="1">
      <c r="F2328" s="569">
        <v>441</v>
      </c>
      <c r="G2328" s="562" t="s">
        <v>4191</v>
      </c>
      <c r="J2328" s="635">
        <f t="shared" si="78"/>
        <v>0</v>
      </c>
    </row>
    <row r="2329" spans="6:10" hidden="1">
      <c r="F2329" s="569">
        <v>442</v>
      </c>
      <c r="G2329" s="562" t="s">
        <v>4192</v>
      </c>
      <c r="J2329" s="635">
        <f t="shared" si="78"/>
        <v>0</v>
      </c>
    </row>
    <row r="2330" spans="6:10" hidden="1">
      <c r="F2330" s="569">
        <v>443</v>
      </c>
      <c r="G2330" s="562" t="s">
        <v>3803</v>
      </c>
      <c r="J2330" s="635">
        <f t="shared" si="78"/>
        <v>0</v>
      </c>
    </row>
    <row r="2331" spans="6:10" hidden="1">
      <c r="F2331" s="569">
        <v>444</v>
      </c>
      <c r="G2331" s="562" t="s">
        <v>3804</v>
      </c>
      <c r="J2331" s="635">
        <f t="shared" si="78"/>
        <v>0</v>
      </c>
    </row>
    <row r="2332" spans="6:10" ht="30" hidden="1">
      <c r="F2332" s="569">
        <v>4511</v>
      </c>
      <c r="G2332" s="268" t="s">
        <v>1690</v>
      </c>
      <c r="J2332" s="635">
        <f t="shared" si="78"/>
        <v>0</v>
      </c>
    </row>
    <row r="2333" spans="6:10" ht="30" hidden="1">
      <c r="F2333" s="569">
        <v>4512</v>
      </c>
      <c r="G2333" s="268" t="s">
        <v>1699</v>
      </c>
      <c r="J2333" s="635">
        <f t="shared" si="78"/>
        <v>0</v>
      </c>
    </row>
    <row r="2334" spans="6:10" hidden="1">
      <c r="F2334" s="569">
        <v>452</v>
      </c>
      <c r="G2334" s="562" t="s">
        <v>4193</v>
      </c>
      <c r="J2334" s="635">
        <f t="shared" si="78"/>
        <v>0</v>
      </c>
    </row>
    <row r="2335" spans="6:10" hidden="1">
      <c r="F2335" s="569">
        <v>453</v>
      </c>
      <c r="G2335" s="562" t="s">
        <v>4194</v>
      </c>
      <c r="J2335" s="635">
        <f t="shared" si="78"/>
        <v>0</v>
      </c>
    </row>
    <row r="2336" spans="6:10" hidden="1">
      <c r="F2336" s="569">
        <v>454</v>
      </c>
      <c r="G2336" s="562" t="s">
        <v>3809</v>
      </c>
      <c r="J2336" s="635">
        <f t="shared" si="78"/>
        <v>0</v>
      </c>
    </row>
    <row r="2337" spans="6:10" hidden="1">
      <c r="F2337" s="569">
        <v>461</v>
      </c>
      <c r="G2337" s="562" t="s">
        <v>4175</v>
      </c>
      <c r="J2337" s="635">
        <f t="shared" si="78"/>
        <v>0</v>
      </c>
    </row>
    <row r="2338" spans="6:10" hidden="1">
      <c r="F2338" s="569">
        <v>462</v>
      </c>
      <c r="G2338" s="562" t="s">
        <v>3812</v>
      </c>
      <c r="J2338" s="635">
        <f t="shared" si="78"/>
        <v>0</v>
      </c>
    </row>
    <row r="2339" spans="6:10" hidden="1">
      <c r="F2339" s="569">
        <v>511</v>
      </c>
      <c r="G2339" s="562" t="s">
        <v>4200</v>
      </c>
      <c r="J2339" s="635">
        <f t="shared" si="78"/>
        <v>0</v>
      </c>
    </row>
    <row r="2340" spans="6:10" hidden="1">
      <c r="F2340" s="569">
        <v>4632</v>
      </c>
      <c r="G2340" s="562" t="s">
        <v>3814</v>
      </c>
      <c r="J2340" s="635">
        <f t="shared" si="78"/>
        <v>0</v>
      </c>
    </row>
    <row r="2341" spans="6:10" hidden="1">
      <c r="F2341" s="569">
        <v>464</v>
      </c>
      <c r="G2341" s="562" t="s">
        <v>3815</v>
      </c>
      <c r="J2341" s="635">
        <f t="shared" si="78"/>
        <v>0</v>
      </c>
    </row>
    <row r="2342" spans="6:10" hidden="1">
      <c r="F2342" s="569">
        <v>465</v>
      </c>
      <c r="G2342" s="562" t="s">
        <v>4176</v>
      </c>
      <c r="J2342" s="635">
        <f t="shared" si="78"/>
        <v>0</v>
      </c>
    </row>
    <row r="2343" spans="6:10" hidden="1">
      <c r="F2343" s="569">
        <v>472</v>
      </c>
      <c r="G2343" s="562" t="s">
        <v>3819</v>
      </c>
      <c r="J2343" s="635">
        <f t="shared" si="78"/>
        <v>0</v>
      </c>
    </row>
    <row r="2344" spans="6:10" hidden="1">
      <c r="F2344" s="569">
        <v>481</v>
      </c>
      <c r="G2344" s="562" t="s">
        <v>4195</v>
      </c>
      <c r="J2344" s="635">
        <f t="shared" si="78"/>
        <v>0</v>
      </c>
    </row>
    <row r="2345" spans="6:10" hidden="1">
      <c r="F2345" s="569">
        <v>482</v>
      </c>
      <c r="G2345" s="562" t="s">
        <v>4196</v>
      </c>
      <c r="J2345" s="635">
        <f t="shared" si="78"/>
        <v>0</v>
      </c>
    </row>
    <row r="2346" spans="6:10" hidden="1">
      <c r="F2346" s="569">
        <v>483</v>
      </c>
      <c r="G2346" s="566" t="s">
        <v>4197</v>
      </c>
      <c r="J2346" s="635">
        <f t="shared" si="78"/>
        <v>0</v>
      </c>
    </row>
    <row r="2347" spans="6:10" ht="30" hidden="1">
      <c r="F2347" s="569">
        <v>484</v>
      </c>
      <c r="G2347" s="562" t="s">
        <v>4198</v>
      </c>
      <c r="J2347" s="635">
        <f t="shared" si="78"/>
        <v>0</v>
      </c>
    </row>
    <row r="2348" spans="6:10" ht="30" hidden="1">
      <c r="F2348" s="569">
        <v>485</v>
      </c>
      <c r="G2348" s="562" t="s">
        <v>4199</v>
      </c>
      <c r="J2348" s="635">
        <f t="shared" si="78"/>
        <v>0</v>
      </c>
    </row>
    <row r="2349" spans="6:10" ht="30" hidden="1">
      <c r="F2349" s="569">
        <v>489</v>
      </c>
      <c r="G2349" s="562" t="s">
        <v>3827</v>
      </c>
      <c r="J2349" s="635">
        <f t="shared" si="78"/>
        <v>0</v>
      </c>
    </row>
    <row r="2350" spans="6:10" hidden="1">
      <c r="F2350" s="569">
        <v>494</v>
      </c>
      <c r="G2350" s="562" t="s">
        <v>4177</v>
      </c>
      <c r="J2350" s="635">
        <f t="shared" si="78"/>
        <v>0</v>
      </c>
    </row>
    <row r="2351" spans="6:10" ht="30" hidden="1">
      <c r="F2351" s="569">
        <v>495</v>
      </c>
      <c r="G2351" s="562" t="s">
        <v>4178</v>
      </c>
      <c r="J2351" s="635">
        <f t="shared" si="78"/>
        <v>0</v>
      </c>
    </row>
    <row r="2352" spans="6:10" ht="30" hidden="1">
      <c r="F2352" s="569">
        <v>496</v>
      </c>
      <c r="G2352" s="562" t="s">
        <v>4179</v>
      </c>
      <c r="J2352" s="635">
        <f t="shared" si="78"/>
        <v>0</v>
      </c>
    </row>
    <row r="2353" spans="6:10" hidden="1">
      <c r="F2353" s="569">
        <v>499</v>
      </c>
      <c r="G2353" s="562" t="s">
        <v>4180</v>
      </c>
      <c r="J2353" s="635">
        <f t="shared" si="78"/>
        <v>0</v>
      </c>
    </row>
    <row r="2354" spans="6:10" ht="15.75" hidden="1" thickBot="1">
      <c r="F2354" s="569">
        <v>511</v>
      </c>
      <c r="G2354" s="566" t="s">
        <v>4200</v>
      </c>
      <c r="J2354" s="635">
        <f t="shared" si="78"/>
        <v>0</v>
      </c>
    </row>
    <row r="2355" spans="6:10" hidden="1">
      <c r="F2355" s="569">
        <v>512</v>
      </c>
      <c r="G2355" s="566" t="s">
        <v>4201</v>
      </c>
      <c r="J2355" s="635">
        <f t="shared" si="78"/>
        <v>0</v>
      </c>
    </row>
    <row r="2356" spans="6:10" hidden="1">
      <c r="F2356" s="569">
        <v>513</v>
      </c>
      <c r="G2356" s="566" t="s">
        <v>4202</v>
      </c>
      <c r="J2356" s="635">
        <f t="shared" si="78"/>
        <v>0</v>
      </c>
    </row>
    <row r="2357" spans="6:10" hidden="1">
      <c r="F2357" s="569">
        <v>514</v>
      </c>
      <c r="G2357" s="562" t="s">
        <v>4203</v>
      </c>
      <c r="J2357" s="635">
        <f t="shared" si="78"/>
        <v>0</v>
      </c>
    </row>
    <row r="2358" spans="6:10" hidden="1">
      <c r="F2358" s="569">
        <v>515</v>
      </c>
      <c r="G2358" s="562" t="s">
        <v>3838</v>
      </c>
      <c r="J2358" s="635">
        <f t="shared" si="78"/>
        <v>0</v>
      </c>
    </row>
    <row r="2359" spans="6:10" hidden="1">
      <c r="F2359" s="569">
        <v>521</v>
      </c>
      <c r="G2359" s="562" t="s">
        <v>4204</v>
      </c>
      <c r="J2359" s="635">
        <f t="shared" si="78"/>
        <v>0</v>
      </c>
    </row>
    <row r="2360" spans="6:10" hidden="1">
      <c r="F2360" s="569">
        <v>522</v>
      </c>
      <c r="G2360" s="562" t="s">
        <v>4205</v>
      </c>
      <c r="J2360" s="635">
        <f t="shared" si="78"/>
        <v>0</v>
      </c>
    </row>
    <row r="2361" spans="6:10" hidden="1">
      <c r="F2361" s="569">
        <v>523</v>
      </c>
      <c r="G2361" s="562" t="s">
        <v>3843</v>
      </c>
      <c r="J2361" s="635">
        <f t="shared" si="78"/>
        <v>0</v>
      </c>
    </row>
    <row r="2362" spans="6:10" hidden="1">
      <c r="F2362" s="569">
        <v>531</v>
      </c>
      <c r="G2362" s="558" t="s">
        <v>4181</v>
      </c>
      <c r="J2362" s="635">
        <f t="shared" si="78"/>
        <v>0</v>
      </c>
    </row>
    <row r="2363" spans="6:10" hidden="1">
      <c r="F2363" s="569">
        <v>541</v>
      </c>
      <c r="G2363" s="562" t="s">
        <v>4206</v>
      </c>
      <c r="J2363" s="635">
        <f t="shared" si="78"/>
        <v>0</v>
      </c>
    </row>
    <row r="2364" spans="6:10" hidden="1">
      <c r="F2364" s="569">
        <v>542</v>
      </c>
      <c r="G2364" s="562" t="s">
        <v>4207</v>
      </c>
      <c r="J2364" s="635">
        <f t="shared" si="78"/>
        <v>0</v>
      </c>
    </row>
    <row r="2365" spans="6:10" hidden="1">
      <c r="F2365" s="569">
        <v>543</v>
      </c>
      <c r="G2365" s="562" t="s">
        <v>3848</v>
      </c>
      <c r="J2365" s="635">
        <f t="shared" si="78"/>
        <v>0</v>
      </c>
    </row>
    <row r="2366" spans="6:10" ht="30" hidden="1">
      <c r="F2366" s="569">
        <v>551</v>
      </c>
      <c r="G2366" s="562" t="s">
        <v>4182</v>
      </c>
      <c r="J2366" s="635">
        <f t="shared" si="78"/>
        <v>0</v>
      </c>
    </row>
    <row r="2367" spans="6:10" hidden="1">
      <c r="F2367" s="570">
        <v>611</v>
      </c>
      <c r="G2367" s="568" t="s">
        <v>3854</v>
      </c>
      <c r="J2367" s="635">
        <f t="shared" si="78"/>
        <v>0</v>
      </c>
    </row>
    <row r="2368" spans="6:10" ht="15.75" hidden="1" thickBot="1">
      <c r="F2368" s="570">
        <v>620</v>
      </c>
      <c r="G2368" s="568" t="s">
        <v>88</v>
      </c>
      <c r="J2368" s="635">
        <f t="shared" si="78"/>
        <v>0</v>
      </c>
    </row>
    <row r="2369" spans="5:10" hidden="1">
      <c r="E2369" s="559"/>
      <c r="F2369" s="570"/>
      <c r="G2369" s="372" t="s">
        <v>4350</v>
      </c>
      <c r="H2369" s="636"/>
      <c r="I2369" s="662"/>
      <c r="J2369" s="637"/>
    </row>
    <row r="2370" spans="5:10" ht="15.75" hidden="1" thickBot="1">
      <c r="E2370" s="267"/>
      <c r="F2370" s="682" t="s">
        <v>234</v>
      </c>
      <c r="G2370" s="683" t="s">
        <v>235</v>
      </c>
      <c r="H2370" s="638">
        <f>SUM(H2309:H2368)</f>
        <v>0</v>
      </c>
      <c r="I2370" s="639"/>
      <c r="J2370" s="639">
        <f t="shared" ref="J2370:J2385" si="79">SUM(H2370:I2370)</f>
        <v>0</v>
      </c>
    </row>
    <row r="2371" spans="5:10" hidden="1">
      <c r="F2371" s="682" t="s">
        <v>236</v>
      </c>
      <c r="G2371" s="683" t="s">
        <v>237</v>
      </c>
      <c r="J2371" s="639">
        <f t="shared" si="79"/>
        <v>0</v>
      </c>
    </row>
    <row r="2372" spans="5:10" hidden="1">
      <c r="F2372" s="682" t="s">
        <v>238</v>
      </c>
      <c r="G2372" s="683" t="s">
        <v>239</v>
      </c>
      <c r="J2372" s="639">
        <f t="shared" si="79"/>
        <v>0</v>
      </c>
    </row>
    <row r="2373" spans="5:10" hidden="1">
      <c r="F2373" s="682" t="s">
        <v>240</v>
      </c>
      <c r="G2373" s="683" t="s">
        <v>241</v>
      </c>
      <c r="J2373" s="639">
        <f t="shared" si="79"/>
        <v>0</v>
      </c>
    </row>
    <row r="2374" spans="5:10" hidden="1">
      <c r="F2374" s="682" t="s">
        <v>242</v>
      </c>
      <c r="G2374" s="683" t="s">
        <v>243</v>
      </c>
      <c r="J2374" s="639">
        <f t="shared" si="79"/>
        <v>0</v>
      </c>
    </row>
    <row r="2375" spans="5:10" hidden="1">
      <c r="F2375" s="682" t="s">
        <v>244</v>
      </c>
      <c r="G2375" s="683" t="s">
        <v>245</v>
      </c>
      <c r="J2375" s="639">
        <f t="shared" si="79"/>
        <v>0</v>
      </c>
    </row>
    <row r="2376" spans="5:10" hidden="1">
      <c r="F2376" s="682" t="s">
        <v>246</v>
      </c>
      <c r="G2376" s="683" t="s">
        <v>5121</v>
      </c>
      <c r="J2376" s="639">
        <f t="shared" si="79"/>
        <v>0</v>
      </c>
    </row>
    <row r="2377" spans="5:10" hidden="1">
      <c r="F2377" s="682" t="s">
        <v>247</v>
      </c>
      <c r="G2377" s="683" t="s">
        <v>5120</v>
      </c>
      <c r="J2377" s="639">
        <f t="shared" si="79"/>
        <v>0</v>
      </c>
    </row>
    <row r="2378" spans="5:10" hidden="1">
      <c r="F2378" s="682" t="s">
        <v>248</v>
      </c>
      <c r="G2378" s="683" t="s">
        <v>57</v>
      </c>
      <c r="J2378" s="639">
        <f t="shared" si="79"/>
        <v>0</v>
      </c>
    </row>
    <row r="2379" spans="5:10" hidden="1">
      <c r="F2379" s="682" t="s">
        <v>249</v>
      </c>
      <c r="G2379" s="683" t="s">
        <v>250</v>
      </c>
      <c r="J2379" s="639">
        <f t="shared" si="79"/>
        <v>0</v>
      </c>
    </row>
    <row r="2380" spans="5:10" hidden="1">
      <c r="F2380" s="682" t="s">
        <v>251</v>
      </c>
      <c r="G2380" s="683" t="s">
        <v>252</v>
      </c>
      <c r="J2380" s="639">
        <f t="shared" si="79"/>
        <v>0</v>
      </c>
    </row>
    <row r="2381" spans="5:10" hidden="1">
      <c r="F2381" s="682" t="s">
        <v>253</v>
      </c>
      <c r="G2381" s="683" t="s">
        <v>254</v>
      </c>
      <c r="J2381" s="639">
        <f t="shared" si="79"/>
        <v>0</v>
      </c>
    </row>
    <row r="2382" spans="5:10" hidden="1">
      <c r="F2382" s="682" t="s">
        <v>255</v>
      </c>
      <c r="G2382" s="683" t="s">
        <v>256</v>
      </c>
      <c r="J2382" s="639">
        <f t="shared" si="79"/>
        <v>0</v>
      </c>
    </row>
    <row r="2383" spans="5:10" hidden="1">
      <c r="F2383" s="682" t="s">
        <v>257</v>
      </c>
      <c r="G2383" s="683" t="s">
        <v>258</v>
      </c>
      <c r="J2383" s="639">
        <f t="shared" si="79"/>
        <v>0</v>
      </c>
    </row>
    <row r="2384" spans="5:10" hidden="1">
      <c r="F2384" s="682" t="s">
        <v>259</v>
      </c>
      <c r="G2384" s="683" t="s">
        <v>260</v>
      </c>
      <c r="J2384" s="639">
        <f t="shared" si="79"/>
        <v>0</v>
      </c>
    </row>
    <row r="2385" spans="5:10" ht="15.75" hidden="1" thickBot="1">
      <c r="F2385" s="682" t="s">
        <v>261</v>
      </c>
      <c r="G2385" s="683" t="s">
        <v>262</v>
      </c>
      <c r="H2385" s="638"/>
      <c r="I2385" s="639"/>
      <c r="J2385" s="639">
        <f t="shared" si="79"/>
        <v>0</v>
      </c>
    </row>
    <row r="2386" spans="5:10" ht="15.75" hidden="1" thickBot="1">
      <c r="G2386" s="274" t="s">
        <v>4351</v>
      </c>
      <c r="H2386" s="640">
        <f>SUM(H2370:H2385)</f>
        <v>0</v>
      </c>
      <c r="I2386" s="641">
        <f>SUM(I2371:I2385)</f>
        <v>0</v>
      </c>
      <c r="J2386" s="641">
        <f>SUM(J2370:J2385)</f>
        <v>0</v>
      </c>
    </row>
    <row r="2387" spans="5:10" hidden="1">
      <c r="E2387" s="559"/>
      <c r="F2387" s="570"/>
      <c r="G2387" s="276" t="s">
        <v>5189</v>
      </c>
      <c r="H2387" s="642"/>
      <c r="I2387" s="663"/>
      <c r="J2387" s="643"/>
    </row>
    <row r="2388" spans="5:10" ht="15.75" hidden="1" thickBot="1">
      <c r="E2388" s="267"/>
      <c r="F2388" s="682" t="s">
        <v>234</v>
      </c>
      <c r="G2388" s="683" t="s">
        <v>235</v>
      </c>
      <c r="H2388" s="638">
        <f>SUM(H2309:H2368)</f>
        <v>0</v>
      </c>
      <c r="I2388" s="639"/>
      <c r="J2388" s="639">
        <f>SUM(H2388:I2388)</f>
        <v>0</v>
      </c>
    </row>
    <row r="2389" spans="5:10" hidden="1">
      <c r="F2389" s="682" t="s">
        <v>236</v>
      </c>
      <c r="G2389" s="683" t="s">
        <v>237</v>
      </c>
      <c r="J2389" s="639">
        <f t="shared" ref="J2389:J2403" si="80">SUM(H2389:I2389)</f>
        <v>0</v>
      </c>
    </row>
    <row r="2390" spans="5:10" hidden="1">
      <c r="F2390" s="682" t="s">
        <v>238</v>
      </c>
      <c r="G2390" s="683" t="s">
        <v>239</v>
      </c>
      <c r="J2390" s="639">
        <f t="shared" si="80"/>
        <v>0</v>
      </c>
    </row>
    <row r="2391" spans="5:10" hidden="1">
      <c r="F2391" s="682" t="s">
        <v>240</v>
      </c>
      <c r="G2391" s="683" t="s">
        <v>241</v>
      </c>
      <c r="J2391" s="639">
        <f t="shared" si="80"/>
        <v>0</v>
      </c>
    </row>
    <row r="2392" spans="5:10" hidden="1">
      <c r="F2392" s="682" t="s">
        <v>242</v>
      </c>
      <c r="G2392" s="683" t="s">
        <v>243</v>
      </c>
      <c r="J2392" s="639">
        <f t="shared" si="80"/>
        <v>0</v>
      </c>
    </row>
    <row r="2393" spans="5:10" hidden="1">
      <c r="F2393" s="682" t="s">
        <v>244</v>
      </c>
      <c r="G2393" s="683" t="s">
        <v>245</v>
      </c>
      <c r="J2393" s="639">
        <f t="shared" si="80"/>
        <v>0</v>
      </c>
    </row>
    <row r="2394" spans="5:10" hidden="1">
      <c r="F2394" s="682" t="s">
        <v>246</v>
      </c>
      <c r="G2394" s="683" t="s">
        <v>5121</v>
      </c>
      <c r="J2394" s="639">
        <f t="shared" si="80"/>
        <v>0</v>
      </c>
    </row>
    <row r="2395" spans="5:10" hidden="1">
      <c r="F2395" s="682" t="s">
        <v>247</v>
      </c>
      <c r="G2395" s="683" t="s">
        <v>5120</v>
      </c>
      <c r="J2395" s="639">
        <f t="shared" si="80"/>
        <v>0</v>
      </c>
    </row>
    <row r="2396" spans="5:10" hidden="1">
      <c r="F2396" s="682" t="s">
        <v>248</v>
      </c>
      <c r="G2396" s="683" t="s">
        <v>57</v>
      </c>
      <c r="J2396" s="639">
        <f t="shared" si="80"/>
        <v>0</v>
      </c>
    </row>
    <row r="2397" spans="5:10" hidden="1">
      <c r="F2397" s="682" t="s">
        <v>249</v>
      </c>
      <c r="G2397" s="683" t="s">
        <v>250</v>
      </c>
      <c r="J2397" s="639">
        <f t="shared" si="80"/>
        <v>0</v>
      </c>
    </row>
    <row r="2398" spans="5:10" hidden="1">
      <c r="F2398" s="682" t="s">
        <v>251</v>
      </c>
      <c r="G2398" s="683" t="s">
        <v>252</v>
      </c>
      <c r="J2398" s="639">
        <f t="shared" si="80"/>
        <v>0</v>
      </c>
    </row>
    <row r="2399" spans="5:10" hidden="1">
      <c r="F2399" s="682" t="s">
        <v>253</v>
      </c>
      <c r="G2399" s="683" t="s">
        <v>254</v>
      </c>
      <c r="J2399" s="639">
        <f t="shared" si="80"/>
        <v>0</v>
      </c>
    </row>
    <row r="2400" spans="5:10" hidden="1">
      <c r="F2400" s="682" t="s">
        <v>255</v>
      </c>
      <c r="G2400" s="683" t="s">
        <v>256</v>
      </c>
      <c r="J2400" s="639">
        <f t="shared" si="80"/>
        <v>0</v>
      </c>
    </row>
    <row r="2401" spans="6:10" hidden="1">
      <c r="F2401" s="682" t="s">
        <v>257</v>
      </c>
      <c r="G2401" s="683" t="s">
        <v>258</v>
      </c>
      <c r="J2401" s="639">
        <f t="shared" si="80"/>
        <v>0</v>
      </c>
    </row>
    <row r="2402" spans="6:10" hidden="1">
      <c r="F2402" s="682" t="s">
        <v>259</v>
      </c>
      <c r="G2402" s="683" t="s">
        <v>260</v>
      </c>
      <c r="J2402" s="639">
        <f t="shared" si="80"/>
        <v>0</v>
      </c>
    </row>
    <row r="2403" spans="6:10" ht="15.75" hidden="1" thickBot="1">
      <c r="F2403" s="682" t="s">
        <v>261</v>
      </c>
      <c r="G2403" s="683" t="s">
        <v>262</v>
      </c>
      <c r="H2403" s="638"/>
      <c r="I2403" s="639"/>
      <c r="J2403" s="639">
        <f t="shared" si="80"/>
        <v>0</v>
      </c>
    </row>
    <row r="2404" spans="6:10" ht="15.75" hidden="1" thickBot="1">
      <c r="G2404" s="274" t="s">
        <v>5190</v>
      </c>
      <c r="H2404" s="640">
        <f>SUM(H2388:H2403)</f>
        <v>0</v>
      </c>
      <c r="I2404" s="641">
        <f>SUM(I2389:I2403)</f>
        <v>0</v>
      </c>
      <c r="J2404" s="641">
        <f>SUM(J2388:J2403)</f>
        <v>0</v>
      </c>
    </row>
    <row r="2405" spans="6:10" hidden="1">
      <c r="G2405" s="331"/>
      <c r="H2405" s="644"/>
      <c r="I2405" s="645"/>
      <c r="J2405" s="645"/>
    </row>
    <row r="2406" spans="6:10" hidden="1">
      <c r="G2406" s="331"/>
      <c r="H2406" s="644"/>
      <c r="I2406" s="645"/>
      <c r="J2406" s="645"/>
    </row>
    <row r="2407" spans="6:10" hidden="1">
      <c r="G2407" s="331"/>
      <c r="H2407" s="644"/>
      <c r="I2407" s="645"/>
      <c r="J2407" s="645"/>
    </row>
    <row r="2408" spans="6:10" hidden="1">
      <c r="G2408" s="331"/>
      <c r="H2408" s="644"/>
      <c r="I2408" s="645"/>
      <c r="J2408" s="645"/>
    </row>
    <row r="2409" spans="6:10" hidden="1">
      <c r="G2409" s="331"/>
      <c r="H2409" s="644"/>
      <c r="I2409" s="645"/>
      <c r="J2409" s="645"/>
    </row>
    <row r="2410" spans="6:10" hidden="1">
      <c r="G2410" s="331"/>
      <c r="H2410" s="644"/>
      <c r="I2410" s="645"/>
      <c r="J2410" s="645"/>
    </row>
    <row r="2411" spans="6:10" hidden="1">
      <c r="G2411" s="331"/>
      <c r="H2411" s="644"/>
      <c r="I2411" s="645"/>
      <c r="J2411" s="645"/>
    </row>
    <row r="2412" spans="6:10" hidden="1">
      <c r="G2412" s="331"/>
      <c r="H2412" s="644"/>
      <c r="I2412" s="645"/>
      <c r="J2412" s="645"/>
    </row>
    <row r="2413" spans="6:10" hidden="1">
      <c r="G2413" s="331"/>
      <c r="H2413" s="644"/>
      <c r="I2413" s="645"/>
      <c r="J2413" s="645"/>
    </row>
    <row r="2414" spans="6:10" hidden="1">
      <c r="G2414" s="331"/>
      <c r="H2414" s="644"/>
      <c r="I2414" s="645"/>
      <c r="J2414" s="645"/>
    </row>
    <row r="2415" spans="6:10" hidden="1">
      <c r="G2415" s="331"/>
      <c r="H2415" s="644"/>
      <c r="I2415" s="645"/>
      <c r="J2415" s="645"/>
    </row>
    <row r="2416" spans="6:10" hidden="1">
      <c r="G2416" s="331"/>
      <c r="H2416" s="644"/>
      <c r="I2416" s="645"/>
      <c r="J2416" s="645"/>
    </row>
    <row r="2417" spans="1:25" hidden="1">
      <c r="G2417" s="331"/>
      <c r="H2417" s="644"/>
      <c r="I2417" s="645"/>
      <c r="J2417" s="645"/>
    </row>
    <row r="2418" spans="1:25" hidden="1">
      <c r="G2418" s="331"/>
      <c r="H2418" s="644"/>
      <c r="I2418" s="645"/>
      <c r="J2418" s="645"/>
    </row>
    <row r="2419" spans="1:25" hidden="1">
      <c r="G2419" s="331"/>
      <c r="H2419" s="644"/>
      <c r="I2419" s="645"/>
      <c r="J2419" s="645"/>
    </row>
    <row r="2420" spans="1:25" hidden="1">
      <c r="G2420" s="331"/>
      <c r="H2420" s="644"/>
      <c r="I2420" s="645"/>
      <c r="J2420" s="645"/>
    </row>
    <row r="2421" spans="1:25" hidden="1">
      <c r="G2421" s="331"/>
      <c r="H2421" s="644"/>
      <c r="I2421" s="645"/>
      <c r="J2421" s="645"/>
    </row>
    <row r="2422" spans="1:25" hidden="1">
      <c r="G2422" s="331"/>
      <c r="H2422" s="644"/>
      <c r="I2422" s="645"/>
      <c r="J2422" s="645"/>
    </row>
    <row r="2423" spans="1:25" hidden="1">
      <c r="G2423" s="331"/>
      <c r="H2423" s="644"/>
      <c r="I2423" s="645"/>
      <c r="J2423" s="645"/>
    </row>
    <row r="2424" spans="1:25" hidden="1">
      <c r="G2424" s="331"/>
      <c r="H2424" s="644"/>
      <c r="I2424" s="645"/>
      <c r="J2424" s="645"/>
    </row>
    <row r="2425" spans="1:25" hidden="1">
      <c r="G2425" s="331"/>
      <c r="H2425" s="644"/>
      <c r="I2425" s="645"/>
      <c r="J2425" s="645"/>
    </row>
    <row r="2426" spans="1:25" hidden="1">
      <c r="G2426" s="331"/>
      <c r="H2426" s="644"/>
      <c r="I2426" s="645"/>
      <c r="J2426" s="645"/>
    </row>
    <row r="2427" spans="1:25" hidden="1">
      <c r="G2427" s="331"/>
      <c r="H2427" s="644"/>
      <c r="I2427" s="645"/>
      <c r="J2427" s="645"/>
    </row>
    <row r="2428" spans="1:25" hidden="1">
      <c r="G2428" s="331"/>
      <c r="H2428" s="644"/>
      <c r="I2428" s="645"/>
      <c r="J2428" s="645"/>
    </row>
    <row r="2429" spans="1:25" hidden="1">
      <c r="G2429" s="331"/>
      <c r="H2429" s="644"/>
      <c r="I2429" s="645"/>
      <c r="J2429" s="645"/>
    </row>
    <row r="2430" spans="1:25" hidden="1">
      <c r="G2430" s="331"/>
      <c r="H2430" s="644"/>
      <c r="I2430" s="645"/>
      <c r="J2430" s="645"/>
    </row>
    <row r="2431" spans="1:25" hidden="1">
      <c r="G2431" s="331"/>
      <c r="H2431" s="644"/>
      <c r="I2431" s="645"/>
      <c r="J2431" s="645"/>
    </row>
    <row r="2432" spans="1:25" s="88" customFormat="1" hidden="1">
      <c r="A2432" s="551"/>
      <c r="B2432" s="301"/>
      <c r="C2432" s="362"/>
      <c r="E2432" s="296"/>
      <c r="F2432" s="302"/>
      <c r="G2432" s="353"/>
      <c r="H2432" s="667"/>
      <c r="I2432" s="650"/>
      <c r="J2432" s="668"/>
      <c r="K2432" s="575"/>
      <c r="L2432" s="575"/>
      <c r="M2432" s="575"/>
      <c r="N2432" s="313"/>
      <c r="O2432" s="575"/>
      <c r="P2432" s="575"/>
      <c r="Q2432" s="575"/>
      <c r="R2432" s="575"/>
      <c r="S2432" s="575"/>
      <c r="T2432" s="575"/>
      <c r="U2432" s="575"/>
      <c r="V2432" s="575"/>
      <c r="W2432" s="575"/>
      <c r="X2432" s="575"/>
      <c r="Y2432" s="575"/>
    </row>
    <row r="2433" spans="1:25" s="88" customFormat="1">
      <c r="A2433" s="306"/>
      <c r="B2433" s="301"/>
      <c r="C2433" s="361"/>
      <c r="D2433" s="296"/>
      <c r="E2433" s="296"/>
      <c r="F2433" s="309"/>
      <c r="G2433" s="295" t="s">
        <v>4255</v>
      </c>
      <c r="H2433" s="646"/>
      <c r="I2433" s="664"/>
      <c r="J2433" s="647"/>
      <c r="K2433" s="575"/>
      <c r="L2433" s="575"/>
      <c r="M2433" s="575"/>
      <c r="N2433" s="575"/>
      <c r="O2433" s="575"/>
      <c r="P2433" s="575"/>
      <c r="Q2433" s="575"/>
      <c r="R2433" s="575"/>
      <c r="S2433" s="575"/>
      <c r="T2433" s="575"/>
      <c r="U2433" s="575"/>
      <c r="V2433" s="575"/>
      <c r="W2433" s="575"/>
      <c r="X2433" s="575"/>
      <c r="Y2433" s="575"/>
    </row>
    <row r="2434" spans="1:25" s="88" customFormat="1" ht="15.75" thickBot="1">
      <c r="A2434" s="306"/>
      <c r="B2434" s="301"/>
      <c r="C2434" s="361"/>
      <c r="D2434" s="296"/>
      <c r="E2434" s="296"/>
      <c r="F2434" s="294" t="s">
        <v>234</v>
      </c>
      <c r="G2434" s="297" t="s">
        <v>235</v>
      </c>
      <c r="H2434" s="638">
        <f>SUM(H2388,H2289,H2190,H2091,H1992,H1893,H1794,H1695,H1596,H1102)</f>
        <v>145660000</v>
      </c>
      <c r="I2434" s="639"/>
      <c r="J2434" s="639">
        <f>SUM(H2434:I2434)</f>
        <v>145660000</v>
      </c>
      <c r="K2434" s="575"/>
      <c r="L2434" s="575"/>
      <c r="M2434" s="575"/>
      <c r="N2434" s="575"/>
      <c r="O2434" s="575"/>
      <c r="P2434" s="575"/>
      <c r="Q2434" s="575"/>
      <c r="R2434" s="575"/>
      <c r="S2434" s="575"/>
      <c r="T2434" s="575"/>
      <c r="U2434" s="575"/>
      <c r="V2434" s="575"/>
      <c r="W2434" s="575"/>
      <c r="X2434" s="575"/>
      <c r="Y2434" s="575"/>
    </row>
    <row r="2435" spans="1:25" s="88" customFormat="1" ht="15.75" hidden="1" thickBot="1">
      <c r="A2435" s="306"/>
      <c r="B2435" s="301"/>
      <c r="C2435" s="361"/>
      <c r="D2435" s="296"/>
      <c r="E2435" s="296"/>
      <c r="F2435" s="294" t="s">
        <v>236</v>
      </c>
      <c r="G2435" s="297" t="s">
        <v>237</v>
      </c>
      <c r="H2435" s="634"/>
      <c r="I2435" s="635"/>
      <c r="J2435" s="639">
        <f t="shared" ref="J2435:J2449" si="81">SUM(H2435:I2435)</f>
        <v>0</v>
      </c>
      <c r="K2435" s="575"/>
      <c r="L2435" s="575"/>
      <c r="M2435" s="575"/>
      <c r="N2435" s="575"/>
      <c r="O2435" s="575"/>
      <c r="P2435" s="575"/>
      <c r="Q2435" s="575"/>
      <c r="R2435" s="575"/>
      <c r="S2435" s="575"/>
      <c r="T2435" s="575"/>
      <c r="U2435" s="575"/>
      <c r="V2435" s="575"/>
      <c r="W2435" s="575"/>
      <c r="X2435" s="575"/>
      <c r="Y2435" s="575"/>
    </row>
    <row r="2436" spans="1:25" s="88" customFormat="1" ht="15.75" hidden="1" thickBot="1">
      <c r="A2436" s="306"/>
      <c r="B2436" s="301"/>
      <c r="C2436" s="361"/>
      <c r="D2436" s="296"/>
      <c r="E2436" s="296"/>
      <c r="F2436" s="294" t="s">
        <v>238</v>
      </c>
      <c r="G2436" s="297" t="s">
        <v>239</v>
      </c>
      <c r="H2436" s="634"/>
      <c r="I2436" s="635"/>
      <c r="J2436" s="639">
        <f t="shared" si="81"/>
        <v>0</v>
      </c>
      <c r="K2436" s="575"/>
      <c r="L2436" s="575"/>
      <c r="M2436" s="575"/>
      <c r="N2436" s="575"/>
      <c r="O2436" s="575"/>
      <c r="P2436" s="575"/>
      <c r="Q2436" s="575"/>
      <c r="R2436" s="575"/>
      <c r="S2436" s="575"/>
      <c r="T2436" s="575"/>
      <c r="U2436" s="575"/>
      <c r="V2436" s="575"/>
      <c r="W2436" s="575"/>
      <c r="X2436" s="575"/>
      <c r="Y2436" s="575"/>
    </row>
    <row r="2437" spans="1:25" s="88" customFormat="1" ht="15.75" hidden="1" thickBot="1">
      <c r="A2437" s="306"/>
      <c r="B2437" s="301"/>
      <c r="C2437" s="361"/>
      <c r="D2437" s="296"/>
      <c r="E2437" s="296"/>
      <c r="F2437" s="294" t="s">
        <v>240</v>
      </c>
      <c r="G2437" s="297" t="s">
        <v>241</v>
      </c>
      <c r="H2437" s="634"/>
      <c r="I2437" s="635"/>
      <c r="J2437" s="639">
        <f t="shared" si="81"/>
        <v>0</v>
      </c>
      <c r="K2437" s="575"/>
      <c r="L2437" s="575"/>
      <c r="M2437" s="575"/>
      <c r="N2437" s="575"/>
      <c r="O2437" s="575"/>
      <c r="P2437" s="575"/>
      <c r="Q2437" s="575"/>
      <c r="R2437" s="575"/>
      <c r="S2437" s="575"/>
      <c r="T2437" s="575"/>
      <c r="U2437" s="575"/>
      <c r="V2437" s="575"/>
      <c r="W2437" s="575"/>
      <c r="X2437" s="575"/>
      <c r="Y2437" s="575"/>
    </row>
    <row r="2438" spans="1:25" s="88" customFormat="1" ht="15.75" hidden="1" thickBot="1">
      <c r="A2438" s="306"/>
      <c r="B2438" s="301"/>
      <c r="C2438" s="361"/>
      <c r="D2438" s="296"/>
      <c r="E2438" s="296"/>
      <c r="F2438" s="294" t="s">
        <v>242</v>
      </c>
      <c r="G2438" s="297" t="s">
        <v>243</v>
      </c>
      <c r="H2438" s="634"/>
      <c r="I2438" s="635"/>
      <c r="J2438" s="639">
        <f t="shared" si="81"/>
        <v>0</v>
      </c>
      <c r="K2438" s="575"/>
      <c r="L2438" s="575"/>
      <c r="M2438" s="575"/>
      <c r="N2438" s="575"/>
      <c r="O2438" s="575"/>
      <c r="P2438" s="575"/>
      <c r="Q2438" s="575"/>
      <c r="R2438" s="575"/>
      <c r="S2438" s="575"/>
      <c r="T2438" s="575"/>
      <c r="U2438" s="575"/>
      <c r="V2438" s="575"/>
      <c r="W2438" s="575"/>
      <c r="X2438" s="575"/>
      <c r="Y2438" s="575"/>
    </row>
    <row r="2439" spans="1:25" s="88" customFormat="1" ht="15.75" hidden="1" thickBot="1">
      <c r="A2439" s="306"/>
      <c r="B2439" s="301"/>
      <c r="C2439" s="361"/>
      <c r="D2439" s="296"/>
      <c r="E2439" s="296"/>
      <c r="F2439" s="294" t="s">
        <v>244</v>
      </c>
      <c r="G2439" s="297" t="s">
        <v>245</v>
      </c>
      <c r="H2439" s="634"/>
      <c r="I2439" s="635"/>
      <c r="J2439" s="639">
        <f t="shared" si="81"/>
        <v>0</v>
      </c>
      <c r="K2439" s="575"/>
      <c r="L2439" s="575"/>
      <c r="M2439" s="575"/>
      <c r="N2439" s="575"/>
      <c r="O2439" s="575"/>
      <c r="P2439" s="575"/>
      <c r="Q2439" s="575"/>
      <c r="R2439" s="575"/>
      <c r="S2439" s="575"/>
      <c r="T2439" s="575"/>
      <c r="U2439" s="575"/>
      <c r="V2439" s="575"/>
      <c r="W2439" s="575"/>
      <c r="X2439" s="575"/>
      <c r="Y2439" s="575"/>
    </row>
    <row r="2440" spans="1:25" s="88" customFormat="1" ht="15.75" hidden="1" thickBot="1">
      <c r="A2440" s="306"/>
      <c r="B2440" s="301"/>
      <c r="C2440" s="361"/>
      <c r="D2440" s="296"/>
      <c r="E2440" s="296"/>
      <c r="F2440" s="294" t="s">
        <v>246</v>
      </c>
      <c r="G2440" s="683" t="s">
        <v>5121</v>
      </c>
      <c r="H2440" s="634"/>
      <c r="I2440" s="635"/>
      <c r="J2440" s="639">
        <f t="shared" si="81"/>
        <v>0</v>
      </c>
      <c r="K2440" s="575"/>
      <c r="L2440" s="575"/>
      <c r="M2440" s="575"/>
      <c r="N2440" s="575"/>
      <c r="O2440" s="575"/>
      <c r="P2440" s="575"/>
      <c r="Q2440" s="575"/>
      <c r="R2440" s="575"/>
      <c r="S2440" s="575"/>
      <c r="T2440" s="575"/>
      <c r="U2440" s="575"/>
      <c r="V2440" s="575"/>
      <c r="W2440" s="575"/>
      <c r="X2440" s="575"/>
      <c r="Y2440" s="575"/>
    </row>
    <row r="2441" spans="1:25" s="88" customFormat="1" ht="15.75" hidden="1" thickBot="1">
      <c r="A2441" s="306"/>
      <c r="B2441" s="301"/>
      <c r="C2441" s="361"/>
      <c r="D2441" s="296"/>
      <c r="E2441" s="296"/>
      <c r="F2441" s="294" t="s">
        <v>247</v>
      </c>
      <c r="G2441" s="683" t="s">
        <v>5120</v>
      </c>
      <c r="H2441" s="634"/>
      <c r="I2441" s="635"/>
      <c r="J2441" s="639">
        <f t="shared" si="81"/>
        <v>0</v>
      </c>
      <c r="K2441" s="575"/>
      <c r="L2441" s="575"/>
      <c r="M2441" s="575"/>
      <c r="N2441" s="575"/>
      <c r="O2441" s="575"/>
      <c r="P2441" s="575"/>
      <c r="Q2441" s="575"/>
      <c r="R2441" s="575"/>
      <c r="S2441" s="575"/>
      <c r="T2441" s="575"/>
      <c r="U2441" s="575"/>
      <c r="V2441" s="575"/>
      <c r="W2441" s="575"/>
      <c r="X2441" s="575"/>
      <c r="Y2441" s="575"/>
    </row>
    <row r="2442" spans="1:25" s="88" customFormat="1" ht="15.75" hidden="1" thickBot="1">
      <c r="A2442" s="306"/>
      <c r="B2442" s="301"/>
      <c r="C2442" s="361"/>
      <c r="D2442" s="296"/>
      <c r="E2442" s="296"/>
      <c r="F2442" s="294" t="s">
        <v>248</v>
      </c>
      <c r="G2442" s="297" t="s">
        <v>57</v>
      </c>
      <c r="H2442" s="634"/>
      <c r="I2442" s="635"/>
      <c r="J2442" s="639">
        <f t="shared" si="81"/>
        <v>0</v>
      </c>
      <c r="K2442" s="575"/>
      <c r="L2442" s="575"/>
      <c r="M2442" s="575"/>
      <c r="N2442" s="575"/>
      <c r="O2442" s="575"/>
      <c r="P2442" s="575"/>
      <c r="Q2442" s="575"/>
      <c r="R2442" s="575"/>
      <c r="S2442" s="575"/>
      <c r="T2442" s="575"/>
      <c r="U2442" s="575"/>
      <c r="V2442" s="575"/>
      <c r="W2442" s="575"/>
      <c r="X2442" s="575"/>
      <c r="Y2442" s="575"/>
    </row>
    <row r="2443" spans="1:25" s="88" customFormat="1" ht="15.75" hidden="1" thickBot="1">
      <c r="A2443" s="306"/>
      <c r="B2443" s="301"/>
      <c r="C2443" s="361"/>
      <c r="D2443" s="296"/>
      <c r="E2443" s="296"/>
      <c r="F2443" s="294" t="s">
        <v>249</v>
      </c>
      <c r="G2443" s="297" t="s">
        <v>250</v>
      </c>
      <c r="H2443" s="634"/>
      <c r="I2443" s="635"/>
      <c r="J2443" s="639">
        <f t="shared" si="81"/>
        <v>0</v>
      </c>
      <c r="K2443" s="575"/>
      <c r="L2443" s="575"/>
      <c r="M2443" s="575"/>
      <c r="N2443" s="575"/>
      <c r="O2443" s="575"/>
      <c r="P2443" s="575"/>
      <c r="Q2443" s="575"/>
      <c r="R2443" s="575"/>
      <c r="S2443" s="575"/>
      <c r="T2443" s="575"/>
      <c r="U2443" s="575"/>
      <c r="V2443" s="575"/>
      <c r="W2443" s="575"/>
      <c r="X2443" s="575"/>
      <c r="Y2443" s="575"/>
    </row>
    <row r="2444" spans="1:25" s="88" customFormat="1" ht="15.75" hidden="1" thickBot="1">
      <c r="A2444" s="306"/>
      <c r="B2444" s="301"/>
      <c r="C2444" s="361"/>
      <c r="D2444" s="296"/>
      <c r="E2444" s="296"/>
      <c r="F2444" s="294" t="s">
        <v>251</v>
      </c>
      <c r="G2444" s="297" t="s">
        <v>252</v>
      </c>
      <c r="H2444" s="634"/>
      <c r="I2444" s="635"/>
      <c r="J2444" s="639">
        <f t="shared" si="81"/>
        <v>0</v>
      </c>
      <c r="K2444" s="575"/>
      <c r="L2444" s="575"/>
      <c r="M2444" s="575"/>
      <c r="N2444" s="575"/>
      <c r="O2444" s="575"/>
      <c r="P2444" s="575"/>
      <c r="Q2444" s="575"/>
      <c r="R2444" s="575"/>
      <c r="S2444" s="575"/>
      <c r="T2444" s="575"/>
      <c r="U2444" s="575"/>
      <c r="V2444" s="575"/>
      <c r="W2444" s="575"/>
      <c r="X2444" s="575"/>
      <c r="Y2444" s="575"/>
    </row>
    <row r="2445" spans="1:25" s="88" customFormat="1" ht="15.75" hidden="1" thickBot="1">
      <c r="A2445" s="306"/>
      <c r="B2445" s="301"/>
      <c r="C2445" s="361"/>
      <c r="D2445" s="296"/>
      <c r="E2445" s="296"/>
      <c r="F2445" s="294" t="s">
        <v>253</v>
      </c>
      <c r="G2445" s="297" t="s">
        <v>254</v>
      </c>
      <c r="H2445" s="634"/>
      <c r="I2445" s="635"/>
      <c r="J2445" s="639">
        <f t="shared" si="81"/>
        <v>0</v>
      </c>
      <c r="K2445" s="575"/>
      <c r="L2445" s="575"/>
      <c r="M2445" s="575"/>
      <c r="N2445" s="575"/>
      <c r="O2445" s="575"/>
      <c r="P2445" s="575"/>
      <c r="Q2445" s="575"/>
      <c r="R2445" s="575"/>
      <c r="S2445" s="575"/>
      <c r="T2445" s="575"/>
      <c r="U2445" s="575"/>
      <c r="V2445" s="575"/>
      <c r="W2445" s="575"/>
      <c r="X2445" s="575"/>
      <c r="Y2445" s="575"/>
    </row>
    <row r="2446" spans="1:25" s="88" customFormat="1" ht="15.75" hidden="1" thickBot="1">
      <c r="A2446" s="306"/>
      <c r="B2446" s="301"/>
      <c r="C2446" s="361"/>
      <c r="D2446" s="296"/>
      <c r="E2446" s="296"/>
      <c r="F2446" s="294" t="s">
        <v>255</v>
      </c>
      <c r="G2446" s="297" t="s">
        <v>256</v>
      </c>
      <c r="H2446" s="634"/>
      <c r="I2446" s="635"/>
      <c r="J2446" s="639">
        <f t="shared" si="81"/>
        <v>0</v>
      </c>
      <c r="K2446" s="575"/>
      <c r="L2446" s="575"/>
      <c r="M2446" s="575"/>
      <c r="N2446" s="575"/>
      <c r="O2446" s="575"/>
      <c r="P2446" s="575"/>
      <c r="Q2446" s="575"/>
      <c r="R2446" s="575"/>
      <c r="S2446" s="575"/>
      <c r="T2446" s="575"/>
      <c r="U2446" s="575"/>
      <c r="V2446" s="575"/>
      <c r="W2446" s="575"/>
      <c r="X2446" s="575"/>
      <c r="Y2446" s="575"/>
    </row>
    <row r="2447" spans="1:25" s="88" customFormat="1" ht="15.75" hidden="1" thickBot="1">
      <c r="A2447" s="306"/>
      <c r="B2447" s="301"/>
      <c r="C2447" s="361"/>
      <c r="D2447" s="296"/>
      <c r="E2447" s="296"/>
      <c r="F2447" s="294" t="s">
        <v>257</v>
      </c>
      <c r="G2447" s="297" t="s">
        <v>258</v>
      </c>
      <c r="H2447" s="634"/>
      <c r="I2447" s="635"/>
      <c r="J2447" s="639">
        <f t="shared" si="81"/>
        <v>0</v>
      </c>
      <c r="K2447" s="575"/>
      <c r="L2447" s="575"/>
      <c r="M2447" s="575"/>
      <c r="N2447" s="575"/>
      <c r="O2447" s="575"/>
      <c r="P2447" s="575"/>
      <c r="Q2447" s="575"/>
      <c r="R2447" s="575"/>
      <c r="S2447" s="575"/>
      <c r="T2447" s="575"/>
      <c r="U2447" s="575"/>
      <c r="V2447" s="575"/>
      <c r="W2447" s="575"/>
      <c r="X2447" s="575"/>
      <c r="Y2447" s="575"/>
    </row>
    <row r="2448" spans="1:25" s="88" customFormat="1" ht="15.75" hidden="1" thickBot="1">
      <c r="A2448" s="306"/>
      <c r="B2448" s="301"/>
      <c r="C2448" s="361"/>
      <c r="D2448" s="296"/>
      <c r="E2448" s="296"/>
      <c r="F2448" s="294" t="s">
        <v>259</v>
      </c>
      <c r="G2448" s="297" t="s">
        <v>260</v>
      </c>
      <c r="H2448" s="634"/>
      <c r="I2448" s="635"/>
      <c r="J2448" s="639">
        <f t="shared" si="81"/>
        <v>0</v>
      </c>
      <c r="K2448" s="575"/>
      <c r="L2448" s="575"/>
      <c r="M2448" s="575"/>
      <c r="N2448" s="575"/>
      <c r="O2448" s="575"/>
      <c r="P2448" s="575"/>
      <c r="Q2448" s="575"/>
      <c r="R2448" s="575"/>
      <c r="S2448" s="575"/>
      <c r="T2448" s="575"/>
      <c r="U2448" s="575"/>
      <c r="V2448" s="575"/>
      <c r="W2448" s="575"/>
      <c r="X2448" s="575"/>
      <c r="Y2448" s="575"/>
    </row>
    <row r="2449" spans="1:25" s="88" customFormat="1" ht="15.75" hidden="1" thickBot="1">
      <c r="A2449" s="306"/>
      <c r="B2449" s="301"/>
      <c r="C2449" s="361"/>
      <c r="D2449" s="296"/>
      <c r="E2449" s="296"/>
      <c r="F2449" s="294" t="s">
        <v>261</v>
      </c>
      <c r="G2449" s="297" t="s">
        <v>262</v>
      </c>
      <c r="H2449" s="638"/>
      <c r="I2449" s="639"/>
      <c r="J2449" s="639">
        <f t="shared" si="81"/>
        <v>0</v>
      </c>
      <c r="K2449" s="575"/>
      <c r="L2449" s="575"/>
      <c r="M2449" s="575"/>
      <c r="N2449" s="575"/>
      <c r="O2449" s="575"/>
      <c r="P2449" s="575"/>
      <c r="Q2449" s="575"/>
      <c r="R2449" s="575"/>
      <c r="S2449" s="575"/>
      <c r="T2449" s="575"/>
      <c r="U2449" s="575"/>
      <c r="V2449" s="575"/>
      <c r="W2449" s="575"/>
      <c r="X2449" s="575"/>
      <c r="Y2449" s="575"/>
    </row>
    <row r="2450" spans="1:25" s="88" customFormat="1" ht="15.75" thickBot="1">
      <c r="A2450" s="306"/>
      <c r="B2450" s="301"/>
      <c r="C2450" s="361"/>
      <c r="D2450" s="296"/>
      <c r="E2450" s="296"/>
      <c r="F2450" s="263"/>
      <c r="G2450" s="274" t="s">
        <v>4256</v>
      </c>
      <c r="H2450" s="640">
        <f>SUM(H2434:H2449)</f>
        <v>145660000</v>
      </c>
      <c r="I2450" s="641">
        <f>SUM(I2435:I2449)</f>
        <v>0</v>
      </c>
      <c r="J2450" s="641">
        <f>SUM(J2434:J2449)</f>
        <v>145660000</v>
      </c>
      <c r="K2450" s="575"/>
      <c r="L2450" s="575"/>
      <c r="M2450" s="575"/>
      <c r="N2450" s="575"/>
      <c r="O2450" s="575"/>
      <c r="P2450" s="575"/>
      <c r="Q2450" s="575"/>
      <c r="R2450" s="575"/>
      <c r="S2450" s="575"/>
      <c r="T2450" s="575"/>
      <c r="U2450" s="575"/>
      <c r="V2450" s="575"/>
      <c r="W2450" s="575"/>
      <c r="X2450" s="575"/>
      <c r="Y2450" s="575"/>
    </row>
    <row r="2451" spans="1:25" s="88" customFormat="1" hidden="1">
      <c r="A2451" s="306"/>
      <c r="B2451" s="301"/>
      <c r="C2451" s="361"/>
      <c r="D2451" s="296"/>
      <c r="E2451" s="296"/>
      <c r="F2451" s="302"/>
      <c r="G2451" s="339"/>
      <c r="H2451" s="667"/>
      <c r="I2451" s="650"/>
      <c r="J2451" s="668"/>
      <c r="K2451" s="575"/>
      <c r="L2451" s="575"/>
      <c r="M2451" s="575"/>
      <c r="N2451" s="313"/>
      <c r="O2451" s="575"/>
      <c r="P2451" s="575"/>
      <c r="Q2451" s="575"/>
      <c r="R2451" s="575"/>
      <c r="S2451" s="575"/>
      <c r="T2451" s="575"/>
      <c r="U2451" s="575"/>
      <c r="V2451" s="575"/>
      <c r="W2451" s="575"/>
      <c r="X2451" s="575"/>
      <c r="Y2451" s="575"/>
    </row>
    <row r="2452" spans="1:25" s="88" customFormat="1" ht="6" customHeight="1">
      <c r="A2452" s="306"/>
      <c r="B2452" s="301"/>
      <c r="C2452" s="361"/>
      <c r="D2452" s="296"/>
      <c r="E2452" s="296"/>
      <c r="F2452" s="302"/>
      <c r="G2452" s="339"/>
      <c r="H2452" s="667"/>
      <c r="I2452" s="650"/>
      <c r="J2452" s="668"/>
      <c r="K2452" s="575"/>
      <c r="L2452" s="575"/>
      <c r="M2452" s="575"/>
      <c r="N2452" s="575"/>
      <c r="O2452" s="575"/>
      <c r="P2452" s="575"/>
      <c r="Q2452" s="575"/>
      <c r="R2452" s="575"/>
      <c r="S2452" s="575"/>
      <c r="T2452" s="575"/>
      <c r="U2452" s="575"/>
      <c r="V2452" s="575"/>
      <c r="W2452" s="575"/>
      <c r="X2452" s="575"/>
      <c r="Y2452" s="575"/>
    </row>
    <row r="2453" spans="1:25" s="88" customFormat="1">
      <c r="A2453" s="306"/>
      <c r="B2453" s="301"/>
      <c r="C2453" s="310" t="s">
        <v>3588</v>
      </c>
      <c r="D2453" s="310"/>
      <c r="E2453" s="293"/>
      <c r="F2453" s="293"/>
      <c r="G2453" s="351" t="s">
        <v>4257</v>
      </c>
      <c r="H2453" s="651"/>
      <c r="I2453" s="652"/>
      <c r="J2453" s="652"/>
      <c r="K2453" s="575"/>
      <c r="L2453" s="575"/>
      <c r="M2453" s="575"/>
      <c r="N2453" s="575"/>
      <c r="O2453" s="575"/>
      <c r="P2453" s="575"/>
      <c r="Q2453" s="575"/>
      <c r="R2453" s="575"/>
      <c r="S2453" s="575"/>
      <c r="T2453" s="575"/>
      <c r="U2453" s="575"/>
      <c r="V2453" s="575"/>
      <c r="W2453" s="575"/>
      <c r="X2453" s="575"/>
      <c r="Y2453" s="575"/>
    </row>
    <row r="2454" spans="1:25">
      <c r="C2454" s="273" t="s">
        <v>4116</v>
      </c>
      <c r="D2454" s="264"/>
      <c r="G2454" s="307" t="s">
        <v>4117</v>
      </c>
    </row>
    <row r="2455" spans="1:25" s="88" customFormat="1" ht="12.75" customHeight="1">
      <c r="A2455" s="306"/>
      <c r="B2455" s="301"/>
      <c r="C2455" s="310"/>
      <c r="D2455" s="379" t="s">
        <v>3892</v>
      </c>
      <c r="E2455" s="374"/>
      <c r="F2455" s="374"/>
      <c r="G2455" s="375" t="s">
        <v>4295</v>
      </c>
      <c r="H2455" s="651"/>
      <c r="I2455" s="652"/>
      <c r="J2455" s="652"/>
      <c r="K2455" s="575"/>
      <c r="L2455" s="575"/>
      <c r="M2455" s="575"/>
      <c r="N2455" s="575"/>
      <c r="O2455" s="575"/>
      <c r="P2455" s="575"/>
      <c r="Q2455" s="575"/>
      <c r="R2455" s="575"/>
      <c r="S2455" s="575"/>
      <c r="T2455" s="575"/>
      <c r="U2455" s="575"/>
      <c r="V2455" s="575"/>
      <c r="W2455" s="575"/>
      <c r="X2455" s="575"/>
      <c r="Y2455" s="575"/>
    </row>
    <row r="2456" spans="1:25" hidden="1">
      <c r="F2456" s="308">
        <v>411</v>
      </c>
      <c r="G2456" s="340" t="s">
        <v>4173</v>
      </c>
      <c r="J2456" s="635">
        <f>SUM(H2456:I2456)</f>
        <v>0</v>
      </c>
    </row>
    <row r="2457" spans="1:25" hidden="1">
      <c r="F2457" s="308">
        <v>412</v>
      </c>
      <c r="G2457" s="337" t="s">
        <v>3770</v>
      </c>
      <c r="J2457" s="635">
        <f t="shared" ref="J2457:J2515" si="82">SUM(H2457:I2457)</f>
        <v>0</v>
      </c>
    </row>
    <row r="2458" spans="1:25" hidden="1">
      <c r="F2458" s="308">
        <v>413</v>
      </c>
      <c r="G2458" s="340" t="s">
        <v>4174</v>
      </c>
      <c r="J2458" s="635">
        <f t="shared" si="82"/>
        <v>0</v>
      </c>
    </row>
    <row r="2459" spans="1:25" ht="14.25" hidden="1" customHeight="1">
      <c r="F2459" s="308">
        <v>414</v>
      </c>
      <c r="G2459" s="340" t="s">
        <v>3773</v>
      </c>
      <c r="J2459" s="635">
        <f t="shared" si="82"/>
        <v>0</v>
      </c>
    </row>
    <row r="2460" spans="1:25" hidden="1">
      <c r="F2460" s="308">
        <v>415</v>
      </c>
      <c r="G2460" s="340" t="s">
        <v>4183</v>
      </c>
      <c r="J2460" s="635">
        <f t="shared" si="82"/>
        <v>0</v>
      </c>
    </row>
    <row r="2461" spans="1:25" hidden="1">
      <c r="F2461" s="308">
        <v>416</v>
      </c>
      <c r="G2461" s="340" t="s">
        <v>4184</v>
      </c>
      <c r="J2461" s="635">
        <f t="shared" si="82"/>
        <v>0</v>
      </c>
    </row>
    <row r="2462" spans="1:25" hidden="1">
      <c r="F2462" s="308">
        <v>417</v>
      </c>
      <c r="G2462" s="340" t="s">
        <v>4185</v>
      </c>
      <c r="J2462" s="635">
        <f t="shared" si="82"/>
        <v>0</v>
      </c>
    </row>
    <row r="2463" spans="1:25" hidden="1">
      <c r="F2463" s="308">
        <v>418</v>
      </c>
      <c r="G2463" s="340" t="s">
        <v>3779</v>
      </c>
      <c r="J2463" s="635">
        <f t="shared" si="82"/>
        <v>0</v>
      </c>
    </row>
    <row r="2464" spans="1:25" hidden="1">
      <c r="F2464" s="308">
        <v>421</v>
      </c>
      <c r="G2464" s="340" t="s">
        <v>3783</v>
      </c>
      <c r="J2464" s="635">
        <f t="shared" si="82"/>
        <v>0</v>
      </c>
    </row>
    <row r="2465" spans="6:10" hidden="1">
      <c r="F2465" s="308">
        <v>422</v>
      </c>
      <c r="G2465" s="340" t="s">
        <v>3784</v>
      </c>
      <c r="J2465" s="635">
        <f t="shared" si="82"/>
        <v>0</v>
      </c>
    </row>
    <row r="2466" spans="6:10" hidden="1">
      <c r="F2466" s="308">
        <v>423</v>
      </c>
      <c r="G2466" s="340" t="s">
        <v>3785</v>
      </c>
      <c r="J2466" s="635">
        <f t="shared" si="82"/>
        <v>0</v>
      </c>
    </row>
    <row r="2467" spans="6:10" hidden="1">
      <c r="F2467" s="308">
        <v>424</v>
      </c>
      <c r="G2467" s="340" t="s">
        <v>3787</v>
      </c>
      <c r="J2467" s="635">
        <f t="shared" si="82"/>
        <v>0</v>
      </c>
    </row>
    <row r="2468" spans="6:10" hidden="1">
      <c r="F2468" s="308">
        <v>425</v>
      </c>
      <c r="G2468" s="340" t="s">
        <v>4186</v>
      </c>
      <c r="J2468" s="635">
        <f t="shared" si="82"/>
        <v>0</v>
      </c>
    </row>
    <row r="2469" spans="6:10" hidden="1">
      <c r="F2469" s="308">
        <v>426</v>
      </c>
      <c r="G2469" s="340" t="s">
        <v>3791</v>
      </c>
      <c r="J2469" s="635">
        <f t="shared" si="82"/>
        <v>0</v>
      </c>
    </row>
    <row r="2470" spans="6:10" hidden="1">
      <c r="F2470" s="308">
        <v>431</v>
      </c>
      <c r="G2470" s="340" t="s">
        <v>4187</v>
      </c>
      <c r="J2470" s="635">
        <f t="shared" si="82"/>
        <v>0</v>
      </c>
    </row>
    <row r="2471" spans="6:10" hidden="1">
      <c r="F2471" s="308">
        <v>432</v>
      </c>
      <c r="G2471" s="340" t="s">
        <v>4188</v>
      </c>
      <c r="J2471" s="635">
        <f t="shared" si="82"/>
        <v>0</v>
      </c>
    </row>
    <row r="2472" spans="6:10" hidden="1">
      <c r="F2472" s="308">
        <v>433</v>
      </c>
      <c r="G2472" s="340" t="s">
        <v>4189</v>
      </c>
      <c r="J2472" s="635">
        <f t="shared" si="82"/>
        <v>0</v>
      </c>
    </row>
    <row r="2473" spans="6:10" hidden="1">
      <c r="F2473" s="308">
        <v>434</v>
      </c>
      <c r="G2473" s="340" t="s">
        <v>4190</v>
      </c>
      <c r="J2473" s="635">
        <f t="shared" si="82"/>
        <v>0</v>
      </c>
    </row>
    <row r="2474" spans="6:10" hidden="1">
      <c r="F2474" s="308">
        <v>435</v>
      </c>
      <c r="G2474" s="340" t="s">
        <v>3798</v>
      </c>
      <c r="J2474" s="635">
        <f t="shared" si="82"/>
        <v>0</v>
      </c>
    </row>
    <row r="2475" spans="6:10" hidden="1">
      <c r="F2475" s="308">
        <v>441</v>
      </c>
      <c r="G2475" s="340" t="s">
        <v>4191</v>
      </c>
      <c r="J2475" s="635">
        <f t="shared" si="82"/>
        <v>0</v>
      </c>
    </row>
    <row r="2476" spans="6:10" hidden="1">
      <c r="F2476" s="308">
        <v>442</v>
      </c>
      <c r="G2476" s="340" t="s">
        <v>4192</v>
      </c>
      <c r="J2476" s="635">
        <f t="shared" si="82"/>
        <v>0</v>
      </c>
    </row>
    <row r="2477" spans="6:10" hidden="1">
      <c r="F2477" s="308">
        <v>443</v>
      </c>
      <c r="G2477" s="340" t="s">
        <v>3803</v>
      </c>
      <c r="J2477" s="635">
        <f t="shared" si="82"/>
        <v>0</v>
      </c>
    </row>
    <row r="2478" spans="6:10" hidden="1">
      <c r="F2478" s="308">
        <v>444</v>
      </c>
      <c r="G2478" s="340" t="s">
        <v>3804</v>
      </c>
      <c r="J2478" s="635">
        <f t="shared" si="82"/>
        <v>0</v>
      </c>
    </row>
    <row r="2479" spans="6:10" ht="30" hidden="1">
      <c r="F2479" s="308">
        <v>4511</v>
      </c>
      <c r="G2479" s="268" t="s">
        <v>1690</v>
      </c>
      <c r="J2479" s="635">
        <f t="shared" si="82"/>
        <v>0</v>
      </c>
    </row>
    <row r="2480" spans="6:10" ht="30" hidden="1">
      <c r="F2480" s="308">
        <v>4512</v>
      </c>
      <c r="G2480" s="268" t="s">
        <v>1699</v>
      </c>
      <c r="J2480" s="635">
        <f t="shared" si="82"/>
        <v>0</v>
      </c>
    </row>
    <row r="2481" spans="5:10" hidden="1">
      <c r="F2481" s="308">
        <v>452</v>
      </c>
      <c r="G2481" s="340" t="s">
        <v>4193</v>
      </c>
      <c r="J2481" s="635">
        <f t="shared" si="82"/>
        <v>0</v>
      </c>
    </row>
    <row r="2482" spans="5:10" hidden="1">
      <c r="F2482" s="308">
        <v>453</v>
      </c>
      <c r="G2482" s="340" t="s">
        <v>4194</v>
      </c>
      <c r="J2482" s="635">
        <f t="shared" si="82"/>
        <v>0</v>
      </c>
    </row>
    <row r="2483" spans="5:10" hidden="1">
      <c r="F2483" s="308">
        <v>454</v>
      </c>
      <c r="G2483" s="340" t="s">
        <v>3809</v>
      </c>
      <c r="J2483" s="635">
        <f t="shared" si="82"/>
        <v>0</v>
      </c>
    </row>
    <row r="2484" spans="5:10" hidden="1">
      <c r="F2484" s="308">
        <v>461</v>
      </c>
      <c r="G2484" s="340" t="s">
        <v>4175</v>
      </c>
      <c r="J2484" s="635">
        <f t="shared" si="82"/>
        <v>0</v>
      </c>
    </row>
    <row r="2485" spans="5:10" hidden="1">
      <c r="F2485" s="308">
        <v>462</v>
      </c>
      <c r="G2485" s="340" t="s">
        <v>3812</v>
      </c>
      <c r="J2485" s="635">
        <f t="shared" si="82"/>
        <v>0</v>
      </c>
    </row>
    <row r="2486" spans="5:10">
      <c r="E2486" s="263">
        <v>57</v>
      </c>
      <c r="F2486" s="308">
        <v>4631</v>
      </c>
      <c r="G2486" s="340" t="s">
        <v>3813</v>
      </c>
      <c r="H2486" s="634">
        <v>367000</v>
      </c>
      <c r="J2486" s="635">
        <f t="shared" si="82"/>
        <v>367000</v>
      </c>
    </row>
    <row r="2487" spans="5:10" hidden="1">
      <c r="F2487" s="308">
        <v>4632</v>
      </c>
      <c r="G2487" s="340" t="s">
        <v>3814</v>
      </c>
      <c r="J2487" s="635">
        <f t="shared" si="82"/>
        <v>0</v>
      </c>
    </row>
    <row r="2488" spans="5:10" hidden="1">
      <c r="F2488" s="308">
        <v>464</v>
      </c>
      <c r="G2488" s="340" t="s">
        <v>3815</v>
      </c>
      <c r="J2488" s="635">
        <f t="shared" si="82"/>
        <v>0</v>
      </c>
    </row>
    <row r="2489" spans="5:10" hidden="1">
      <c r="F2489" s="308">
        <v>465</v>
      </c>
      <c r="G2489" s="340" t="s">
        <v>4176</v>
      </c>
      <c r="J2489" s="635">
        <f t="shared" si="82"/>
        <v>0</v>
      </c>
    </row>
    <row r="2490" spans="5:10" ht="15.75" thickBot="1">
      <c r="E2490" s="263">
        <v>58</v>
      </c>
      <c r="F2490" s="308">
        <v>472</v>
      </c>
      <c r="G2490" s="340" t="s">
        <v>3819</v>
      </c>
      <c r="H2490" s="634">
        <v>2700000</v>
      </c>
      <c r="J2490" s="635">
        <f t="shared" si="82"/>
        <v>2700000</v>
      </c>
    </row>
    <row r="2491" spans="5:10" ht="15.75" hidden="1" thickBot="1">
      <c r="F2491" s="308">
        <v>481</v>
      </c>
      <c r="G2491" s="340" t="s">
        <v>4195</v>
      </c>
      <c r="J2491" s="635">
        <f t="shared" si="82"/>
        <v>0</v>
      </c>
    </row>
    <row r="2492" spans="5:10" ht="15.75" hidden="1" thickBot="1">
      <c r="F2492" s="308">
        <v>482</v>
      </c>
      <c r="G2492" s="340" t="s">
        <v>4196</v>
      </c>
      <c r="J2492" s="635">
        <f t="shared" si="82"/>
        <v>0</v>
      </c>
    </row>
    <row r="2493" spans="5:10" ht="15.75" hidden="1" thickBot="1">
      <c r="F2493" s="308">
        <v>483</v>
      </c>
      <c r="G2493" s="343" t="s">
        <v>4197</v>
      </c>
      <c r="J2493" s="635">
        <f t="shared" si="82"/>
        <v>0</v>
      </c>
    </row>
    <row r="2494" spans="5:10" ht="30.75" hidden="1" thickBot="1">
      <c r="F2494" s="308">
        <v>484</v>
      </c>
      <c r="G2494" s="340" t="s">
        <v>4198</v>
      </c>
      <c r="J2494" s="635">
        <f t="shared" si="82"/>
        <v>0</v>
      </c>
    </row>
    <row r="2495" spans="5:10" ht="30.75" hidden="1" thickBot="1">
      <c r="F2495" s="308">
        <v>485</v>
      </c>
      <c r="G2495" s="340" t="s">
        <v>4199</v>
      </c>
      <c r="J2495" s="635">
        <f t="shared" si="82"/>
        <v>0</v>
      </c>
    </row>
    <row r="2496" spans="5:10" ht="30.75" hidden="1" thickBot="1">
      <c r="F2496" s="308">
        <v>489</v>
      </c>
      <c r="G2496" s="340" t="s">
        <v>3827</v>
      </c>
      <c r="J2496" s="635">
        <f t="shared" si="82"/>
        <v>0</v>
      </c>
    </row>
    <row r="2497" spans="6:10" ht="15.75" hidden="1" thickBot="1">
      <c r="F2497" s="308">
        <v>494</v>
      </c>
      <c r="G2497" s="340" t="s">
        <v>4177</v>
      </c>
      <c r="J2497" s="635">
        <f t="shared" si="82"/>
        <v>0</v>
      </c>
    </row>
    <row r="2498" spans="6:10" ht="30.75" hidden="1" thickBot="1">
      <c r="F2498" s="308">
        <v>495</v>
      </c>
      <c r="G2498" s="340" t="s">
        <v>4178</v>
      </c>
      <c r="J2498" s="635">
        <f t="shared" si="82"/>
        <v>0</v>
      </c>
    </row>
    <row r="2499" spans="6:10" ht="30.75" hidden="1" thickBot="1">
      <c r="F2499" s="308">
        <v>496</v>
      </c>
      <c r="G2499" s="340" t="s">
        <v>4179</v>
      </c>
      <c r="J2499" s="635">
        <f t="shared" si="82"/>
        <v>0</v>
      </c>
    </row>
    <row r="2500" spans="6:10" ht="15.75" hidden="1" thickBot="1">
      <c r="F2500" s="308">
        <v>499</v>
      </c>
      <c r="G2500" s="340" t="s">
        <v>4180</v>
      </c>
      <c r="J2500" s="635">
        <f t="shared" si="82"/>
        <v>0</v>
      </c>
    </row>
    <row r="2501" spans="6:10" ht="15.75" hidden="1" thickBot="1">
      <c r="F2501" s="308">
        <v>511</v>
      </c>
      <c r="G2501" s="343" t="s">
        <v>4200</v>
      </c>
      <c r="J2501" s="635">
        <f t="shared" si="82"/>
        <v>0</v>
      </c>
    </row>
    <row r="2502" spans="6:10" ht="15.75" hidden="1" thickBot="1">
      <c r="F2502" s="308">
        <v>512</v>
      </c>
      <c r="G2502" s="343" t="s">
        <v>4201</v>
      </c>
      <c r="J2502" s="635">
        <f t="shared" si="82"/>
        <v>0</v>
      </c>
    </row>
    <row r="2503" spans="6:10" ht="15.75" hidden="1" thickBot="1">
      <c r="F2503" s="308">
        <v>513</v>
      </c>
      <c r="G2503" s="343" t="s">
        <v>4202</v>
      </c>
      <c r="J2503" s="635">
        <f t="shared" si="82"/>
        <v>0</v>
      </c>
    </row>
    <row r="2504" spans="6:10" ht="15.75" hidden="1" thickBot="1">
      <c r="F2504" s="308">
        <v>514</v>
      </c>
      <c r="G2504" s="340" t="s">
        <v>4203</v>
      </c>
      <c r="J2504" s="635">
        <f t="shared" si="82"/>
        <v>0</v>
      </c>
    </row>
    <row r="2505" spans="6:10" ht="15.75" hidden="1" thickBot="1">
      <c r="F2505" s="308">
        <v>515</v>
      </c>
      <c r="G2505" s="340" t="s">
        <v>3838</v>
      </c>
      <c r="J2505" s="635">
        <f t="shared" si="82"/>
        <v>0</v>
      </c>
    </row>
    <row r="2506" spans="6:10" ht="15.75" hidden="1" thickBot="1">
      <c r="F2506" s="308">
        <v>521</v>
      </c>
      <c r="G2506" s="340" t="s">
        <v>4204</v>
      </c>
      <c r="J2506" s="635">
        <f t="shared" si="82"/>
        <v>0</v>
      </c>
    </row>
    <row r="2507" spans="6:10" ht="15.75" hidden="1" thickBot="1">
      <c r="F2507" s="308">
        <v>522</v>
      </c>
      <c r="G2507" s="340" t="s">
        <v>4205</v>
      </c>
      <c r="J2507" s="635">
        <f t="shared" si="82"/>
        <v>0</v>
      </c>
    </row>
    <row r="2508" spans="6:10" ht="15.75" hidden="1" thickBot="1">
      <c r="F2508" s="308">
        <v>523</v>
      </c>
      <c r="G2508" s="340" t="s">
        <v>3843</v>
      </c>
      <c r="J2508" s="635">
        <f t="shared" si="82"/>
        <v>0</v>
      </c>
    </row>
    <row r="2509" spans="6:10" ht="15.75" hidden="1" thickBot="1">
      <c r="F2509" s="308">
        <v>531</v>
      </c>
      <c r="G2509" s="337" t="s">
        <v>4181</v>
      </c>
      <c r="J2509" s="635">
        <f t="shared" si="82"/>
        <v>0</v>
      </c>
    </row>
    <row r="2510" spans="6:10" ht="15.75" hidden="1" thickBot="1">
      <c r="F2510" s="308">
        <v>541</v>
      </c>
      <c r="G2510" s="340" t="s">
        <v>4206</v>
      </c>
      <c r="J2510" s="635">
        <f t="shared" si="82"/>
        <v>0</v>
      </c>
    </row>
    <row r="2511" spans="6:10" ht="15.75" hidden="1" thickBot="1">
      <c r="F2511" s="308">
        <v>542</v>
      </c>
      <c r="G2511" s="340" t="s">
        <v>4207</v>
      </c>
      <c r="J2511" s="635">
        <f t="shared" si="82"/>
        <v>0</v>
      </c>
    </row>
    <row r="2512" spans="6:10" ht="15.75" hidden="1" thickBot="1">
      <c r="F2512" s="308">
        <v>543</v>
      </c>
      <c r="G2512" s="340" t="s">
        <v>3848</v>
      </c>
      <c r="J2512" s="635">
        <f t="shared" si="82"/>
        <v>0</v>
      </c>
    </row>
    <row r="2513" spans="5:10" ht="30.75" hidden="1" thickBot="1">
      <c r="F2513" s="308">
        <v>551</v>
      </c>
      <c r="G2513" s="340" t="s">
        <v>4182</v>
      </c>
      <c r="J2513" s="635">
        <f t="shared" si="82"/>
        <v>0</v>
      </c>
    </row>
    <row r="2514" spans="5:10" ht="15.75" hidden="1" thickBot="1">
      <c r="F2514" s="309">
        <v>611</v>
      </c>
      <c r="G2514" s="344" t="s">
        <v>3854</v>
      </c>
      <c r="J2514" s="635">
        <f t="shared" si="82"/>
        <v>0</v>
      </c>
    </row>
    <row r="2515" spans="5:10" ht="15.75" hidden="1" thickBot="1">
      <c r="F2515" s="309">
        <v>620</v>
      </c>
      <c r="G2515" s="344" t="s">
        <v>88</v>
      </c>
      <c r="J2515" s="635">
        <f t="shared" si="82"/>
        <v>0</v>
      </c>
    </row>
    <row r="2516" spans="5:10">
      <c r="E2516" s="338"/>
      <c r="F2516" s="346"/>
      <c r="G2516" s="371" t="s">
        <v>4370</v>
      </c>
      <c r="H2516" s="636"/>
      <c r="I2516" s="662"/>
      <c r="J2516" s="637"/>
    </row>
    <row r="2517" spans="5:10" ht="15.75" thickBot="1">
      <c r="E2517" s="267"/>
      <c r="F2517" s="294" t="s">
        <v>234</v>
      </c>
      <c r="G2517" s="297" t="s">
        <v>235</v>
      </c>
      <c r="H2517" s="638">
        <f>SUM(H2456:H2515)</f>
        <v>3067000</v>
      </c>
      <c r="I2517" s="639"/>
      <c r="J2517" s="639">
        <f>SUM(H2517:I2517)</f>
        <v>3067000</v>
      </c>
    </row>
    <row r="2518" spans="5:10" ht="15.75" hidden="1" thickBot="1">
      <c r="F2518" s="294" t="s">
        <v>236</v>
      </c>
      <c r="G2518" s="297" t="s">
        <v>237</v>
      </c>
      <c r="J2518" s="639">
        <f t="shared" ref="J2518:J2532" si="83">SUM(H2518:I2518)</f>
        <v>0</v>
      </c>
    </row>
    <row r="2519" spans="5:10" ht="15.75" hidden="1" thickBot="1">
      <c r="F2519" s="294" t="s">
        <v>238</v>
      </c>
      <c r="G2519" s="297" t="s">
        <v>239</v>
      </c>
      <c r="J2519" s="639">
        <f t="shared" si="83"/>
        <v>0</v>
      </c>
    </row>
    <row r="2520" spans="5:10" ht="15.75" hidden="1" thickBot="1">
      <c r="F2520" s="294" t="s">
        <v>240</v>
      </c>
      <c r="G2520" s="297" t="s">
        <v>241</v>
      </c>
      <c r="J2520" s="639">
        <f t="shared" si="83"/>
        <v>0</v>
      </c>
    </row>
    <row r="2521" spans="5:10" ht="15.75" hidden="1" thickBot="1">
      <c r="F2521" s="294" t="s">
        <v>242</v>
      </c>
      <c r="G2521" s="297" t="s">
        <v>243</v>
      </c>
      <c r="J2521" s="639">
        <f t="shared" si="83"/>
        <v>0</v>
      </c>
    </row>
    <row r="2522" spans="5:10" ht="15.75" hidden="1" thickBot="1">
      <c r="F2522" s="294" t="s">
        <v>244</v>
      </c>
      <c r="G2522" s="297" t="s">
        <v>245</v>
      </c>
      <c r="J2522" s="639">
        <f t="shared" si="83"/>
        <v>0</v>
      </c>
    </row>
    <row r="2523" spans="5:10" ht="15.75" hidden="1" thickBot="1">
      <c r="F2523" s="294" t="s">
        <v>246</v>
      </c>
      <c r="G2523" s="683" t="s">
        <v>5121</v>
      </c>
      <c r="J2523" s="639">
        <f t="shared" si="83"/>
        <v>0</v>
      </c>
    </row>
    <row r="2524" spans="5:10" ht="15.75" hidden="1" thickBot="1">
      <c r="F2524" s="294" t="s">
        <v>247</v>
      </c>
      <c r="G2524" s="683" t="s">
        <v>5120</v>
      </c>
      <c r="J2524" s="639">
        <f t="shared" si="83"/>
        <v>0</v>
      </c>
    </row>
    <row r="2525" spans="5:10" ht="15.75" hidden="1" thickBot="1">
      <c r="F2525" s="294" t="s">
        <v>248</v>
      </c>
      <c r="G2525" s="297" t="s">
        <v>57</v>
      </c>
      <c r="J2525" s="639">
        <f t="shared" si="83"/>
        <v>0</v>
      </c>
    </row>
    <row r="2526" spans="5:10" ht="15.75" hidden="1" thickBot="1">
      <c r="F2526" s="294" t="s">
        <v>249</v>
      </c>
      <c r="G2526" s="297" t="s">
        <v>250</v>
      </c>
      <c r="J2526" s="639">
        <f t="shared" si="83"/>
        <v>0</v>
      </c>
    </row>
    <row r="2527" spans="5:10" ht="15.75" hidden="1" thickBot="1">
      <c r="F2527" s="294" t="s">
        <v>251</v>
      </c>
      <c r="G2527" s="297" t="s">
        <v>252</v>
      </c>
      <c r="J2527" s="639">
        <f t="shared" si="83"/>
        <v>0</v>
      </c>
    </row>
    <row r="2528" spans="5:10" ht="15.75" hidden="1" thickBot="1">
      <c r="F2528" s="294" t="s">
        <v>253</v>
      </c>
      <c r="G2528" s="297" t="s">
        <v>254</v>
      </c>
      <c r="J2528" s="639">
        <f t="shared" si="83"/>
        <v>0</v>
      </c>
    </row>
    <row r="2529" spans="5:10" ht="15.75" hidden="1" thickBot="1">
      <c r="F2529" s="294" t="s">
        <v>255</v>
      </c>
      <c r="G2529" s="297" t="s">
        <v>256</v>
      </c>
      <c r="J2529" s="639">
        <f t="shared" si="83"/>
        <v>0</v>
      </c>
    </row>
    <row r="2530" spans="5:10" ht="15.75" hidden="1" thickBot="1">
      <c r="F2530" s="294" t="s">
        <v>257</v>
      </c>
      <c r="G2530" s="297" t="s">
        <v>258</v>
      </c>
      <c r="J2530" s="639">
        <f t="shared" si="83"/>
        <v>0</v>
      </c>
    </row>
    <row r="2531" spans="5:10" ht="15.75" hidden="1" thickBot="1">
      <c r="F2531" s="294" t="s">
        <v>259</v>
      </c>
      <c r="G2531" s="297" t="s">
        <v>260</v>
      </c>
      <c r="J2531" s="639">
        <f t="shared" si="83"/>
        <v>0</v>
      </c>
    </row>
    <row r="2532" spans="5:10" ht="15.75" hidden="1" thickBot="1">
      <c r="F2532" s="294" t="s">
        <v>261</v>
      </c>
      <c r="G2532" s="297" t="s">
        <v>262</v>
      </c>
      <c r="H2532" s="638"/>
      <c r="I2532" s="639"/>
      <c r="J2532" s="639">
        <f t="shared" si="83"/>
        <v>0</v>
      </c>
    </row>
    <row r="2533" spans="5:10" ht="15.75" thickBot="1">
      <c r="G2533" s="274" t="s">
        <v>4371</v>
      </c>
      <c r="H2533" s="640">
        <f>SUM(H2517:H2532)</f>
        <v>3067000</v>
      </c>
      <c r="I2533" s="641">
        <f>SUM(I2518:I2532)</f>
        <v>0</v>
      </c>
      <c r="J2533" s="641">
        <f>SUM(J2517:J2532)</f>
        <v>3067000</v>
      </c>
    </row>
    <row r="2534" spans="5:10" collapsed="1">
      <c r="E2534" s="305"/>
      <c r="F2534" s="309"/>
      <c r="G2534" s="276" t="s">
        <v>4260</v>
      </c>
      <c r="H2534" s="642"/>
      <c r="I2534" s="663"/>
      <c r="J2534" s="643"/>
    </row>
    <row r="2535" spans="5:10" ht="15.75" thickBot="1">
      <c r="E2535" s="267"/>
      <c r="F2535" s="294" t="s">
        <v>234</v>
      </c>
      <c r="G2535" s="297" t="s">
        <v>235</v>
      </c>
      <c r="H2535" s="638">
        <f>SUM(H2456:H2515)</f>
        <v>3067000</v>
      </c>
      <c r="I2535" s="639"/>
      <c r="J2535" s="639">
        <f>SUM(H2535:I2535)</f>
        <v>3067000</v>
      </c>
    </row>
    <row r="2536" spans="5:10" ht="15.75" hidden="1" thickBot="1">
      <c r="F2536" s="294" t="s">
        <v>236</v>
      </c>
      <c r="G2536" s="297" t="s">
        <v>237</v>
      </c>
      <c r="J2536" s="639">
        <f t="shared" ref="J2536:J2550" si="84">SUM(H2536:I2536)</f>
        <v>0</v>
      </c>
    </row>
    <row r="2537" spans="5:10" ht="15.75" hidden="1" thickBot="1">
      <c r="F2537" s="294" t="s">
        <v>238</v>
      </c>
      <c r="G2537" s="297" t="s">
        <v>239</v>
      </c>
      <c r="J2537" s="639">
        <f t="shared" si="84"/>
        <v>0</v>
      </c>
    </row>
    <row r="2538" spans="5:10" ht="15.75" hidden="1" thickBot="1">
      <c r="F2538" s="294" t="s">
        <v>240</v>
      </c>
      <c r="G2538" s="297" t="s">
        <v>241</v>
      </c>
      <c r="J2538" s="639">
        <f t="shared" si="84"/>
        <v>0</v>
      </c>
    </row>
    <row r="2539" spans="5:10" ht="15.75" hidden="1" thickBot="1">
      <c r="F2539" s="294" t="s">
        <v>242</v>
      </c>
      <c r="G2539" s="297" t="s">
        <v>243</v>
      </c>
      <c r="J2539" s="639">
        <f t="shared" si="84"/>
        <v>0</v>
      </c>
    </row>
    <row r="2540" spans="5:10" ht="15.75" hidden="1" thickBot="1">
      <c r="F2540" s="294" t="s">
        <v>244</v>
      </c>
      <c r="G2540" s="297" t="s">
        <v>245</v>
      </c>
      <c r="J2540" s="639">
        <f t="shared" si="84"/>
        <v>0</v>
      </c>
    </row>
    <row r="2541" spans="5:10" ht="15.75" hidden="1" thickBot="1">
      <c r="F2541" s="294" t="s">
        <v>246</v>
      </c>
      <c r="G2541" s="683" t="s">
        <v>5121</v>
      </c>
      <c r="J2541" s="639">
        <f t="shared" si="84"/>
        <v>0</v>
      </c>
    </row>
    <row r="2542" spans="5:10" ht="15.75" hidden="1" thickBot="1">
      <c r="F2542" s="294" t="s">
        <v>247</v>
      </c>
      <c r="G2542" s="683" t="s">
        <v>5120</v>
      </c>
      <c r="J2542" s="639">
        <f t="shared" si="84"/>
        <v>0</v>
      </c>
    </row>
    <row r="2543" spans="5:10" ht="15.75" hidden="1" thickBot="1">
      <c r="F2543" s="294" t="s">
        <v>248</v>
      </c>
      <c r="G2543" s="297" t="s">
        <v>57</v>
      </c>
      <c r="J2543" s="639">
        <f t="shared" si="84"/>
        <v>0</v>
      </c>
    </row>
    <row r="2544" spans="5:10" ht="15.75" hidden="1" thickBot="1">
      <c r="F2544" s="294" t="s">
        <v>249</v>
      </c>
      <c r="G2544" s="297" t="s">
        <v>250</v>
      </c>
      <c r="J2544" s="639">
        <f t="shared" si="84"/>
        <v>0</v>
      </c>
    </row>
    <row r="2545" spans="3:10" ht="15.75" hidden="1" thickBot="1">
      <c r="F2545" s="294" t="s">
        <v>251</v>
      </c>
      <c r="G2545" s="297" t="s">
        <v>252</v>
      </c>
      <c r="J2545" s="639">
        <f t="shared" si="84"/>
        <v>0</v>
      </c>
    </row>
    <row r="2546" spans="3:10" ht="15.75" hidden="1" thickBot="1">
      <c r="F2546" s="294" t="s">
        <v>253</v>
      </c>
      <c r="G2546" s="297" t="s">
        <v>254</v>
      </c>
      <c r="J2546" s="639">
        <f t="shared" si="84"/>
        <v>0</v>
      </c>
    </row>
    <row r="2547" spans="3:10" ht="15.75" hidden="1" thickBot="1">
      <c r="F2547" s="294" t="s">
        <v>255</v>
      </c>
      <c r="G2547" s="297" t="s">
        <v>256</v>
      </c>
      <c r="J2547" s="639">
        <f t="shared" si="84"/>
        <v>0</v>
      </c>
    </row>
    <row r="2548" spans="3:10" ht="15.75" hidden="1" thickBot="1">
      <c r="F2548" s="294" t="s">
        <v>257</v>
      </c>
      <c r="G2548" s="297" t="s">
        <v>258</v>
      </c>
      <c r="J2548" s="639">
        <f t="shared" si="84"/>
        <v>0</v>
      </c>
    </row>
    <row r="2549" spans="3:10" ht="15.75" hidden="1" thickBot="1">
      <c r="F2549" s="294" t="s">
        <v>259</v>
      </c>
      <c r="G2549" s="297" t="s">
        <v>260</v>
      </c>
      <c r="J2549" s="639">
        <f t="shared" si="84"/>
        <v>0</v>
      </c>
    </row>
    <row r="2550" spans="3:10" ht="15.75" hidden="1" thickBot="1">
      <c r="F2550" s="294" t="s">
        <v>261</v>
      </c>
      <c r="G2550" s="297" t="s">
        <v>262</v>
      </c>
      <c r="H2550" s="638"/>
      <c r="I2550" s="639"/>
      <c r="J2550" s="639">
        <f t="shared" si="84"/>
        <v>0</v>
      </c>
    </row>
    <row r="2551" spans="3:10" ht="15" customHeight="1" collapsed="1" thickBot="1">
      <c r="G2551" s="274" t="s">
        <v>5195</v>
      </c>
      <c r="H2551" s="640">
        <f>SUM(H2535:H2550)</f>
        <v>3067000</v>
      </c>
      <c r="I2551" s="641">
        <f>SUM(I2536:I2550)</f>
        <v>0</v>
      </c>
      <c r="J2551" s="641">
        <f>SUM(J2535:J2550)</f>
        <v>3067000</v>
      </c>
    </row>
    <row r="2552" spans="3:10" ht="4.5" customHeight="1">
      <c r="G2552" s="331"/>
      <c r="H2552" s="644"/>
      <c r="I2552" s="645"/>
      <c r="J2552" s="645"/>
    </row>
    <row r="2553" spans="3:10" ht="15" customHeight="1">
      <c r="C2553" s="273" t="s">
        <v>4116</v>
      </c>
      <c r="D2553" s="264"/>
      <c r="G2553" s="553" t="s">
        <v>4117</v>
      </c>
    </row>
    <row r="2554" spans="3:10" ht="15" customHeight="1">
      <c r="C2554" s="310"/>
      <c r="D2554" s="379" t="s">
        <v>3882</v>
      </c>
      <c r="E2554" s="374"/>
      <c r="F2554" s="374"/>
      <c r="G2554" s="359" t="s">
        <v>5191</v>
      </c>
      <c r="H2554" s="651"/>
      <c r="I2554" s="652"/>
      <c r="J2554" s="652"/>
    </row>
    <row r="2555" spans="3:10" ht="15" hidden="1" customHeight="1">
      <c r="F2555" s="569">
        <v>411</v>
      </c>
      <c r="G2555" s="562" t="s">
        <v>4173</v>
      </c>
      <c r="J2555" s="635">
        <f>SUM(H2555:I2555)</f>
        <v>0</v>
      </c>
    </row>
    <row r="2556" spans="3:10" ht="15" hidden="1" customHeight="1">
      <c r="F2556" s="569">
        <v>412</v>
      </c>
      <c r="G2556" s="558" t="s">
        <v>3770</v>
      </c>
      <c r="J2556" s="635">
        <f t="shared" ref="J2556:J2614" si="85">SUM(H2556:I2556)</f>
        <v>0</v>
      </c>
    </row>
    <row r="2557" spans="3:10" ht="15" hidden="1" customHeight="1">
      <c r="F2557" s="569">
        <v>413</v>
      </c>
      <c r="G2557" s="562" t="s">
        <v>4174</v>
      </c>
      <c r="J2557" s="635">
        <f t="shared" si="85"/>
        <v>0</v>
      </c>
    </row>
    <row r="2558" spans="3:10" ht="15" hidden="1" customHeight="1">
      <c r="F2558" s="569">
        <v>414</v>
      </c>
      <c r="G2558" s="562" t="s">
        <v>3773</v>
      </c>
      <c r="J2558" s="635">
        <f t="shared" si="85"/>
        <v>0</v>
      </c>
    </row>
    <row r="2559" spans="3:10" ht="15" hidden="1" customHeight="1">
      <c r="F2559" s="569">
        <v>415</v>
      </c>
      <c r="G2559" s="562" t="s">
        <v>4183</v>
      </c>
      <c r="J2559" s="635">
        <f t="shared" si="85"/>
        <v>0</v>
      </c>
    </row>
    <row r="2560" spans="3:10" ht="15" hidden="1" customHeight="1">
      <c r="F2560" s="569">
        <v>416</v>
      </c>
      <c r="G2560" s="562" t="s">
        <v>4184</v>
      </c>
      <c r="J2560" s="635">
        <f t="shared" si="85"/>
        <v>0</v>
      </c>
    </row>
    <row r="2561" spans="6:10" ht="15" hidden="1" customHeight="1">
      <c r="F2561" s="569">
        <v>417</v>
      </c>
      <c r="G2561" s="562" t="s">
        <v>4185</v>
      </c>
      <c r="J2561" s="635">
        <f t="shared" si="85"/>
        <v>0</v>
      </c>
    </row>
    <row r="2562" spans="6:10" ht="15" hidden="1" customHeight="1">
      <c r="F2562" s="569">
        <v>418</v>
      </c>
      <c r="G2562" s="562" t="s">
        <v>3779</v>
      </c>
      <c r="J2562" s="635">
        <f t="shared" si="85"/>
        <v>0</v>
      </c>
    </row>
    <row r="2563" spans="6:10" ht="15" hidden="1" customHeight="1">
      <c r="F2563" s="569">
        <v>421</v>
      </c>
      <c r="G2563" s="562" t="s">
        <v>3783</v>
      </c>
      <c r="J2563" s="635">
        <f t="shared" si="85"/>
        <v>0</v>
      </c>
    </row>
    <row r="2564" spans="6:10" ht="15" hidden="1" customHeight="1">
      <c r="F2564" s="569">
        <v>422</v>
      </c>
      <c r="G2564" s="562" t="s">
        <v>3784</v>
      </c>
      <c r="J2564" s="635">
        <f t="shared" si="85"/>
        <v>0</v>
      </c>
    </row>
    <row r="2565" spans="6:10" ht="15" hidden="1" customHeight="1">
      <c r="F2565" s="569">
        <v>423</v>
      </c>
      <c r="G2565" s="562" t="s">
        <v>3785</v>
      </c>
      <c r="J2565" s="635">
        <f t="shared" si="85"/>
        <v>0</v>
      </c>
    </row>
    <row r="2566" spans="6:10" ht="15" hidden="1" customHeight="1">
      <c r="F2566" s="569">
        <v>424</v>
      </c>
      <c r="G2566" s="562" t="s">
        <v>3787</v>
      </c>
      <c r="J2566" s="635">
        <f t="shared" si="85"/>
        <v>0</v>
      </c>
    </row>
    <row r="2567" spans="6:10" ht="15" hidden="1" customHeight="1">
      <c r="F2567" s="569">
        <v>425</v>
      </c>
      <c r="G2567" s="562" t="s">
        <v>4186</v>
      </c>
      <c r="J2567" s="635">
        <f t="shared" si="85"/>
        <v>0</v>
      </c>
    </row>
    <row r="2568" spans="6:10" ht="15" hidden="1" customHeight="1">
      <c r="F2568" s="569">
        <v>426</v>
      </c>
      <c r="G2568" s="562" t="s">
        <v>3791</v>
      </c>
      <c r="J2568" s="635">
        <f t="shared" si="85"/>
        <v>0</v>
      </c>
    </row>
    <row r="2569" spans="6:10" ht="15" hidden="1" customHeight="1">
      <c r="F2569" s="569">
        <v>431</v>
      </c>
      <c r="G2569" s="562" t="s">
        <v>4187</v>
      </c>
      <c r="J2569" s="635">
        <f t="shared" si="85"/>
        <v>0</v>
      </c>
    </row>
    <row r="2570" spans="6:10" ht="15" hidden="1" customHeight="1">
      <c r="F2570" s="569">
        <v>432</v>
      </c>
      <c r="G2570" s="562" t="s">
        <v>4188</v>
      </c>
      <c r="J2570" s="635">
        <f t="shared" si="85"/>
        <v>0</v>
      </c>
    </row>
    <row r="2571" spans="6:10" ht="15" hidden="1" customHeight="1">
      <c r="F2571" s="569">
        <v>433</v>
      </c>
      <c r="G2571" s="562" t="s">
        <v>4189</v>
      </c>
      <c r="J2571" s="635">
        <f t="shared" si="85"/>
        <v>0</v>
      </c>
    </row>
    <row r="2572" spans="6:10" ht="15" hidden="1" customHeight="1">
      <c r="F2572" s="569">
        <v>434</v>
      </c>
      <c r="G2572" s="562" t="s">
        <v>4190</v>
      </c>
      <c r="J2572" s="635">
        <f t="shared" si="85"/>
        <v>0</v>
      </c>
    </row>
    <row r="2573" spans="6:10" ht="15" hidden="1" customHeight="1">
      <c r="F2573" s="569">
        <v>435</v>
      </c>
      <c r="G2573" s="562" t="s">
        <v>3798</v>
      </c>
      <c r="J2573" s="635">
        <f t="shared" si="85"/>
        <v>0</v>
      </c>
    </row>
    <row r="2574" spans="6:10" ht="15" hidden="1" customHeight="1">
      <c r="F2574" s="569">
        <v>441</v>
      </c>
      <c r="G2574" s="562" t="s">
        <v>4191</v>
      </c>
      <c r="J2574" s="635">
        <f t="shared" si="85"/>
        <v>0</v>
      </c>
    </row>
    <row r="2575" spans="6:10" ht="15" hidden="1" customHeight="1">
      <c r="F2575" s="569">
        <v>442</v>
      </c>
      <c r="G2575" s="562" t="s">
        <v>4192</v>
      </c>
      <c r="J2575" s="635">
        <f t="shared" si="85"/>
        <v>0</v>
      </c>
    </row>
    <row r="2576" spans="6:10" ht="15" hidden="1" customHeight="1">
      <c r="F2576" s="569">
        <v>443</v>
      </c>
      <c r="G2576" s="562" t="s">
        <v>3803</v>
      </c>
      <c r="J2576" s="635">
        <f t="shared" si="85"/>
        <v>0</v>
      </c>
    </row>
    <row r="2577" spans="5:10" ht="15" hidden="1" customHeight="1">
      <c r="F2577" s="569">
        <v>444</v>
      </c>
      <c r="G2577" s="562" t="s">
        <v>3804</v>
      </c>
      <c r="J2577" s="635">
        <f t="shared" si="85"/>
        <v>0</v>
      </c>
    </row>
    <row r="2578" spans="5:10" ht="15" hidden="1" customHeight="1">
      <c r="F2578" s="569">
        <v>4511</v>
      </c>
      <c r="G2578" s="268" t="s">
        <v>1690</v>
      </c>
      <c r="J2578" s="635">
        <f t="shared" si="85"/>
        <v>0</v>
      </c>
    </row>
    <row r="2579" spans="5:10" ht="15" hidden="1" customHeight="1">
      <c r="F2579" s="569">
        <v>4512</v>
      </c>
      <c r="G2579" s="268" t="s">
        <v>1699</v>
      </c>
      <c r="J2579" s="635">
        <f t="shared" si="85"/>
        <v>0</v>
      </c>
    </row>
    <row r="2580" spans="5:10" ht="15" hidden="1" customHeight="1">
      <c r="F2580" s="569">
        <v>452</v>
      </c>
      <c r="G2580" s="562" t="s">
        <v>4193</v>
      </c>
      <c r="J2580" s="635">
        <f t="shared" si="85"/>
        <v>0</v>
      </c>
    </row>
    <row r="2581" spans="5:10" ht="15" hidden="1" customHeight="1">
      <c r="F2581" s="569">
        <v>453</v>
      </c>
      <c r="G2581" s="562" t="s">
        <v>4194</v>
      </c>
      <c r="J2581" s="635">
        <f t="shared" si="85"/>
        <v>0</v>
      </c>
    </row>
    <row r="2582" spans="5:10" ht="15" hidden="1" customHeight="1">
      <c r="F2582" s="569">
        <v>454</v>
      </c>
      <c r="G2582" s="562" t="s">
        <v>3809</v>
      </c>
      <c r="J2582" s="635">
        <f t="shared" si="85"/>
        <v>0</v>
      </c>
    </row>
    <row r="2583" spans="5:10" ht="15" hidden="1" customHeight="1">
      <c r="F2583" s="569">
        <v>461</v>
      </c>
      <c r="G2583" s="562" t="s">
        <v>4175</v>
      </c>
      <c r="J2583" s="635">
        <f t="shared" si="85"/>
        <v>0</v>
      </c>
    </row>
    <row r="2584" spans="5:10" ht="15" hidden="1" customHeight="1">
      <c r="F2584" s="569">
        <v>462</v>
      </c>
      <c r="G2584" s="562" t="s">
        <v>3812</v>
      </c>
      <c r="J2584" s="635">
        <f t="shared" si="85"/>
        <v>0</v>
      </c>
    </row>
    <row r="2585" spans="5:10" ht="15" hidden="1" customHeight="1">
      <c r="F2585" s="569">
        <v>4631</v>
      </c>
      <c r="G2585" s="562" t="s">
        <v>3813</v>
      </c>
      <c r="J2585" s="635">
        <f t="shared" si="85"/>
        <v>0</v>
      </c>
    </row>
    <row r="2586" spans="5:10" ht="15" hidden="1" customHeight="1">
      <c r="F2586" s="569">
        <v>4632</v>
      </c>
      <c r="G2586" s="562" t="s">
        <v>3814</v>
      </c>
      <c r="J2586" s="635">
        <f t="shared" si="85"/>
        <v>0</v>
      </c>
    </row>
    <row r="2587" spans="5:10" ht="15" hidden="1" customHeight="1">
      <c r="F2587" s="569">
        <v>464</v>
      </c>
      <c r="G2587" s="562" t="s">
        <v>3815</v>
      </c>
      <c r="J2587" s="635">
        <f t="shared" si="85"/>
        <v>0</v>
      </c>
    </row>
    <row r="2588" spans="5:10" ht="15" hidden="1" customHeight="1">
      <c r="F2588" s="569">
        <v>465</v>
      </c>
      <c r="G2588" s="562" t="s">
        <v>4176</v>
      </c>
      <c r="J2588" s="635">
        <f t="shared" si="85"/>
        <v>0</v>
      </c>
    </row>
    <row r="2589" spans="5:10" ht="15" customHeight="1" thickBot="1">
      <c r="E2589" s="263">
        <v>59</v>
      </c>
      <c r="F2589" s="569">
        <v>472</v>
      </c>
      <c r="G2589" s="562" t="s">
        <v>3819</v>
      </c>
      <c r="H2589" s="634">
        <v>350000</v>
      </c>
      <c r="J2589" s="635">
        <f t="shared" si="85"/>
        <v>350000</v>
      </c>
    </row>
    <row r="2590" spans="5:10" ht="15" hidden="1" customHeight="1">
      <c r="F2590" s="569">
        <v>481</v>
      </c>
      <c r="G2590" s="562" t="s">
        <v>4195</v>
      </c>
      <c r="J2590" s="635">
        <f t="shared" si="85"/>
        <v>0</v>
      </c>
    </row>
    <row r="2591" spans="5:10" ht="15" hidden="1" customHeight="1">
      <c r="F2591" s="569">
        <v>482</v>
      </c>
      <c r="G2591" s="562" t="s">
        <v>4196</v>
      </c>
      <c r="J2591" s="635">
        <f t="shared" si="85"/>
        <v>0</v>
      </c>
    </row>
    <row r="2592" spans="5:10" ht="15" hidden="1" customHeight="1">
      <c r="F2592" s="569">
        <v>483</v>
      </c>
      <c r="G2592" s="566" t="s">
        <v>4197</v>
      </c>
      <c r="J2592" s="635">
        <f t="shared" si="85"/>
        <v>0</v>
      </c>
    </row>
    <row r="2593" spans="6:10" ht="15" hidden="1" customHeight="1">
      <c r="F2593" s="569">
        <v>484</v>
      </c>
      <c r="G2593" s="562" t="s">
        <v>4198</v>
      </c>
      <c r="J2593" s="635">
        <f t="shared" si="85"/>
        <v>0</v>
      </c>
    </row>
    <row r="2594" spans="6:10" ht="15" hidden="1" customHeight="1">
      <c r="F2594" s="569">
        <v>485</v>
      </c>
      <c r="G2594" s="562" t="s">
        <v>4199</v>
      </c>
      <c r="J2594" s="635">
        <f t="shared" si="85"/>
        <v>0</v>
      </c>
    </row>
    <row r="2595" spans="6:10" ht="15" hidden="1" customHeight="1">
      <c r="F2595" s="569">
        <v>489</v>
      </c>
      <c r="G2595" s="562" t="s">
        <v>3827</v>
      </c>
      <c r="J2595" s="635">
        <f t="shared" si="85"/>
        <v>0</v>
      </c>
    </row>
    <row r="2596" spans="6:10" ht="15" hidden="1" customHeight="1">
      <c r="F2596" s="569">
        <v>494</v>
      </c>
      <c r="G2596" s="562" t="s">
        <v>4177</v>
      </c>
      <c r="J2596" s="635">
        <f t="shared" si="85"/>
        <v>0</v>
      </c>
    </row>
    <row r="2597" spans="6:10" ht="15" hidden="1" customHeight="1">
      <c r="F2597" s="569">
        <v>495</v>
      </c>
      <c r="G2597" s="562" t="s">
        <v>4178</v>
      </c>
      <c r="J2597" s="635">
        <f t="shared" si="85"/>
        <v>0</v>
      </c>
    </row>
    <row r="2598" spans="6:10" ht="15" hidden="1" customHeight="1">
      <c r="F2598" s="569">
        <v>496</v>
      </c>
      <c r="G2598" s="562" t="s">
        <v>4179</v>
      </c>
      <c r="J2598" s="635">
        <f t="shared" si="85"/>
        <v>0</v>
      </c>
    </row>
    <row r="2599" spans="6:10" ht="15" hidden="1" customHeight="1">
      <c r="F2599" s="569">
        <v>499</v>
      </c>
      <c r="G2599" s="562" t="s">
        <v>4180</v>
      </c>
      <c r="J2599" s="635">
        <f t="shared" si="85"/>
        <v>0</v>
      </c>
    </row>
    <row r="2600" spans="6:10" ht="16.5" hidden="1" customHeight="1" thickBot="1">
      <c r="F2600" s="569">
        <v>511</v>
      </c>
      <c r="G2600" s="566" t="s">
        <v>4200</v>
      </c>
      <c r="J2600" s="635">
        <f t="shared" si="85"/>
        <v>0</v>
      </c>
    </row>
    <row r="2601" spans="6:10" ht="15" hidden="1" customHeight="1">
      <c r="F2601" s="569">
        <v>512</v>
      </c>
      <c r="G2601" s="566" t="s">
        <v>4201</v>
      </c>
      <c r="J2601" s="635">
        <f t="shared" si="85"/>
        <v>0</v>
      </c>
    </row>
    <row r="2602" spans="6:10" ht="15" hidden="1" customHeight="1">
      <c r="F2602" s="569">
        <v>513</v>
      </c>
      <c r="G2602" s="566" t="s">
        <v>4202</v>
      </c>
      <c r="J2602" s="635">
        <f t="shared" si="85"/>
        <v>0</v>
      </c>
    </row>
    <row r="2603" spans="6:10" ht="15" hidden="1" customHeight="1">
      <c r="F2603" s="569">
        <v>514</v>
      </c>
      <c r="G2603" s="562" t="s">
        <v>4203</v>
      </c>
      <c r="J2603" s="635">
        <f t="shared" si="85"/>
        <v>0</v>
      </c>
    </row>
    <row r="2604" spans="6:10" ht="15" hidden="1" customHeight="1">
      <c r="F2604" s="569">
        <v>515</v>
      </c>
      <c r="G2604" s="562" t="s">
        <v>3838</v>
      </c>
      <c r="J2604" s="635">
        <f t="shared" si="85"/>
        <v>0</v>
      </c>
    </row>
    <row r="2605" spans="6:10" ht="15" hidden="1" customHeight="1">
      <c r="F2605" s="569">
        <v>521</v>
      </c>
      <c r="G2605" s="562" t="s">
        <v>4204</v>
      </c>
      <c r="J2605" s="635">
        <f t="shared" si="85"/>
        <v>0</v>
      </c>
    </row>
    <row r="2606" spans="6:10" ht="15" hidden="1" customHeight="1">
      <c r="F2606" s="569">
        <v>522</v>
      </c>
      <c r="G2606" s="562" t="s">
        <v>4205</v>
      </c>
      <c r="J2606" s="635">
        <f t="shared" si="85"/>
        <v>0</v>
      </c>
    </row>
    <row r="2607" spans="6:10" ht="15" hidden="1" customHeight="1">
      <c r="F2607" s="569">
        <v>523</v>
      </c>
      <c r="G2607" s="562" t="s">
        <v>3843</v>
      </c>
      <c r="J2607" s="635">
        <f t="shared" si="85"/>
        <v>0</v>
      </c>
    </row>
    <row r="2608" spans="6:10" ht="15" hidden="1" customHeight="1">
      <c r="F2608" s="569">
        <v>531</v>
      </c>
      <c r="G2608" s="558" t="s">
        <v>4181</v>
      </c>
      <c r="J2608" s="635">
        <f t="shared" si="85"/>
        <v>0</v>
      </c>
    </row>
    <row r="2609" spans="5:10" ht="15" hidden="1" customHeight="1">
      <c r="F2609" s="569">
        <v>541</v>
      </c>
      <c r="G2609" s="562" t="s">
        <v>4206</v>
      </c>
      <c r="J2609" s="635">
        <f t="shared" si="85"/>
        <v>0</v>
      </c>
    </row>
    <row r="2610" spans="5:10" ht="15" hidden="1" customHeight="1">
      <c r="F2610" s="569">
        <v>542</v>
      </c>
      <c r="G2610" s="562" t="s">
        <v>4207</v>
      </c>
      <c r="J2610" s="635">
        <f t="shared" si="85"/>
        <v>0</v>
      </c>
    </row>
    <row r="2611" spans="5:10" ht="15" hidden="1" customHeight="1">
      <c r="F2611" s="569">
        <v>543</v>
      </c>
      <c r="G2611" s="562" t="s">
        <v>3848</v>
      </c>
      <c r="J2611" s="635">
        <f t="shared" si="85"/>
        <v>0</v>
      </c>
    </row>
    <row r="2612" spans="5:10" ht="15" hidden="1" customHeight="1">
      <c r="F2612" s="569">
        <v>551</v>
      </c>
      <c r="G2612" s="562" t="s">
        <v>4182</v>
      </c>
      <c r="J2612" s="635">
        <f t="shared" si="85"/>
        <v>0</v>
      </c>
    </row>
    <row r="2613" spans="5:10" ht="15" hidden="1" customHeight="1">
      <c r="F2613" s="570">
        <v>611</v>
      </c>
      <c r="G2613" s="568" t="s">
        <v>3854</v>
      </c>
      <c r="J2613" s="635">
        <f t="shared" si="85"/>
        <v>0</v>
      </c>
    </row>
    <row r="2614" spans="5:10" ht="15" hidden="1" customHeight="1" thickBot="1">
      <c r="F2614" s="570">
        <v>620</v>
      </c>
      <c r="G2614" s="568" t="s">
        <v>88</v>
      </c>
      <c r="J2614" s="635">
        <f t="shared" si="85"/>
        <v>0</v>
      </c>
    </row>
    <row r="2615" spans="5:10" ht="15" customHeight="1">
      <c r="E2615" s="559"/>
      <c r="F2615" s="570"/>
      <c r="G2615" s="371" t="s">
        <v>5192</v>
      </c>
      <c r="H2615" s="636"/>
      <c r="I2615" s="662"/>
      <c r="J2615" s="637"/>
    </row>
    <row r="2616" spans="5:10" ht="15" customHeight="1" thickBot="1">
      <c r="E2616" s="267"/>
      <c r="F2616" s="682" t="s">
        <v>234</v>
      </c>
      <c r="G2616" s="683" t="s">
        <v>235</v>
      </c>
      <c r="H2616" s="638">
        <f>SUM(H2555:H2614)</f>
        <v>350000</v>
      </c>
      <c r="I2616" s="639"/>
      <c r="J2616" s="639">
        <f>SUM(H2616:I2616)</f>
        <v>350000</v>
      </c>
    </row>
    <row r="2617" spans="5:10" ht="15" hidden="1" customHeight="1">
      <c r="F2617" s="682" t="s">
        <v>236</v>
      </c>
      <c r="G2617" s="683" t="s">
        <v>237</v>
      </c>
      <c r="J2617" s="639">
        <f t="shared" ref="J2617:J2631" si="86">SUM(H2617:I2617)</f>
        <v>0</v>
      </c>
    </row>
    <row r="2618" spans="5:10" ht="15" hidden="1" customHeight="1">
      <c r="F2618" s="682" t="s">
        <v>238</v>
      </c>
      <c r="G2618" s="683" t="s">
        <v>239</v>
      </c>
      <c r="J2618" s="639">
        <f t="shared" si="86"/>
        <v>0</v>
      </c>
    </row>
    <row r="2619" spans="5:10" ht="15" hidden="1" customHeight="1">
      <c r="F2619" s="682" t="s">
        <v>240</v>
      </c>
      <c r="G2619" s="683" t="s">
        <v>241</v>
      </c>
      <c r="J2619" s="639">
        <f t="shared" si="86"/>
        <v>0</v>
      </c>
    </row>
    <row r="2620" spans="5:10" ht="15" hidden="1" customHeight="1">
      <c r="F2620" s="682" t="s">
        <v>242</v>
      </c>
      <c r="G2620" s="683" t="s">
        <v>243</v>
      </c>
      <c r="J2620" s="639">
        <f t="shared" si="86"/>
        <v>0</v>
      </c>
    </row>
    <row r="2621" spans="5:10" ht="15" hidden="1" customHeight="1">
      <c r="F2621" s="682" t="s">
        <v>244</v>
      </c>
      <c r="G2621" s="683" t="s">
        <v>245</v>
      </c>
      <c r="J2621" s="639">
        <f t="shared" si="86"/>
        <v>0</v>
      </c>
    </row>
    <row r="2622" spans="5:10" ht="15" hidden="1" customHeight="1">
      <c r="F2622" s="682" t="s">
        <v>246</v>
      </c>
      <c r="G2622" s="683" t="s">
        <v>5121</v>
      </c>
      <c r="J2622" s="639">
        <f t="shared" si="86"/>
        <v>0</v>
      </c>
    </row>
    <row r="2623" spans="5:10" ht="15" hidden="1" customHeight="1">
      <c r="F2623" s="682" t="s">
        <v>247</v>
      </c>
      <c r="G2623" s="683" t="s">
        <v>5120</v>
      </c>
      <c r="J2623" s="639">
        <f t="shared" si="86"/>
        <v>0</v>
      </c>
    </row>
    <row r="2624" spans="5:10" ht="15" hidden="1" customHeight="1">
      <c r="F2624" s="682" t="s">
        <v>248</v>
      </c>
      <c r="G2624" s="683" t="s">
        <v>57</v>
      </c>
      <c r="J2624" s="639">
        <f t="shared" si="86"/>
        <v>0</v>
      </c>
    </row>
    <row r="2625" spans="5:10" ht="15" hidden="1" customHeight="1">
      <c r="F2625" s="682" t="s">
        <v>249</v>
      </c>
      <c r="G2625" s="683" t="s">
        <v>250</v>
      </c>
      <c r="J2625" s="639">
        <f t="shared" si="86"/>
        <v>0</v>
      </c>
    </row>
    <row r="2626" spans="5:10" ht="15" hidden="1" customHeight="1">
      <c r="F2626" s="682" t="s">
        <v>251</v>
      </c>
      <c r="G2626" s="683" t="s">
        <v>252</v>
      </c>
      <c r="J2626" s="639">
        <f t="shared" si="86"/>
        <v>0</v>
      </c>
    </row>
    <row r="2627" spans="5:10" ht="15" hidden="1" customHeight="1">
      <c r="F2627" s="682" t="s">
        <v>253</v>
      </c>
      <c r="G2627" s="683" t="s">
        <v>254</v>
      </c>
      <c r="J2627" s="639">
        <f t="shared" si="86"/>
        <v>0</v>
      </c>
    </row>
    <row r="2628" spans="5:10" ht="15" hidden="1" customHeight="1">
      <c r="F2628" s="682" t="s">
        <v>255</v>
      </c>
      <c r="G2628" s="683" t="s">
        <v>256</v>
      </c>
      <c r="J2628" s="639">
        <f t="shared" si="86"/>
        <v>0</v>
      </c>
    </row>
    <row r="2629" spans="5:10" ht="15" hidden="1" customHeight="1">
      <c r="F2629" s="682" t="s">
        <v>257</v>
      </c>
      <c r="G2629" s="683" t="s">
        <v>258</v>
      </c>
      <c r="J2629" s="639">
        <f t="shared" si="86"/>
        <v>0</v>
      </c>
    </row>
    <row r="2630" spans="5:10" ht="15" hidden="1" customHeight="1">
      <c r="F2630" s="682" t="s">
        <v>259</v>
      </c>
      <c r="G2630" s="683" t="s">
        <v>260</v>
      </c>
      <c r="J2630" s="639">
        <f t="shared" si="86"/>
        <v>0</v>
      </c>
    </row>
    <row r="2631" spans="5:10" ht="15" hidden="1" customHeight="1" thickBot="1">
      <c r="F2631" s="682" t="s">
        <v>261</v>
      </c>
      <c r="G2631" s="683" t="s">
        <v>262</v>
      </c>
      <c r="H2631" s="638"/>
      <c r="I2631" s="639"/>
      <c r="J2631" s="639">
        <f t="shared" si="86"/>
        <v>0</v>
      </c>
    </row>
    <row r="2632" spans="5:10" ht="15" customHeight="1" thickBot="1">
      <c r="G2632" s="274" t="s">
        <v>5193</v>
      </c>
      <c r="H2632" s="640">
        <f>SUM(H2616:H2631)</f>
        <v>350000</v>
      </c>
      <c r="I2632" s="641">
        <f>SUM(I2617:I2631)</f>
        <v>0</v>
      </c>
      <c r="J2632" s="641">
        <f>SUM(J2616:J2631)</f>
        <v>350000</v>
      </c>
    </row>
    <row r="2633" spans="5:10" ht="15" customHeight="1">
      <c r="E2633" s="559"/>
      <c r="F2633" s="570"/>
      <c r="G2633" s="276" t="s">
        <v>4260</v>
      </c>
      <c r="H2633" s="642"/>
      <c r="I2633" s="663"/>
      <c r="J2633" s="643"/>
    </row>
    <row r="2634" spans="5:10" ht="15" customHeight="1" thickBot="1">
      <c r="E2634" s="267"/>
      <c r="F2634" s="682" t="s">
        <v>234</v>
      </c>
      <c r="G2634" s="683" t="s">
        <v>235</v>
      </c>
      <c r="H2634" s="638">
        <f>SUM(H2555:H2614)</f>
        <v>350000</v>
      </c>
      <c r="I2634" s="639"/>
      <c r="J2634" s="639">
        <f>SUM(H2634:I2634)</f>
        <v>350000</v>
      </c>
    </row>
    <row r="2635" spans="5:10" ht="15" hidden="1" customHeight="1">
      <c r="F2635" s="682" t="s">
        <v>236</v>
      </c>
      <c r="G2635" s="683" t="s">
        <v>237</v>
      </c>
      <c r="J2635" s="639">
        <f t="shared" ref="J2635:J2649" si="87">SUM(H2635:I2635)</f>
        <v>0</v>
      </c>
    </row>
    <row r="2636" spans="5:10" ht="15" hidden="1" customHeight="1">
      <c r="F2636" s="682" t="s">
        <v>238</v>
      </c>
      <c r="G2636" s="683" t="s">
        <v>239</v>
      </c>
      <c r="J2636" s="639">
        <f t="shared" si="87"/>
        <v>0</v>
      </c>
    </row>
    <row r="2637" spans="5:10" ht="15" hidden="1" customHeight="1">
      <c r="F2637" s="682" t="s">
        <v>240</v>
      </c>
      <c r="G2637" s="683" t="s">
        <v>241</v>
      </c>
      <c r="J2637" s="639">
        <f t="shared" si="87"/>
        <v>0</v>
      </c>
    </row>
    <row r="2638" spans="5:10" ht="15" hidden="1" customHeight="1">
      <c r="F2638" s="682" t="s">
        <v>242</v>
      </c>
      <c r="G2638" s="683" t="s">
        <v>243</v>
      </c>
      <c r="J2638" s="639">
        <f t="shared" si="87"/>
        <v>0</v>
      </c>
    </row>
    <row r="2639" spans="5:10" ht="15" hidden="1" customHeight="1">
      <c r="F2639" s="682" t="s">
        <v>244</v>
      </c>
      <c r="G2639" s="683" t="s">
        <v>245</v>
      </c>
      <c r="J2639" s="639">
        <f t="shared" si="87"/>
        <v>0</v>
      </c>
    </row>
    <row r="2640" spans="5:10" ht="15" hidden="1" customHeight="1">
      <c r="F2640" s="682" t="s">
        <v>246</v>
      </c>
      <c r="G2640" s="683" t="s">
        <v>5121</v>
      </c>
      <c r="J2640" s="639">
        <f t="shared" si="87"/>
        <v>0</v>
      </c>
    </row>
    <row r="2641" spans="6:10" ht="15" hidden="1" customHeight="1">
      <c r="F2641" s="682" t="s">
        <v>247</v>
      </c>
      <c r="G2641" s="683" t="s">
        <v>5120</v>
      </c>
      <c r="J2641" s="639">
        <f t="shared" si="87"/>
        <v>0</v>
      </c>
    </row>
    <row r="2642" spans="6:10" ht="15" hidden="1" customHeight="1">
      <c r="F2642" s="682" t="s">
        <v>248</v>
      </c>
      <c r="G2642" s="683" t="s">
        <v>57</v>
      </c>
      <c r="J2642" s="639">
        <f t="shared" si="87"/>
        <v>0</v>
      </c>
    </row>
    <row r="2643" spans="6:10" ht="15" hidden="1" customHeight="1">
      <c r="F2643" s="682" t="s">
        <v>249</v>
      </c>
      <c r="G2643" s="683" t="s">
        <v>250</v>
      </c>
      <c r="J2643" s="639">
        <f t="shared" si="87"/>
        <v>0</v>
      </c>
    </row>
    <row r="2644" spans="6:10" ht="15" hidden="1" customHeight="1">
      <c r="F2644" s="682" t="s">
        <v>251</v>
      </c>
      <c r="G2644" s="683" t="s">
        <v>252</v>
      </c>
      <c r="J2644" s="639">
        <f t="shared" si="87"/>
        <v>0</v>
      </c>
    </row>
    <row r="2645" spans="6:10" ht="15" hidden="1" customHeight="1">
      <c r="F2645" s="682" t="s">
        <v>253</v>
      </c>
      <c r="G2645" s="683" t="s">
        <v>254</v>
      </c>
      <c r="J2645" s="639">
        <f t="shared" si="87"/>
        <v>0</v>
      </c>
    </row>
    <row r="2646" spans="6:10" ht="15" hidden="1" customHeight="1">
      <c r="F2646" s="682" t="s">
        <v>255</v>
      </c>
      <c r="G2646" s="683" t="s">
        <v>256</v>
      </c>
      <c r="J2646" s="639">
        <f t="shared" si="87"/>
        <v>0</v>
      </c>
    </row>
    <row r="2647" spans="6:10" ht="15" hidden="1" customHeight="1">
      <c r="F2647" s="682" t="s">
        <v>257</v>
      </c>
      <c r="G2647" s="683" t="s">
        <v>258</v>
      </c>
      <c r="J2647" s="639">
        <f t="shared" si="87"/>
        <v>0</v>
      </c>
    </row>
    <row r="2648" spans="6:10" ht="15" hidden="1" customHeight="1">
      <c r="F2648" s="682" t="s">
        <v>259</v>
      </c>
      <c r="G2648" s="683" t="s">
        <v>260</v>
      </c>
      <c r="J2648" s="639">
        <f t="shared" si="87"/>
        <v>0</v>
      </c>
    </row>
    <row r="2649" spans="6:10" ht="15" hidden="1" customHeight="1" thickBot="1">
      <c r="F2649" s="682" t="s">
        <v>261</v>
      </c>
      <c r="G2649" s="683" t="s">
        <v>262</v>
      </c>
      <c r="H2649" s="638"/>
      <c r="I2649" s="639"/>
      <c r="J2649" s="639">
        <f t="shared" si="87"/>
        <v>0</v>
      </c>
    </row>
    <row r="2650" spans="6:10" ht="15" customHeight="1" thickBot="1">
      <c r="G2650" s="274" t="s">
        <v>5195</v>
      </c>
      <c r="H2650" s="640">
        <f>SUM(H2634:H2649)</f>
        <v>350000</v>
      </c>
      <c r="I2650" s="641">
        <f>SUM(I2635:I2649)</f>
        <v>0</v>
      </c>
      <c r="J2650" s="641">
        <f>SUM(J2634:J2649)</f>
        <v>350000</v>
      </c>
    </row>
    <row r="2651" spans="6:10" ht="1.5" customHeight="1">
      <c r="G2651" s="331"/>
      <c r="H2651" s="644"/>
      <c r="I2651" s="645"/>
      <c r="J2651" s="645"/>
    </row>
    <row r="2652" spans="6:10" ht="15" hidden="1" customHeight="1">
      <c r="G2652" s="331"/>
      <c r="H2652" s="644"/>
      <c r="I2652" s="645"/>
      <c r="J2652" s="645"/>
    </row>
    <row r="2653" spans="6:10" ht="15" hidden="1" customHeight="1">
      <c r="G2653" s="331"/>
      <c r="H2653" s="644"/>
      <c r="I2653" s="645"/>
      <c r="J2653" s="645"/>
    </row>
    <row r="2654" spans="6:10" ht="15" hidden="1" customHeight="1">
      <c r="G2654" s="331"/>
      <c r="H2654" s="644"/>
      <c r="I2654" s="645"/>
      <c r="J2654" s="645"/>
    </row>
    <row r="2655" spans="6:10" ht="15" hidden="1" customHeight="1">
      <c r="G2655" s="331"/>
      <c r="H2655" s="644"/>
      <c r="I2655" s="645"/>
      <c r="J2655" s="645"/>
    </row>
    <row r="2656" spans="6:10" ht="15" hidden="1" customHeight="1">
      <c r="G2656" s="331"/>
      <c r="H2656" s="644"/>
      <c r="I2656" s="645"/>
      <c r="J2656" s="645"/>
    </row>
    <row r="2657" spans="1:25" ht="15" hidden="1" customHeight="1">
      <c r="G2657" s="331"/>
      <c r="H2657" s="644"/>
      <c r="I2657" s="645"/>
      <c r="J2657" s="645"/>
    </row>
    <row r="2658" spans="1:25" ht="15" hidden="1" customHeight="1">
      <c r="G2658" s="331"/>
      <c r="H2658" s="644"/>
      <c r="I2658" s="645"/>
      <c r="J2658" s="645"/>
    </row>
    <row r="2659" spans="1:25" ht="15" hidden="1" customHeight="1">
      <c r="G2659" s="331"/>
      <c r="H2659" s="644"/>
      <c r="I2659" s="645"/>
      <c r="J2659" s="645"/>
    </row>
    <row r="2660" spans="1:25" ht="15" hidden="1" customHeight="1">
      <c r="G2660" s="331"/>
      <c r="H2660" s="644"/>
      <c r="I2660" s="645"/>
      <c r="J2660" s="645"/>
    </row>
    <row r="2661" spans="1:25" ht="15" hidden="1" customHeight="1">
      <c r="G2661" s="331"/>
      <c r="H2661" s="644"/>
      <c r="I2661" s="645"/>
      <c r="J2661" s="645"/>
    </row>
    <row r="2662" spans="1:25" ht="15" hidden="1" customHeight="1">
      <c r="G2662" s="331"/>
      <c r="H2662" s="644"/>
      <c r="I2662" s="645"/>
      <c r="J2662" s="645"/>
    </row>
    <row r="2663" spans="1:25" s="88" customFormat="1" hidden="1">
      <c r="A2663" s="306"/>
      <c r="B2663" s="301"/>
      <c r="C2663" s="310"/>
      <c r="G2663" s="320"/>
      <c r="H2663" s="651"/>
      <c r="I2663" s="652"/>
      <c r="J2663" s="652"/>
      <c r="K2663" s="575"/>
      <c r="L2663" s="575"/>
      <c r="M2663" s="575"/>
      <c r="N2663" s="575"/>
      <c r="O2663" s="575"/>
      <c r="P2663" s="575"/>
      <c r="Q2663" s="575"/>
      <c r="R2663" s="575"/>
      <c r="S2663" s="575"/>
      <c r="T2663" s="575"/>
      <c r="U2663" s="575"/>
      <c r="V2663" s="575"/>
      <c r="W2663" s="575"/>
      <c r="X2663" s="575"/>
      <c r="Y2663" s="575"/>
    </row>
    <row r="2664" spans="1:25">
      <c r="C2664" s="273" t="s">
        <v>4118</v>
      </c>
      <c r="D2664" s="264"/>
      <c r="G2664" s="553" t="s">
        <v>4119</v>
      </c>
    </row>
    <row r="2665" spans="1:25" s="88" customFormat="1">
      <c r="A2665" s="306"/>
      <c r="B2665" s="301"/>
      <c r="C2665" s="361"/>
      <c r="D2665" s="381" t="s">
        <v>3882</v>
      </c>
      <c r="E2665" s="382"/>
      <c r="F2665" s="380"/>
      <c r="G2665" s="359" t="s">
        <v>5191</v>
      </c>
      <c r="H2665" s="667"/>
      <c r="I2665" s="650"/>
      <c r="J2665" s="668"/>
      <c r="K2665" s="575"/>
      <c r="L2665" s="575"/>
      <c r="M2665" s="575"/>
      <c r="N2665" s="575"/>
      <c r="O2665" s="575"/>
      <c r="P2665" s="575"/>
      <c r="Q2665" s="575"/>
      <c r="R2665" s="575"/>
      <c r="S2665" s="575"/>
      <c r="T2665" s="575"/>
      <c r="U2665" s="575"/>
      <c r="V2665" s="575"/>
      <c r="W2665" s="575"/>
      <c r="X2665" s="575"/>
      <c r="Y2665" s="575"/>
    </row>
    <row r="2666" spans="1:25" hidden="1">
      <c r="F2666" s="308">
        <v>411</v>
      </c>
      <c r="G2666" s="340" t="s">
        <v>4173</v>
      </c>
      <c r="J2666" s="635">
        <f>SUM(H2666:I2666)</f>
        <v>0</v>
      </c>
    </row>
    <row r="2667" spans="1:25" hidden="1">
      <c r="F2667" s="308">
        <v>412</v>
      </c>
      <c r="G2667" s="337" t="s">
        <v>3770</v>
      </c>
      <c r="J2667" s="635">
        <f t="shared" ref="J2667:J2725" si="88">SUM(H2667:I2667)</f>
        <v>0</v>
      </c>
    </row>
    <row r="2668" spans="1:25" hidden="1">
      <c r="F2668" s="308">
        <v>413</v>
      </c>
      <c r="G2668" s="340" t="s">
        <v>4174</v>
      </c>
      <c r="J2668" s="635">
        <f t="shared" si="88"/>
        <v>0</v>
      </c>
    </row>
    <row r="2669" spans="1:25" hidden="1">
      <c r="F2669" s="308">
        <v>414</v>
      </c>
      <c r="G2669" s="340" t="s">
        <v>3773</v>
      </c>
      <c r="J2669" s="635">
        <f t="shared" si="88"/>
        <v>0</v>
      </c>
    </row>
    <row r="2670" spans="1:25" hidden="1">
      <c r="F2670" s="308">
        <v>415</v>
      </c>
      <c r="G2670" s="340" t="s">
        <v>4183</v>
      </c>
      <c r="J2670" s="635">
        <f t="shared" si="88"/>
        <v>0</v>
      </c>
    </row>
    <row r="2671" spans="1:25" hidden="1">
      <c r="F2671" s="308">
        <v>416</v>
      </c>
      <c r="G2671" s="340" t="s">
        <v>4184</v>
      </c>
      <c r="J2671" s="635">
        <f t="shared" si="88"/>
        <v>0</v>
      </c>
    </row>
    <row r="2672" spans="1:25" hidden="1">
      <c r="F2672" s="308">
        <v>417</v>
      </c>
      <c r="G2672" s="340" t="s">
        <v>4185</v>
      </c>
      <c r="J2672" s="635">
        <f t="shared" si="88"/>
        <v>0</v>
      </c>
    </row>
    <row r="2673" spans="6:10" hidden="1">
      <c r="F2673" s="308">
        <v>418</v>
      </c>
      <c r="G2673" s="340" t="s">
        <v>3779</v>
      </c>
      <c r="J2673" s="635">
        <f t="shared" si="88"/>
        <v>0</v>
      </c>
    </row>
    <row r="2674" spans="6:10" hidden="1">
      <c r="F2674" s="308">
        <v>421</v>
      </c>
      <c r="G2674" s="340" t="s">
        <v>3783</v>
      </c>
      <c r="J2674" s="635">
        <f t="shared" si="88"/>
        <v>0</v>
      </c>
    </row>
    <row r="2675" spans="6:10" hidden="1">
      <c r="F2675" s="308">
        <v>422</v>
      </c>
      <c r="G2675" s="340" t="s">
        <v>3784</v>
      </c>
      <c r="J2675" s="635">
        <f t="shared" si="88"/>
        <v>0</v>
      </c>
    </row>
    <row r="2676" spans="6:10" hidden="1">
      <c r="F2676" s="308">
        <v>423</v>
      </c>
      <c r="G2676" s="340" t="s">
        <v>3785</v>
      </c>
      <c r="J2676" s="635">
        <f t="shared" si="88"/>
        <v>0</v>
      </c>
    </row>
    <row r="2677" spans="6:10" hidden="1">
      <c r="F2677" s="308">
        <v>424</v>
      </c>
      <c r="G2677" s="340" t="s">
        <v>3787</v>
      </c>
      <c r="J2677" s="635">
        <f t="shared" si="88"/>
        <v>0</v>
      </c>
    </row>
    <row r="2678" spans="6:10" hidden="1">
      <c r="F2678" s="308">
        <v>425</v>
      </c>
      <c r="G2678" s="340" t="s">
        <v>4186</v>
      </c>
      <c r="J2678" s="635">
        <f t="shared" si="88"/>
        <v>0</v>
      </c>
    </row>
    <row r="2679" spans="6:10" hidden="1">
      <c r="F2679" s="308">
        <v>426</v>
      </c>
      <c r="G2679" s="340" t="s">
        <v>3791</v>
      </c>
      <c r="J2679" s="635">
        <f t="shared" si="88"/>
        <v>0</v>
      </c>
    </row>
    <row r="2680" spans="6:10" hidden="1">
      <c r="F2680" s="308">
        <v>431</v>
      </c>
      <c r="G2680" s="340" t="s">
        <v>4187</v>
      </c>
      <c r="J2680" s="635">
        <f t="shared" si="88"/>
        <v>0</v>
      </c>
    </row>
    <row r="2681" spans="6:10" hidden="1">
      <c r="F2681" s="308">
        <v>432</v>
      </c>
      <c r="G2681" s="340" t="s">
        <v>4188</v>
      </c>
      <c r="J2681" s="635">
        <f t="shared" si="88"/>
        <v>0</v>
      </c>
    </row>
    <row r="2682" spans="6:10" hidden="1">
      <c r="F2682" s="308">
        <v>433</v>
      </c>
      <c r="G2682" s="340" t="s">
        <v>4189</v>
      </c>
      <c r="J2682" s="635">
        <f t="shared" si="88"/>
        <v>0</v>
      </c>
    </row>
    <row r="2683" spans="6:10" hidden="1">
      <c r="F2683" s="308">
        <v>434</v>
      </c>
      <c r="G2683" s="340" t="s">
        <v>4190</v>
      </c>
      <c r="J2683" s="635">
        <f t="shared" si="88"/>
        <v>0</v>
      </c>
    </row>
    <row r="2684" spans="6:10" hidden="1">
      <c r="F2684" s="308">
        <v>435</v>
      </c>
      <c r="G2684" s="340" t="s">
        <v>3798</v>
      </c>
      <c r="J2684" s="635">
        <f t="shared" si="88"/>
        <v>0</v>
      </c>
    </row>
    <row r="2685" spans="6:10" hidden="1">
      <c r="F2685" s="308">
        <v>441</v>
      </c>
      <c r="G2685" s="340" t="s">
        <v>4191</v>
      </c>
      <c r="J2685" s="635">
        <f t="shared" si="88"/>
        <v>0</v>
      </c>
    </row>
    <row r="2686" spans="6:10" hidden="1">
      <c r="F2686" s="308">
        <v>442</v>
      </c>
      <c r="G2686" s="340" t="s">
        <v>4192</v>
      </c>
      <c r="J2686" s="635">
        <f t="shared" si="88"/>
        <v>0</v>
      </c>
    </row>
    <row r="2687" spans="6:10" hidden="1">
      <c r="F2687" s="308">
        <v>443</v>
      </c>
      <c r="G2687" s="340" t="s">
        <v>3803</v>
      </c>
      <c r="J2687" s="635">
        <f t="shared" si="88"/>
        <v>0</v>
      </c>
    </row>
    <row r="2688" spans="6:10" hidden="1">
      <c r="F2688" s="308">
        <v>444</v>
      </c>
      <c r="G2688" s="340" t="s">
        <v>3804</v>
      </c>
      <c r="J2688" s="635">
        <f t="shared" si="88"/>
        <v>0</v>
      </c>
    </row>
    <row r="2689" spans="5:10" ht="30" hidden="1">
      <c r="F2689" s="308">
        <v>4511</v>
      </c>
      <c r="G2689" s="268" t="s">
        <v>1690</v>
      </c>
      <c r="J2689" s="635">
        <f t="shared" si="88"/>
        <v>0</v>
      </c>
    </row>
    <row r="2690" spans="5:10" ht="30" hidden="1">
      <c r="F2690" s="308">
        <v>4512</v>
      </c>
      <c r="G2690" s="268" t="s">
        <v>1699</v>
      </c>
      <c r="J2690" s="635">
        <f t="shared" si="88"/>
        <v>0</v>
      </c>
    </row>
    <row r="2691" spans="5:10" hidden="1">
      <c r="F2691" s="308">
        <v>452</v>
      </c>
      <c r="G2691" s="340" t="s">
        <v>4193</v>
      </c>
      <c r="J2691" s="635">
        <f t="shared" si="88"/>
        <v>0</v>
      </c>
    </row>
    <row r="2692" spans="5:10" hidden="1">
      <c r="F2692" s="308">
        <v>453</v>
      </c>
      <c r="G2692" s="340" t="s">
        <v>4194</v>
      </c>
      <c r="J2692" s="635">
        <f t="shared" si="88"/>
        <v>0</v>
      </c>
    </row>
    <row r="2693" spans="5:10" hidden="1">
      <c r="F2693" s="308">
        <v>454</v>
      </c>
      <c r="G2693" s="340" t="s">
        <v>3809</v>
      </c>
      <c r="J2693" s="635">
        <f t="shared" si="88"/>
        <v>0</v>
      </c>
    </row>
    <row r="2694" spans="5:10" hidden="1">
      <c r="F2694" s="308">
        <v>461</v>
      </c>
      <c r="G2694" s="340" t="s">
        <v>4175</v>
      </c>
      <c r="J2694" s="635">
        <f t="shared" si="88"/>
        <v>0</v>
      </c>
    </row>
    <row r="2695" spans="5:10" hidden="1">
      <c r="F2695" s="308">
        <v>462</v>
      </c>
      <c r="G2695" s="340" t="s">
        <v>3812</v>
      </c>
      <c r="J2695" s="635">
        <f t="shared" si="88"/>
        <v>0</v>
      </c>
    </row>
    <row r="2696" spans="5:10" hidden="1">
      <c r="F2696" s="308">
        <v>4631</v>
      </c>
      <c r="G2696" s="340" t="s">
        <v>3813</v>
      </c>
      <c r="J2696" s="635">
        <f t="shared" si="88"/>
        <v>0</v>
      </c>
    </row>
    <row r="2697" spans="5:10" hidden="1">
      <c r="F2697" s="308">
        <v>4632</v>
      </c>
      <c r="G2697" s="340" t="s">
        <v>3814</v>
      </c>
      <c r="J2697" s="635">
        <f t="shared" si="88"/>
        <v>0</v>
      </c>
    </row>
    <row r="2698" spans="5:10" hidden="1">
      <c r="F2698" s="308">
        <v>464</v>
      </c>
      <c r="G2698" s="340" t="s">
        <v>3815</v>
      </c>
      <c r="J2698" s="635">
        <f t="shared" si="88"/>
        <v>0</v>
      </c>
    </row>
    <row r="2699" spans="5:10" hidden="1">
      <c r="F2699" s="308">
        <v>465</v>
      </c>
      <c r="G2699" s="340" t="s">
        <v>4176</v>
      </c>
      <c r="J2699" s="635">
        <f t="shared" si="88"/>
        <v>0</v>
      </c>
    </row>
    <row r="2700" spans="5:10" ht="15.75" thickBot="1">
      <c r="E2700" s="263">
        <v>60</v>
      </c>
      <c r="F2700" s="308">
        <v>472</v>
      </c>
      <c r="G2700" s="340" t="s">
        <v>3819</v>
      </c>
      <c r="H2700" s="634">
        <v>950000</v>
      </c>
      <c r="J2700" s="635">
        <f t="shared" si="88"/>
        <v>950000</v>
      </c>
    </row>
    <row r="2701" spans="5:10" hidden="1">
      <c r="F2701" s="308">
        <v>481</v>
      </c>
      <c r="G2701" s="340" t="s">
        <v>4195</v>
      </c>
      <c r="J2701" s="635">
        <f t="shared" si="88"/>
        <v>0</v>
      </c>
    </row>
    <row r="2702" spans="5:10" hidden="1">
      <c r="F2702" s="308">
        <v>482</v>
      </c>
      <c r="G2702" s="340" t="s">
        <v>4196</v>
      </c>
      <c r="J2702" s="635">
        <f t="shared" si="88"/>
        <v>0</v>
      </c>
    </row>
    <row r="2703" spans="5:10" hidden="1">
      <c r="F2703" s="308">
        <v>483</v>
      </c>
      <c r="G2703" s="343" t="s">
        <v>4197</v>
      </c>
      <c r="J2703" s="635">
        <f t="shared" si="88"/>
        <v>0</v>
      </c>
    </row>
    <row r="2704" spans="5:10" ht="30" hidden="1">
      <c r="F2704" s="308">
        <v>484</v>
      </c>
      <c r="G2704" s="340" t="s">
        <v>4198</v>
      </c>
      <c r="J2704" s="635">
        <f t="shared" si="88"/>
        <v>0</v>
      </c>
    </row>
    <row r="2705" spans="6:10" ht="30" hidden="1">
      <c r="F2705" s="308">
        <v>485</v>
      </c>
      <c r="G2705" s="340" t="s">
        <v>4199</v>
      </c>
      <c r="J2705" s="635">
        <f t="shared" si="88"/>
        <v>0</v>
      </c>
    </row>
    <row r="2706" spans="6:10" ht="30" hidden="1">
      <c r="F2706" s="308">
        <v>489</v>
      </c>
      <c r="G2706" s="340" t="s">
        <v>3827</v>
      </c>
      <c r="J2706" s="635">
        <f t="shared" si="88"/>
        <v>0</v>
      </c>
    </row>
    <row r="2707" spans="6:10" hidden="1">
      <c r="F2707" s="308">
        <v>494</v>
      </c>
      <c r="G2707" s="340" t="s">
        <v>4177</v>
      </c>
      <c r="J2707" s="635">
        <f t="shared" si="88"/>
        <v>0</v>
      </c>
    </row>
    <row r="2708" spans="6:10" ht="30" hidden="1">
      <c r="F2708" s="308">
        <v>495</v>
      </c>
      <c r="G2708" s="340" t="s">
        <v>4178</v>
      </c>
      <c r="J2708" s="635">
        <f t="shared" si="88"/>
        <v>0</v>
      </c>
    </row>
    <row r="2709" spans="6:10" ht="30" hidden="1">
      <c r="F2709" s="308">
        <v>496</v>
      </c>
      <c r="G2709" s="340" t="s">
        <v>4179</v>
      </c>
      <c r="J2709" s="635">
        <f t="shared" si="88"/>
        <v>0</v>
      </c>
    </row>
    <row r="2710" spans="6:10" hidden="1">
      <c r="F2710" s="308">
        <v>499</v>
      </c>
      <c r="G2710" s="340" t="s">
        <v>4180</v>
      </c>
      <c r="J2710" s="635">
        <f t="shared" si="88"/>
        <v>0</v>
      </c>
    </row>
    <row r="2711" spans="6:10" hidden="1">
      <c r="F2711" s="308">
        <v>511</v>
      </c>
      <c r="G2711" s="343" t="s">
        <v>4200</v>
      </c>
      <c r="J2711" s="635">
        <f t="shared" si="88"/>
        <v>0</v>
      </c>
    </row>
    <row r="2712" spans="6:10" hidden="1">
      <c r="F2712" s="308">
        <v>512</v>
      </c>
      <c r="G2712" s="343" t="s">
        <v>4201</v>
      </c>
      <c r="J2712" s="635">
        <f t="shared" si="88"/>
        <v>0</v>
      </c>
    </row>
    <row r="2713" spans="6:10" hidden="1">
      <c r="F2713" s="308">
        <v>513</v>
      </c>
      <c r="G2713" s="343" t="s">
        <v>4202</v>
      </c>
      <c r="J2713" s="635">
        <f t="shared" si="88"/>
        <v>0</v>
      </c>
    </row>
    <row r="2714" spans="6:10" hidden="1">
      <c r="F2714" s="308">
        <v>514</v>
      </c>
      <c r="G2714" s="340" t="s">
        <v>4203</v>
      </c>
      <c r="J2714" s="635">
        <f t="shared" si="88"/>
        <v>0</v>
      </c>
    </row>
    <row r="2715" spans="6:10" hidden="1">
      <c r="F2715" s="308">
        <v>515</v>
      </c>
      <c r="G2715" s="340" t="s">
        <v>3838</v>
      </c>
      <c r="J2715" s="635">
        <f t="shared" si="88"/>
        <v>0</v>
      </c>
    </row>
    <row r="2716" spans="6:10" hidden="1">
      <c r="F2716" s="308">
        <v>521</v>
      </c>
      <c r="G2716" s="340" t="s">
        <v>4204</v>
      </c>
      <c r="J2716" s="635">
        <f t="shared" si="88"/>
        <v>0</v>
      </c>
    </row>
    <row r="2717" spans="6:10" hidden="1">
      <c r="F2717" s="308">
        <v>522</v>
      </c>
      <c r="G2717" s="340" t="s">
        <v>4205</v>
      </c>
      <c r="J2717" s="635">
        <f t="shared" si="88"/>
        <v>0</v>
      </c>
    </row>
    <row r="2718" spans="6:10" hidden="1">
      <c r="F2718" s="308">
        <v>523</v>
      </c>
      <c r="G2718" s="340" t="s">
        <v>3843</v>
      </c>
      <c r="J2718" s="635">
        <f t="shared" si="88"/>
        <v>0</v>
      </c>
    </row>
    <row r="2719" spans="6:10" hidden="1">
      <c r="F2719" s="308">
        <v>531</v>
      </c>
      <c r="G2719" s="337" t="s">
        <v>4181</v>
      </c>
      <c r="J2719" s="635">
        <f t="shared" si="88"/>
        <v>0</v>
      </c>
    </row>
    <row r="2720" spans="6:10" hidden="1">
      <c r="F2720" s="308">
        <v>541</v>
      </c>
      <c r="G2720" s="340" t="s">
        <v>4206</v>
      </c>
      <c r="J2720" s="635">
        <f t="shared" si="88"/>
        <v>0</v>
      </c>
    </row>
    <row r="2721" spans="5:10" hidden="1">
      <c r="F2721" s="308">
        <v>542</v>
      </c>
      <c r="G2721" s="340" t="s">
        <v>4207</v>
      </c>
      <c r="J2721" s="635">
        <f t="shared" si="88"/>
        <v>0</v>
      </c>
    </row>
    <row r="2722" spans="5:10" hidden="1">
      <c r="F2722" s="308">
        <v>543</v>
      </c>
      <c r="G2722" s="340" t="s">
        <v>3848</v>
      </c>
      <c r="J2722" s="635">
        <f t="shared" si="88"/>
        <v>0</v>
      </c>
    </row>
    <row r="2723" spans="5:10" ht="30" hidden="1">
      <c r="F2723" s="308">
        <v>551</v>
      </c>
      <c r="G2723" s="340" t="s">
        <v>4182</v>
      </c>
      <c r="J2723" s="635">
        <f t="shared" si="88"/>
        <v>0</v>
      </c>
    </row>
    <row r="2724" spans="5:10" hidden="1">
      <c r="F2724" s="309">
        <v>611</v>
      </c>
      <c r="G2724" s="344" t="s">
        <v>3854</v>
      </c>
      <c r="J2724" s="635">
        <f t="shared" si="88"/>
        <v>0</v>
      </c>
    </row>
    <row r="2725" spans="5:10" ht="15.75" hidden="1" thickBot="1">
      <c r="F2725" s="309">
        <v>620</v>
      </c>
      <c r="G2725" s="344" t="s">
        <v>88</v>
      </c>
      <c r="J2725" s="635">
        <f t="shared" si="88"/>
        <v>0</v>
      </c>
    </row>
    <row r="2726" spans="5:10">
      <c r="E2726" s="338"/>
      <c r="F2726" s="346"/>
      <c r="G2726" s="371" t="s">
        <v>5192</v>
      </c>
      <c r="H2726" s="636"/>
      <c r="I2726" s="662"/>
      <c r="J2726" s="637"/>
    </row>
    <row r="2727" spans="5:10" ht="15.75" thickBot="1">
      <c r="E2727" s="267"/>
      <c r="F2727" s="294" t="s">
        <v>234</v>
      </c>
      <c r="G2727" s="297" t="s">
        <v>235</v>
      </c>
      <c r="H2727" s="638">
        <f>SUM(H2666:H2725)</f>
        <v>950000</v>
      </c>
      <c r="I2727" s="639"/>
      <c r="J2727" s="639">
        <f>SUM(H2727:I2727)</f>
        <v>950000</v>
      </c>
    </row>
    <row r="2728" spans="5:10" hidden="1">
      <c r="F2728" s="294" t="s">
        <v>236</v>
      </c>
      <c r="G2728" s="297" t="s">
        <v>237</v>
      </c>
      <c r="J2728" s="639">
        <f t="shared" ref="J2728:J2742" si="89">SUM(H2728:I2728)</f>
        <v>0</v>
      </c>
    </row>
    <row r="2729" spans="5:10" hidden="1">
      <c r="F2729" s="294" t="s">
        <v>238</v>
      </c>
      <c r="G2729" s="297" t="s">
        <v>239</v>
      </c>
      <c r="J2729" s="639">
        <f t="shared" si="89"/>
        <v>0</v>
      </c>
    </row>
    <row r="2730" spans="5:10" hidden="1">
      <c r="F2730" s="294" t="s">
        <v>240</v>
      </c>
      <c r="G2730" s="297" t="s">
        <v>241</v>
      </c>
      <c r="J2730" s="639">
        <f t="shared" si="89"/>
        <v>0</v>
      </c>
    </row>
    <row r="2731" spans="5:10" hidden="1">
      <c r="F2731" s="294" t="s">
        <v>242</v>
      </c>
      <c r="G2731" s="297" t="s">
        <v>243</v>
      </c>
      <c r="J2731" s="639">
        <f t="shared" si="89"/>
        <v>0</v>
      </c>
    </row>
    <row r="2732" spans="5:10" hidden="1">
      <c r="F2732" s="294" t="s">
        <v>244</v>
      </c>
      <c r="G2732" s="297" t="s">
        <v>245</v>
      </c>
      <c r="J2732" s="639">
        <f t="shared" si="89"/>
        <v>0</v>
      </c>
    </row>
    <row r="2733" spans="5:10" hidden="1">
      <c r="F2733" s="294" t="s">
        <v>246</v>
      </c>
      <c r="G2733" s="683" t="s">
        <v>5121</v>
      </c>
      <c r="J2733" s="639">
        <f t="shared" si="89"/>
        <v>0</v>
      </c>
    </row>
    <row r="2734" spans="5:10" hidden="1">
      <c r="F2734" s="294" t="s">
        <v>247</v>
      </c>
      <c r="G2734" s="683" t="s">
        <v>5120</v>
      </c>
      <c r="J2734" s="639">
        <f t="shared" si="89"/>
        <v>0</v>
      </c>
    </row>
    <row r="2735" spans="5:10" hidden="1">
      <c r="F2735" s="294" t="s">
        <v>248</v>
      </c>
      <c r="G2735" s="297" t="s">
        <v>57</v>
      </c>
      <c r="J2735" s="639">
        <f t="shared" si="89"/>
        <v>0</v>
      </c>
    </row>
    <row r="2736" spans="5:10" hidden="1">
      <c r="F2736" s="294" t="s">
        <v>249</v>
      </c>
      <c r="G2736" s="297" t="s">
        <v>250</v>
      </c>
      <c r="J2736" s="639">
        <f t="shared" si="89"/>
        <v>0</v>
      </c>
    </row>
    <row r="2737" spans="5:10" hidden="1">
      <c r="F2737" s="294" t="s">
        <v>251</v>
      </c>
      <c r="G2737" s="297" t="s">
        <v>252</v>
      </c>
      <c r="J2737" s="639">
        <f t="shared" si="89"/>
        <v>0</v>
      </c>
    </row>
    <row r="2738" spans="5:10" hidden="1">
      <c r="F2738" s="294" t="s">
        <v>253</v>
      </c>
      <c r="G2738" s="297" t="s">
        <v>254</v>
      </c>
      <c r="J2738" s="639">
        <f t="shared" si="89"/>
        <v>0</v>
      </c>
    </row>
    <row r="2739" spans="5:10" hidden="1">
      <c r="F2739" s="294" t="s">
        <v>255</v>
      </c>
      <c r="G2739" s="297" t="s">
        <v>256</v>
      </c>
      <c r="J2739" s="639">
        <f t="shared" si="89"/>
        <v>0</v>
      </c>
    </row>
    <row r="2740" spans="5:10" hidden="1">
      <c r="F2740" s="294" t="s">
        <v>257</v>
      </c>
      <c r="G2740" s="297" t="s">
        <v>258</v>
      </c>
      <c r="J2740" s="639">
        <f t="shared" si="89"/>
        <v>0</v>
      </c>
    </row>
    <row r="2741" spans="5:10" hidden="1">
      <c r="F2741" s="294" t="s">
        <v>259</v>
      </c>
      <c r="G2741" s="297" t="s">
        <v>260</v>
      </c>
      <c r="J2741" s="639">
        <f t="shared" si="89"/>
        <v>0</v>
      </c>
    </row>
    <row r="2742" spans="5:10" ht="15.75" hidden="1" thickBot="1">
      <c r="F2742" s="294" t="s">
        <v>261</v>
      </c>
      <c r="G2742" s="297" t="s">
        <v>262</v>
      </c>
      <c r="H2742" s="638"/>
      <c r="I2742" s="639"/>
      <c r="J2742" s="639">
        <f t="shared" si="89"/>
        <v>0</v>
      </c>
    </row>
    <row r="2743" spans="5:10" ht="15.75" thickBot="1">
      <c r="G2743" s="274" t="s">
        <v>5193</v>
      </c>
      <c r="H2743" s="640">
        <f>SUM(H2727:H2742)</f>
        <v>950000</v>
      </c>
      <c r="I2743" s="641">
        <f>SUM(I2728:I2742)</f>
        <v>0</v>
      </c>
      <c r="J2743" s="641">
        <f>SUM(J2727:J2742)</f>
        <v>950000</v>
      </c>
    </row>
    <row r="2744" spans="5:10" collapsed="1">
      <c r="E2744" s="305"/>
      <c r="F2744" s="309"/>
      <c r="G2744" s="276" t="s">
        <v>4333</v>
      </c>
      <c r="H2744" s="642"/>
      <c r="I2744" s="663"/>
      <c r="J2744" s="643"/>
    </row>
    <row r="2745" spans="5:10" ht="15.75" thickBot="1">
      <c r="E2745" s="267"/>
      <c r="F2745" s="294" t="s">
        <v>234</v>
      </c>
      <c r="G2745" s="297" t="s">
        <v>235</v>
      </c>
      <c r="H2745" s="638">
        <f>SUM(H2666:H2725)</f>
        <v>950000</v>
      </c>
      <c r="I2745" s="639"/>
      <c r="J2745" s="639">
        <f>SUM(H2745:I2745)</f>
        <v>950000</v>
      </c>
    </row>
    <row r="2746" spans="5:10" hidden="1">
      <c r="F2746" s="294" t="s">
        <v>236</v>
      </c>
      <c r="G2746" s="297" t="s">
        <v>237</v>
      </c>
      <c r="J2746" s="639">
        <f t="shared" ref="J2746:J2760" si="90">SUM(H2746:I2746)</f>
        <v>0</v>
      </c>
    </row>
    <row r="2747" spans="5:10" hidden="1">
      <c r="F2747" s="294" t="s">
        <v>238</v>
      </c>
      <c r="G2747" s="297" t="s">
        <v>239</v>
      </c>
      <c r="J2747" s="639">
        <f t="shared" si="90"/>
        <v>0</v>
      </c>
    </row>
    <row r="2748" spans="5:10" hidden="1">
      <c r="F2748" s="294" t="s">
        <v>240</v>
      </c>
      <c r="G2748" s="297" t="s">
        <v>241</v>
      </c>
      <c r="J2748" s="639">
        <f t="shared" si="90"/>
        <v>0</v>
      </c>
    </row>
    <row r="2749" spans="5:10" hidden="1">
      <c r="F2749" s="294" t="s">
        <v>242</v>
      </c>
      <c r="G2749" s="297" t="s">
        <v>243</v>
      </c>
      <c r="J2749" s="639">
        <f t="shared" si="90"/>
        <v>0</v>
      </c>
    </row>
    <row r="2750" spans="5:10" hidden="1">
      <c r="F2750" s="294" t="s">
        <v>244</v>
      </c>
      <c r="G2750" s="297" t="s">
        <v>245</v>
      </c>
      <c r="J2750" s="639">
        <f t="shared" si="90"/>
        <v>0</v>
      </c>
    </row>
    <row r="2751" spans="5:10" hidden="1">
      <c r="F2751" s="294" t="s">
        <v>246</v>
      </c>
      <c r="G2751" s="683" t="s">
        <v>5121</v>
      </c>
      <c r="J2751" s="639">
        <f t="shared" si="90"/>
        <v>0</v>
      </c>
    </row>
    <row r="2752" spans="5:10" hidden="1">
      <c r="F2752" s="294" t="s">
        <v>247</v>
      </c>
      <c r="G2752" s="683" t="s">
        <v>5120</v>
      </c>
      <c r="J2752" s="639">
        <f t="shared" si="90"/>
        <v>0</v>
      </c>
    </row>
    <row r="2753" spans="3:10" hidden="1">
      <c r="F2753" s="294" t="s">
        <v>248</v>
      </c>
      <c r="G2753" s="297" t="s">
        <v>57</v>
      </c>
      <c r="J2753" s="639">
        <f t="shared" si="90"/>
        <v>0</v>
      </c>
    </row>
    <row r="2754" spans="3:10" hidden="1">
      <c r="F2754" s="294" t="s">
        <v>249</v>
      </c>
      <c r="G2754" s="297" t="s">
        <v>250</v>
      </c>
      <c r="J2754" s="639">
        <f t="shared" si="90"/>
        <v>0</v>
      </c>
    </row>
    <row r="2755" spans="3:10" hidden="1">
      <c r="F2755" s="294" t="s">
        <v>251</v>
      </c>
      <c r="G2755" s="297" t="s">
        <v>252</v>
      </c>
      <c r="J2755" s="639">
        <f t="shared" si="90"/>
        <v>0</v>
      </c>
    </row>
    <row r="2756" spans="3:10" hidden="1">
      <c r="F2756" s="294" t="s">
        <v>253</v>
      </c>
      <c r="G2756" s="297" t="s">
        <v>254</v>
      </c>
      <c r="J2756" s="639">
        <f t="shared" si="90"/>
        <v>0</v>
      </c>
    </row>
    <row r="2757" spans="3:10" hidden="1">
      <c r="F2757" s="294" t="s">
        <v>255</v>
      </c>
      <c r="G2757" s="297" t="s">
        <v>256</v>
      </c>
      <c r="J2757" s="639">
        <f t="shared" si="90"/>
        <v>0</v>
      </c>
    </row>
    <row r="2758" spans="3:10" hidden="1">
      <c r="F2758" s="294" t="s">
        <v>257</v>
      </c>
      <c r="G2758" s="297" t="s">
        <v>258</v>
      </c>
      <c r="J2758" s="639">
        <f t="shared" si="90"/>
        <v>0</v>
      </c>
    </row>
    <row r="2759" spans="3:10" hidden="1">
      <c r="F2759" s="294" t="s">
        <v>259</v>
      </c>
      <c r="G2759" s="297" t="s">
        <v>260</v>
      </c>
      <c r="J2759" s="639">
        <f t="shared" si="90"/>
        <v>0</v>
      </c>
    </row>
    <row r="2760" spans="3:10" ht="15.75" hidden="1" thickBot="1">
      <c r="F2760" s="294" t="s">
        <v>261</v>
      </c>
      <c r="G2760" s="297" t="s">
        <v>262</v>
      </c>
      <c r="H2760" s="638"/>
      <c r="I2760" s="639"/>
      <c r="J2760" s="639">
        <f t="shared" si="90"/>
        <v>0</v>
      </c>
    </row>
    <row r="2761" spans="3:10" ht="15.75" collapsed="1" thickBot="1">
      <c r="G2761" s="274" t="s">
        <v>5194</v>
      </c>
      <c r="H2761" s="640">
        <f>SUM(H2745:H2760)</f>
        <v>950000</v>
      </c>
      <c r="I2761" s="641">
        <f>SUM(I2746:I2760)</f>
        <v>0</v>
      </c>
      <c r="J2761" s="641">
        <f>SUM(J2745:J2760)</f>
        <v>950000</v>
      </c>
    </row>
    <row r="2762" spans="3:10" ht="0.75" customHeight="1">
      <c r="G2762" s="331"/>
      <c r="H2762" s="644"/>
      <c r="I2762" s="645"/>
      <c r="J2762" s="645"/>
    </row>
    <row r="2763" spans="3:10">
      <c r="C2763" s="273" t="s">
        <v>4118</v>
      </c>
      <c r="D2763" s="264"/>
      <c r="G2763" s="553" t="s">
        <v>4119</v>
      </c>
    </row>
    <row r="2764" spans="3:10">
      <c r="C2764" s="361"/>
      <c r="D2764" s="381" t="s">
        <v>3882</v>
      </c>
      <c r="E2764" s="382"/>
      <c r="F2764" s="380"/>
      <c r="G2764" s="359" t="s">
        <v>5191</v>
      </c>
      <c r="H2764" s="667"/>
      <c r="I2764" s="650"/>
      <c r="J2764" s="668"/>
    </row>
    <row r="2765" spans="3:10" ht="15.75" thickBot="1">
      <c r="E2765" s="263">
        <v>61</v>
      </c>
      <c r="F2765" s="569">
        <v>472</v>
      </c>
      <c r="G2765" s="562" t="s">
        <v>3819</v>
      </c>
      <c r="H2765" s="634">
        <v>300000</v>
      </c>
      <c r="J2765" s="635">
        <f t="shared" ref="J2765" si="91">SUM(H2765:I2765)</f>
        <v>300000</v>
      </c>
    </row>
    <row r="2766" spans="3:10">
      <c r="E2766" s="559"/>
      <c r="F2766" s="570"/>
      <c r="G2766" s="371" t="s">
        <v>5192</v>
      </c>
      <c r="H2766" s="636"/>
      <c r="I2766" s="662"/>
      <c r="J2766" s="637"/>
    </row>
    <row r="2767" spans="3:10" ht="15.75" thickBot="1">
      <c r="E2767" s="267"/>
      <c r="F2767" s="682" t="s">
        <v>234</v>
      </c>
      <c r="G2767" s="683" t="s">
        <v>235</v>
      </c>
      <c r="H2767" s="638">
        <f>SUM(H2765)</f>
        <v>300000</v>
      </c>
      <c r="I2767" s="639"/>
      <c r="J2767" s="639">
        <f>SUM(H2767:I2767)</f>
        <v>300000</v>
      </c>
    </row>
    <row r="2768" spans="3:10" ht="15.75" thickBot="1">
      <c r="G2768" s="274" t="s">
        <v>5193</v>
      </c>
      <c r="H2768" s="640">
        <f>SUM(H2767)</f>
        <v>300000</v>
      </c>
      <c r="I2768" s="641">
        <f>SUM(I2753:I2767)</f>
        <v>0</v>
      </c>
      <c r="J2768" s="641">
        <f>SUM(J2752:J2767)</f>
        <v>1550000</v>
      </c>
    </row>
    <row r="2769" spans="1:25">
      <c r="E2769" s="559"/>
      <c r="F2769" s="570"/>
      <c r="G2769" s="276" t="s">
        <v>4333</v>
      </c>
      <c r="H2769" s="642"/>
      <c r="I2769" s="663"/>
      <c r="J2769" s="643"/>
    </row>
    <row r="2770" spans="1:25" ht="15.75" thickBot="1">
      <c r="E2770" s="267"/>
      <c r="F2770" s="682" t="s">
        <v>234</v>
      </c>
      <c r="G2770" s="683" t="s">
        <v>235</v>
      </c>
      <c r="H2770" s="638">
        <f>SUM(H2768)</f>
        <v>300000</v>
      </c>
      <c r="I2770" s="639"/>
      <c r="J2770" s="639">
        <f>SUM(H2770:I2770)</f>
        <v>300000</v>
      </c>
    </row>
    <row r="2771" spans="1:25" ht="15.75" thickBot="1">
      <c r="G2771" s="274" t="s">
        <v>5194</v>
      </c>
      <c r="H2771" s="640">
        <f>SUM(H2770)</f>
        <v>300000</v>
      </c>
      <c r="I2771" s="641">
        <f>SUM(I2756:I2770)</f>
        <v>0</v>
      </c>
      <c r="J2771" s="641">
        <f>SUM(J2755:J2770)</f>
        <v>3400000</v>
      </c>
    </row>
    <row r="2772" spans="1:25" s="88" customFormat="1" ht="0.75" customHeight="1">
      <c r="A2772" s="306"/>
      <c r="B2772" s="301"/>
      <c r="C2772" s="310"/>
      <c r="G2772" s="320"/>
      <c r="H2772" s="651"/>
      <c r="I2772" s="652"/>
      <c r="J2772" s="652"/>
      <c r="K2772" s="575"/>
      <c r="L2772" s="575"/>
      <c r="M2772" s="575"/>
      <c r="N2772" s="575"/>
      <c r="O2772" s="575"/>
      <c r="P2772" s="575"/>
      <c r="Q2772" s="575"/>
      <c r="R2772" s="575"/>
      <c r="S2772" s="575"/>
      <c r="T2772" s="575"/>
      <c r="U2772" s="575"/>
      <c r="V2772" s="575"/>
      <c r="W2772" s="575"/>
      <c r="X2772" s="575"/>
      <c r="Y2772" s="575"/>
    </row>
    <row r="2773" spans="1:25">
      <c r="C2773" s="273" t="s">
        <v>4124</v>
      </c>
      <c r="D2773" s="264"/>
      <c r="G2773" s="307" t="s">
        <v>4125</v>
      </c>
    </row>
    <row r="2774" spans="1:25" s="88" customFormat="1" ht="30">
      <c r="A2774" s="342"/>
      <c r="B2774" s="301"/>
      <c r="C2774" s="361"/>
      <c r="D2774" s="381" t="s">
        <v>3892</v>
      </c>
      <c r="E2774" s="382"/>
      <c r="F2774" s="380"/>
      <c r="G2774" s="359" t="s">
        <v>4224</v>
      </c>
      <c r="H2774" s="667"/>
      <c r="I2774" s="650"/>
      <c r="J2774" s="668"/>
      <c r="K2774" s="575"/>
      <c r="L2774" s="575"/>
      <c r="M2774" s="575"/>
      <c r="N2774" s="575"/>
      <c r="O2774" s="575"/>
      <c r="P2774" s="575"/>
      <c r="Q2774" s="575"/>
      <c r="R2774" s="575"/>
      <c r="S2774" s="575"/>
      <c r="T2774" s="575"/>
      <c r="U2774" s="575"/>
      <c r="V2774" s="575"/>
      <c r="W2774" s="575"/>
      <c r="X2774" s="575"/>
      <c r="Y2774" s="575"/>
    </row>
    <row r="2775" spans="1:25" hidden="1">
      <c r="F2775" s="308">
        <v>411</v>
      </c>
      <c r="G2775" s="340" t="s">
        <v>4173</v>
      </c>
      <c r="J2775" s="635">
        <f>SUM(H2775:I2775)</f>
        <v>0</v>
      </c>
    </row>
    <row r="2776" spans="1:25" hidden="1">
      <c r="F2776" s="308">
        <v>412</v>
      </c>
      <c r="G2776" s="337" t="s">
        <v>3770</v>
      </c>
      <c r="J2776" s="635">
        <f t="shared" ref="J2776:J2834" si="92">SUM(H2776:I2776)</f>
        <v>0</v>
      </c>
    </row>
    <row r="2777" spans="1:25" hidden="1">
      <c r="F2777" s="308">
        <v>413</v>
      </c>
      <c r="G2777" s="340" t="s">
        <v>4174</v>
      </c>
      <c r="J2777" s="635">
        <f t="shared" si="92"/>
        <v>0</v>
      </c>
    </row>
    <row r="2778" spans="1:25" hidden="1">
      <c r="F2778" s="308">
        <v>414</v>
      </c>
      <c r="G2778" s="340" t="s">
        <v>3773</v>
      </c>
      <c r="J2778" s="635">
        <f t="shared" si="92"/>
        <v>0</v>
      </c>
    </row>
    <row r="2779" spans="1:25" hidden="1">
      <c r="F2779" s="308">
        <v>415</v>
      </c>
      <c r="G2779" s="340" t="s">
        <v>4183</v>
      </c>
      <c r="J2779" s="635">
        <f t="shared" si="92"/>
        <v>0</v>
      </c>
    </row>
    <row r="2780" spans="1:25" hidden="1">
      <c r="F2780" s="308">
        <v>416</v>
      </c>
      <c r="G2780" s="340" t="s">
        <v>4184</v>
      </c>
      <c r="J2780" s="635">
        <f t="shared" si="92"/>
        <v>0</v>
      </c>
    </row>
    <row r="2781" spans="1:25" hidden="1">
      <c r="F2781" s="308">
        <v>417</v>
      </c>
      <c r="G2781" s="340" t="s">
        <v>4185</v>
      </c>
      <c r="J2781" s="635">
        <f t="shared" si="92"/>
        <v>0</v>
      </c>
    </row>
    <row r="2782" spans="1:25" hidden="1">
      <c r="F2782" s="308">
        <v>418</v>
      </c>
      <c r="G2782" s="340" t="s">
        <v>3779</v>
      </c>
      <c r="J2782" s="635">
        <f t="shared" si="92"/>
        <v>0</v>
      </c>
    </row>
    <row r="2783" spans="1:25" hidden="1">
      <c r="F2783" s="308">
        <v>421</v>
      </c>
      <c r="G2783" s="340" t="s">
        <v>3783</v>
      </c>
      <c r="J2783" s="635">
        <f t="shared" si="92"/>
        <v>0</v>
      </c>
    </row>
    <row r="2784" spans="1:25" hidden="1">
      <c r="F2784" s="308">
        <v>422</v>
      </c>
      <c r="G2784" s="340" t="s">
        <v>3784</v>
      </c>
      <c r="J2784" s="635">
        <f t="shared" si="92"/>
        <v>0</v>
      </c>
    </row>
    <row r="2785" spans="6:10" hidden="1">
      <c r="F2785" s="308">
        <v>423</v>
      </c>
      <c r="G2785" s="340" t="s">
        <v>3785</v>
      </c>
      <c r="J2785" s="635">
        <f t="shared" si="92"/>
        <v>0</v>
      </c>
    </row>
    <row r="2786" spans="6:10" hidden="1">
      <c r="F2786" s="308">
        <v>424</v>
      </c>
      <c r="G2786" s="340" t="s">
        <v>3787</v>
      </c>
      <c r="J2786" s="635">
        <f t="shared" si="92"/>
        <v>0</v>
      </c>
    </row>
    <row r="2787" spans="6:10" hidden="1">
      <c r="F2787" s="308">
        <v>425</v>
      </c>
      <c r="G2787" s="340" t="s">
        <v>4186</v>
      </c>
      <c r="J2787" s="635">
        <f t="shared" si="92"/>
        <v>0</v>
      </c>
    </row>
    <row r="2788" spans="6:10" hidden="1">
      <c r="F2788" s="308">
        <v>426</v>
      </c>
      <c r="G2788" s="340" t="s">
        <v>3791</v>
      </c>
      <c r="J2788" s="635">
        <f t="shared" si="92"/>
        <v>0</v>
      </c>
    </row>
    <row r="2789" spans="6:10" hidden="1">
      <c r="F2789" s="308">
        <v>431</v>
      </c>
      <c r="G2789" s="340" t="s">
        <v>4187</v>
      </c>
      <c r="J2789" s="635">
        <f t="shared" si="92"/>
        <v>0</v>
      </c>
    </row>
    <row r="2790" spans="6:10" hidden="1">
      <c r="F2790" s="308">
        <v>432</v>
      </c>
      <c r="G2790" s="340" t="s">
        <v>4188</v>
      </c>
      <c r="J2790" s="635">
        <f t="shared" si="92"/>
        <v>0</v>
      </c>
    </row>
    <row r="2791" spans="6:10" hidden="1">
      <c r="F2791" s="308">
        <v>433</v>
      </c>
      <c r="G2791" s="340" t="s">
        <v>4189</v>
      </c>
      <c r="J2791" s="635">
        <f t="shared" si="92"/>
        <v>0</v>
      </c>
    </row>
    <row r="2792" spans="6:10" hidden="1">
      <c r="F2792" s="308">
        <v>434</v>
      </c>
      <c r="G2792" s="340" t="s">
        <v>4190</v>
      </c>
      <c r="J2792" s="635">
        <f t="shared" si="92"/>
        <v>0</v>
      </c>
    </row>
    <row r="2793" spans="6:10" hidden="1">
      <c r="F2793" s="308">
        <v>435</v>
      </c>
      <c r="G2793" s="340" t="s">
        <v>3798</v>
      </c>
      <c r="J2793" s="635">
        <f t="shared" si="92"/>
        <v>0</v>
      </c>
    </row>
    <row r="2794" spans="6:10" hidden="1">
      <c r="F2794" s="308">
        <v>441</v>
      </c>
      <c r="G2794" s="340" t="s">
        <v>4191</v>
      </c>
      <c r="J2794" s="635">
        <f t="shared" si="92"/>
        <v>0</v>
      </c>
    </row>
    <row r="2795" spans="6:10" hidden="1">
      <c r="F2795" s="308">
        <v>442</v>
      </c>
      <c r="G2795" s="340" t="s">
        <v>4192</v>
      </c>
      <c r="J2795" s="635">
        <f t="shared" si="92"/>
        <v>0</v>
      </c>
    </row>
    <row r="2796" spans="6:10" hidden="1">
      <c r="F2796" s="308">
        <v>443</v>
      </c>
      <c r="G2796" s="340" t="s">
        <v>3803</v>
      </c>
      <c r="J2796" s="635">
        <f t="shared" si="92"/>
        <v>0</v>
      </c>
    </row>
    <row r="2797" spans="6:10" hidden="1">
      <c r="F2797" s="308">
        <v>444</v>
      </c>
      <c r="G2797" s="340" t="s">
        <v>3804</v>
      </c>
      <c r="J2797" s="635">
        <f t="shared" si="92"/>
        <v>0</v>
      </c>
    </row>
    <row r="2798" spans="6:10" ht="30" hidden="1">
      <c r="F2798" s="308">
        <v>4511</v>
      </c>
      <c r="G2798" s="268" t="s">
        <v>1690</v>
      </c>
      <c r="J2798" s="635">
        <f t="shared" si="92"/>
        <v>0</v>
      </c>
    </row>
    <row r="2799" spans="6:10" ht="30" hidden="1">
      <c r="F2799" s="308">
        <v>4512</v>
      </c>
      <c r="G2799" s="268" t="s">
        <v>1699</v>
      </c>
      <c r="J2799" s="635">
        <f t="shared" si="92"/>
        <v>0</v>
      </c>
    </row>
    <row r="2800" spans="6:10" hidden="1">
      <c r="F2800" s="308">
        <v>452</v>
      </c>
      <c r="G2800" s="340" t="s">
        <v>4193</v>
      </c>
      <c r="J2800" s="635">
        <f t="shared" si="92"/>
        <v>0</v>
      </c>
    </row>
    <row r="2801" spans="5:10" hidden="1">
      <c r="F2801" s="308">
        <v>453</v>
      </c>
      <c r="G2801" s="340" t="s">
        <v>4194</v>
      </c>
      <c r="J2801" s="635">
        <f t="shared" si="92"/>
        <v>0</v>
      </c>
    </row>
    <row r="2802" spans="5:10" hidden="1">
      <c r="F2802" s="308">
        <v>454</v>
      </c>
      <c r="G2802" s="340" t="s">
        <v>3809</v>
      </c>
      <c r="J2802" s="635">
        <f t="shared" si="92"/>
        <v>0</v>
      </c>
    </row>
    <row r="2803" spans="5:10" hidden="1">
      <c r="F2803" s="308">
        <v>461</v>
      </c>
      <c r="G2803" s="340" t="s">
        <v>4175</v>
      </c>
      <c r="J2803" s="635">
        <f t="shared" si="92"/>
        <v>0</v>
      </c>
    </row>
    <row r="2804" spans="5:10" hidden="1">
      <c r="F2804" s="308">
        <v>462</v>
      </c>
      <c r="G2804" s="340" t="s">
        <v>3812</v>
      </c>
      <c r="J2804" s="635">
        <f t="shared" si="92"/>
        <v>0</v>
      </c>
    </row>
    <row r="2805" spans="5:10" hidden="1">
      <c r="F2805" s="308">
        <v>4631</v>
      </c>
      <c r="G2805" s="340" t="s">
        <v>3813</v>
      </c>
      <c r="J2805" s="635">
        <f t="shared" si="92"/>
        <v>0</v>
      </c>
    </row>
    <row r="2806" spans="5:10" hidden="1">
      <c r="F2806" s="308">
        <v>4632</v>
      </c>
      <c r="G2806" s="340" t="s">
        <v>3814</v>
      </c>
      <c r="J2806" s="635">
        <f t="shared" si="92"/>
        <v>0</v>
      </c>
    </row>
    <row r="2807" spans="5:10" hidden="1">
      <c r="F2807" s="308">
        <v>464</v>
      </c>
      <c r="G2807" s="340" t="s">
        <v>3815</v>
      </c>
      <c r="J2807" s="635">
        <f t="shared" si="92"/>
        <v>0</v>
      </c>
    </row>
    <row r="2808" spans="5:10" hidden="1">
      <c r="F2808" s="308">
        <v>465</v>
      </c>
      <c r="G2808" s="340" t="s">
        <v>4176</v>
      </c>
      <c r="J2808" s="635">
        <f t="shared" si="92"/>
        <v>0</v>
      </c>
    </row>
    <row r="2809" spans="5:10" hidden="1">
      <c r="F2809" s="308">
        <v>472</v>
      </c>
      <c r="G2809" s="340" t="s">
        <v>3819</v>
      </c>
      <c r="J2809" s="635">
        <f t="shared" si="92"/>
        <v>0</v>
      </c>
    </row>
    <row r="2810" spans="5:10" ht="15.75" thickBot="1">
      <c r="E2810" s="263">
        <v>62</v>
      </c>
      <c r="F2810" s="308">
        <v>481</v>
      </c>
      <c r="G2810" s="340" t="s">
        <v>4195</v>
      </c>
      <c r="H2810" s="634">
        <v>634000</v>
      </c>
      <c r="J2810" s="635">
        <f t="shared" si="92"/>
        <v>634000</v>
      </c>
    </row>
    <row r="2811" spans="5:10" hidden="1">
      <c r="F2811" s="308">
        <v>482</v>
      </c>
      <c r="G2811" s="340" t="s">
        <v>4196</v>
      </c>
      <c r="J2811" s="635">
        <f t="shared" si="92"/>
        <v>0</v>
      </c>
    </row>
    <row r="2812" spans="5:10" hidden="1">
      <c r="F2812" s="308">
        <v>483</v>
      </c>
      <c r="G2812" s="343" t="s">
        <v>4197</v>
      </c>
      <c r="J2812" s="635">
        <f t="shared" si="92"/>
        <v>0</v>
      </c>
    </row>
    <row r="2813" spans="5:10" ht="30" hidden="1">
      <c r="F2813" s="308">
        <v>484</v>
      </c>
      <c r="G2813" s="340" t="s">
        <v>4198</v>
      </c>
      <c r="J2813" s="635">
        <f t="shared" si="92"/>
        <v>0</v>
      </c>
    </row>
    <row r="2814" spans="5:10" ht="30" hidden="1">
      <c r="F2814" s="308">
        <v>485</v>
      </c>
      <c r="G2814" s="340" t="s">
        <v>4199</v>
      </c>
      <c r="J2814" s="635">
        <f t="shared" si="92"/>
        <v>0</v>
      </c>
    </row>
    <row r="2815" spans="5:10" ht="30" hidden="1">
      <c r="F2815" s="308">
        <v>489</v>
      </c>
      <c r="G2815" s="340" t="s">
        <v>3827</v>
      </c>
      <c r="J2815" s="635">
        <f t="shared" si="92"/>
        <v>0</v>
      </c>
    </row>
    <row r="2816" spans="5:10" hidden="1">
      <c r="F2816" s="308">
        <v>494</v>
      </c>
      <c r="G2816" s="340" t="s">
        <v>4177</v>
      </c>
      <c r="J2816" s="635">
        <f t="shared" si="92"/>
        <v>0</v>
      </c>
    </row>
    <row r="2817" spans="6:10" ht="30" hidden="1">
      <c r="F2817" s="308">
        <v>495</v>
      </c>
      <c r="G2817" s="340" t="s">
        <v>4178</v>
      </c>
      <c r="J2817" s="635">
        <f t="shared" si="92"/>
        <v>0</v>
      </c>
    </row>
    <row r="2818" spans="6:10" ht="30" hidden="1">
      <c r="F2818" s="308">
        <v>496</v>
      </c>
      <c r="G2818" s="340" t="s">
        <v>4179</v>
      </c>
      <c r="J2818" s="635">
        <f t="shared" si="92"/>
        <v>0</v>
      </c>
    </row>
    <row r="2819" spans="6:10" hidden="1">
      <c r="F2819" s="308">
        <v>499</v>
      </c>
      <c r="G2819" s="340" t="s">
        <v>4180</v>
      </c>
      <c r="J2819" s="635">
        <f t="shared" si="92"/>
        <v>0</v>
      </c>
    </row>
    <row r="2820" spans="6:10" hidden="1">
      <c r="F2820" s="308">
        <v>511</v>
      </c>
      <c r="G2820" s="343" t="s">
        <v>4200</v>
      </c>
      <c r="J2820" s="635">
        <f t="shared" si="92"/>
        <v>0</v>
      </c>
    </row>
    <row r="2821" spans="6:10" hidden="1">
      <c r="F2821" s="308">
        <v>512</v>
      </c>
      <c r="G2821" s="343" t="s">
        <v>4201</v>
      </c>
      <c r="J2821" s="635">
        <f t="shared" si="92"/>
        <v>0</v>
      </c>
    </row>
    <row r="2822" spans="6:10" hidden="1">
      <c r="F2822" s="308">
        <v>513</v>
      </c>
      <c r="G2822" s="343" t="s">
        <v>4202</v>
      </c>
      <c r="J2822" s="635">
        <f t="shared" si="92"/>
        <v>0</v>
      </c>
    </row>
    <row r="2823" spans="6:10" hidden="1">
      <c r="F2823" s="308">
        <v>514</v>
      </c>
      <c r="G2823" s="340" t="s">
        <v>4203</v>
      </c>
      <c r="J2823" s="635">
        <f t="shared" si="92"/>
        <v>0</v>
      </c>
    </row>
    <row r="2824" spans="6:10" hidden="1">
      <c r="F2824" s="308">
        <v>515</v>
      </c>
      <c r="G2824" s="340" t="s">
        <v>3838</v>
      </c>
      <c r="J2824" s="635">
        <f t="shared" si="92"/>
        <v>0</v>
      </c>
    </row>
    <row r="2825" spans="6:10" hidden="1">
      <c r="F2825" s="308">
        <v>521</v>
      </c>
      <c r="G2825" s="340" t="s">
        <v>4204</v>
      </c>
      <c r="J2825" s="635">
        <f t="shared" si="92"/>
        <v>0</v>
      </c>
    </row>
    <row r="2826" spans="6:10" hidden="1">
      <c r="F2826" s="308">
        <v>522</v>
      </c>
      <c r="G2826" s="340" t="s">
        <v>4205</v>
      </c>
      <c r="J2826" s="635">
        <f t="shared" si="92"/>
        <v>0</v>
      </c>
    </row>
    <row r="2827" spans="6:10" hidden="1">
      <c r="F2827" s="308">
        <v>523</v>
      </c>
      <c r="G2827" s="340" t="s">
        <v>3843</v>
      </c>
      <c r="J2827" s="635">
        <f t="shared" si="92"/>
        <v>0</v>
      </c>
    </row>
    <row r="2828" spans="6:10" hidden="1">
      <c r="F2828" s="308">
        <v>531</v>
      </c>
      <c r="G2828" s="337" t="s">
        <v>4181</v>
      </c>
      <c r="J2828" s="635">
        <f t="shared" si="92"/>
        <v>0</v>
      </c>
    </row>
    <row r="2829" spans="6:10" hidden="1">
      <c r="F2829" s="308">
        <v>541</v>
      </c>
      <c r="G2829" s="340" t="s">
        <v>4206</v>
      </c>
      <c r="J2829" s="635">
        <f t="shared" si="92"/>
        <v>0</v>
      </c>
    </row>
    <row r="2830" spans="6:10" hidden="1">
      <c r="F2830" s="308">
        <v>542</v>
      </c>
      <c r="G2830" s="340" t="s">
        <v>4207</v>
      </c>
      <c r="J2830" s="635">
        <f t="shared" si="92"/>
        <v>0</v>
      </c>
    </row>
    <row r="2831" spans="6:10" hidden="1">
      <c r="F2831" s="308">
        <v>543</v>
      </c>
      <c r="G2831" s="340" t="s">
        <v>3848</v>
      </c>
      <c r="J2831" s="635">
        <f t="shared" si="92"/>
        <v>0</v>
      </c>
    </row>
    <row r="2832" spans="6:10" ht="30" hidden="1">
      <c r="F2832" s="308">
        <v>551</v>
      </c>
      <c r="G2832" s="340" t="s">
        <v>4182</v>
      </c>
      <c r="J2832" s="635">
        <f t="shared" si="92"/>
        <v>0</v>
      </c>
    </row>
    <row r="2833" spans="5:10" hidden="1">
      <c r="F2833" s="309">
        <v>611</v>
      </c>
      <c r="G2833" s="344" t="s">
        <v>3854</v>
      </c>
      <c r="J2833" s="635">
        <f t="shared" si="92"/>
        <v>0</v>
      </c>
    </row>
    <row r="2834" spans="5:10" ht="15.75" hidden="1" thickBot="1">
      <c r="F2834" s="309">
        <v>620</v>
      </c>
      <c r="G2834" s="344" t="s">
        <v>88</v>
      </c>
      <c r="J2834" s="635">
        <f t="shared" si="92"/>
        <v>0</v>
      </c>
    </row>
    <row r="2835" spans="5:10">
      <c r="E2835" s="338"/>
      <c r="F2835" s="346"/>
      <c r="G2835" s="371" t="s">
        <v>4370</v>
      </c>
      <c r="H2835" s="636"/>
      <c r="I2835" s="662"/>
      <c r="J2835" s="637"/>
    </row>
    <row r="2836" spans="5:10" ht="15.75" thickBot="1">
      <c r="E2836" s="267"/>
      <c r="F2836" s="294" t="s">
        <v>234</v>
      </c>
      <c r="G2836" s="297" t="s">
        <v>235</v>
      </c>
      <c r="H2836" s="638">
        <f>SUM(H2775:H2834)</f>
        <v>634000</v>
      </c>
      <c r="I2836" s="639"/>
      <c r="J2836" s="639">
        <f>SUM(H2836:I2836)</f>
        <v>634000</v>
      </c>
    </row>
    <row r="2837" spans="5:10" ht="15.75" hidden="1" thickBot="1">
      <c r="F2837" s="294" t="s">
        <v>236</v>
      </c>
      <c r="G2837" s="297" t="s">
        <v>237</v>
      </c>
      <c r="J2837" s="639">
        <f t="shared" ref="J2837:J2851" si="93">SUM(H2837:I2837)</f>
        <v>0</v>
      </c>
    </row>
    <row r="2838" spans="5:10" ht="15.75" hidden="1" thickBot="1">
      <c r="F2838" s="294" t="s">
        <v>238</v>
      </c>
      <c r="G2838" s="297" t="s">
        <v>239</v>
      </c>
      <c r="J2838" s="639">
        <f t="shared" si="93"/>
        <v>0</v>
      </c>
    </row>
    <row r="2839" spans="5:10" ht="15.75" hidden="1" thickBot="1">
      <c r="F2839" s="294" t="s">
        <v>240</v>
      </c>
      <c r="G2839" s="297" t="s">
        <v>241</v>
      </c>
      <c r="J2839" s="639">
        <f t="shared" si="93"/>
        <v>0</v>
      </c>
    </row>
    <row r="2840" spans="5:10" ht="15.75" hidden="1" thickBot="1">
      <c r="F2840" s="294" t="s">
        <v>242</v>
      </c>
      <c r="G2840" s="297" t="s">
        <v>243</v>
      </c>
      <c r="J2840" s="639">
        <f t="shared" si="93"/>
        <v>0</v>
      </c>
    </row>
    <row r="2841" spans="5:10" ht="15.75" hidden="1" thickBot="1">
      <c r="F2841" s="294" t="s">
        <v>244</v>
      </c>
      <c r="G2841" s="297" t="s">
        <v>245</v>
      </c>
      <c r="J2841" s="639">
        <f t="shared" si="93"/>
        <v>0</v>
      </c>
    </row>
    <row r="2842" spans="5:10" ht="15.75" hidden="1" thickBot="1">
      <c r="F2842" s="294" t="s">
        <v>246</v>
      </c>
      <c r="G2842" s="683" t="s">
        <v>5121</v>
      </c>
      <c r="J2842" s="639">
        <f t="shared" si="93"/>
        <v>0</v>
      </c>
    </row>
    <row r="2843" spans="5:10" ht="15.75" hidden="1" thickBot="1">
      <c r="F2843" s="294" t="s">
        <v>247</v>
      </c>
      <c r="G2843" s="683" t="s">
        <v>5120</v>
      </c>
      <c r="J2843" s="639">
        <f t="shared" si="93"/>
        <v>0</v>
      </c>
    </row>
    <row r="2844" spans="5:10" ht="15.75" hidden="1" thickBot="1">
      <c r="F2844" s="294" t="s">
        <v>248</v>
      </c>
      <c r="G2844" s="297" t="s">
        <v>57</v>
      </c>
      <c r="J2844" s="639">
        <f t="shared" si="93"/>
        <v>0</v>
      </c>
    </row>
    <row r="2845" spans="5:10" ht="15.75" hidden="1" thickBot="1">
      <c r="F2845" s="294" t="s">
        <v>249</v>
      </c>
      <c r="G2845" s="297" t="s">
        <v>250</v>
      </c>
      <c r="J2845" s="639">
        <f t="shared" si="93"/>
        <v>0</v>
      </c>
    </row>
    <row r="2846" spans="5:10" ht="15.75" hidden="1" thickBot="1">
      <c r="F2846" s="294" t="s">
        <v>251</v>
      </c>
      <c r="G2846" s="297" t="s">
        <v>252</v>
      </c>
      <c r="J2846" s="639">
        <f t="shared" si="93"/>
        <v>0</v>
      </c>
    </row>
    <row r="2847" spans="5:10" ht="15.75" hidden="1" thickBot="1">
      <c r="F2847" s="294" t="s">
        <v>253</v>
      </c>
      <c r="G2847" s="297" t="s">
        <v>254</v>
      </c>
      <c r="J2847" s="639">
        <f t="shared" si="93"/>
        <v>0</v>
      </c>
    </row>
    <row r="2848" spans="5:10" ht="15.75" hidden="1" thickBot="1">
      <c r="F2848" s="294" t="s">
        <v>255</v>
      </c>
      <c r="G2848" s="297" t="s">
        <v>256</v>
      </c>
      <c r="J2848" s="639">
        <f t="shared" si="93"/>
        <v>0</v>
      </c>
    </row>
    <row r="2849" spans="5:10" ht="15.75" hidden="1" thickBot="1">
      <c r="F2849" s="294" t="s">
        <v>257</v>
      </c>
      <c r="G2849" s="297" t="s">
        <v>258</v>
      </c>
      <c r="J2849" s="639">
        <f t="shared" si="93"/>
        <v>0</v>
      </c>
    </row>
    <row r="2850" spans="5:10" ht="15.75" hidden="1" thickBot="1">
      <c r="F2850" s="294" t="s">
        <v>259</v>
      </c>
      <c r="G2850" s="297" t="s">
        <v>260</v>
      </c>
      <c r="J2850" s="639">
        <f t="shared" si="93"/>
        <v>0</v>
      </c>
    </row>
    <row r="2851" spans="5:10" ht="15.75" hidden="1" thickBot="1">
      <c r="F2851" s="294" t="s">
        <v>261</v>
      </c>
      <c r="G2851" s="297" t="s">
        <v>262</v>
      </c>
      <c r="H2851" s="638"/>
      <c r="I2851" s="639"/>
      <c r="J2851" s="639">
        <f t="shared" si="93"/>
        <v>0</v>
      </c>
    </row>
    <row r="2852" spans="5:10" ht="15.75" thickBot="1">
      <c r="G2852" s="274" t="s">
        <v>4371</v>
      </c>
      <c r="H2852" s="640">
        <f>SUM(H2836:H2851)</f>
        <v>634000</v>
      </c>
      <c r="I2852" s="641">
        <f>SUM(I2837:I2851)</f>
        <v>0</v>
      </c>
      <c r="J2852" s="641">
        <f>SUM(J2836:J2851)</f>
        <v>634000</v>
      </c>
    </row>
    <row r="2853" spans="5:10" collapsed="1">
      <c r="E2853" s="305"/>
      <c r="F2853" s="309"/>
      <c r="G2853" s="276" t="s">
        <v>4263</v>
      </c>
      <c r="H2853" s="642"/>
      <c r="I2853" s="663"/>
      <c r="J2853" s="643"/>
    </row>
    <row r="2854" spans="5:10" ht="15.75" thickBot="1">
      <c r="E2854" s="267"/>
      <c r="F2854" s="294" t="s">
        <v>234</v>
      </c>
      <c r="G2854" s="297" t="s">
        <v>235</v>
      </c>
      <c r="H2854" s="638">
        <f>SUM(H2775:H2834)</f>
        <v>634000</v>
      </c>
      <c r="I2854" s="639"/>
      <c r="J2854" s="639">
        <f>SUM(H2854:I2854)</f>
        <v>634000</v>
      </c>
    </row>
    <row r="2855" spans="5:10" ht="15.75" hidden="1" thickBot="1">
      <c r="F2855" s="294" t="s">
        <v>236</v>
      </c>
      <c r="G2855" s="297" t="s">
        <v>237</v>
      </c>
      <c r="J2855" s="639">
        <f t="shared" ref="J2855:J2869" si="94">SUM(H2855:I2855)</f>
        <v>0</v>
      </c>
    </row>
    <row r="2856" spans="5:10" ht="15.75" hidden="1" thickBot="1">
      <c r="F2856" s="294" t="s">
        <v>238</v>
      </c>
      <c r="G2856" s="297" t="s">
        <v>239</v>
      </c>
      <c r="J2856" s="639">
        <f t="shared" si="94"/>
        <v>0</v>
      </c>
    </row>
    <row r="2857" spans="5:10" ht="15.75" hidden="1" thickBot="1">
      <c r="F2857" s="294" t="s">
        <v>240</v>
      </c>
      <c r="G2857" s="297" t="s">
        <v>241</v>
      </c>
      <c r="J2857" s="639">
        <f t="shared" si="94"/>
        <v>0</v>
      </c>
    </row>
    <row r="2858" spans="5:10" ht="15.75" hidden="1" thickBot="1">
      <c r="F2858" s="294" t="s">
        <v>242</v>
      </c>
      <c r="G2858" s="297" t="s">
        <v>243</v>
      </c>
      <c r="J2858" s="639">
        <f t="shared" si="94"/>
        <v>0</v>
      </c>
    </row>
    <row r="2859" spans="5:10" ht="15.75" hidden="1" thickBot="1">
      <c r="F2859" s="294" t="s">
        <v>244</v>
      </c>
      <c r="G2859" s="297" t="s">
        <v>245</v>
      </c>
      <c r="J2859" s="639">
        <f t="shared" si="94"/>
        <v>0</v>
      </c>
    </row>
    <row r="2860" spans="5:10" ht="15.75" hidden="1" thickBot="1">
      <c r="F2860" s="294" t="s">
        <v>246</v>
      </c>
      <c r="G2860" s="683" t="s">
        <v>5121</v>
      </c>
      <c r="J2860" s="639">
        <f t="shared" si="94"/>
        <v>0</v>
      </c>
    </row>
    <row r="2861" spans="5:10" ht="15.75" hidden="1" thickBot="1">
      <c r="F2861" s="294" t="s">
        <v>247</v>
      </c>
      <c r="G2861" s="683" t="s">
        <v>5120</v>
      </c>
      <c r="J2861" s="639">
        <f t="shared" si="94"/>
        <v>0</v>
      </c>
    </row>
    <row r="2862" spans="5:10" ht="15.75" hidden="1" thickBot="1">
      <c r="F2862" s="294" t="s">
        <v>248</v>
      </c>
      <c r="G2862" s="297" t="s">
        <v>57</v>
      </c>
      <c r="J2862" s="639">
        <f t="shared" si="94"/>
        <v>0</v>
      </c>
    </row>
    <row r="2863" spans="5:10" ht="15.75" hidden="1" thickBot="1">
      <c r="F2863" s="294" t="s">
        <v>249</v>
      </c>
      <c r="G2863" s="297" t="s">
        <v>250</v>
      </c>
      <c r="J2863" s="639">
        <f t="shared" si="94"/>
        <v>0</v>
      </c>
    </row>
    <row r="2864" spans="5:10" ht="15.75" hidden="1" thickBot="1">
      <c r="F2864" s="294" t="s">
        <v>251</v>
      </c>
      <c r="G2864" s="297" t="s">
        <v>252</v>
      </c>
      <c r="J2864" s="639">
        <f t="shared" si="94"/>
        <v>0</v>
      </c>
    </row>
    <row r="2865" spans="3:10" ht="15.75" hidden="1" thickBot="1">
      <c r="F2865" s="294" t="s">
        <v>253</v>
      </c>
      <c r="G2865" s="297" t="s">
        <v>254</v>
      </c>
      <c r="J2865" s="639">
        <f t="shared" si="94"/>
        <v>0</v>
      </c>
    </row>
    <row r="2866" spans="3:10" ht="15.75" hidden="1" thickBot="1">
      <c r="F2866" s="294" t="s">
        <v>255</v>
      </c>
      <c r="G2866" s="297" t="s">
        <v>256</v>
      </c>
      <c r="J2866" s="639">
        <f t="shared" si="94"/>
        <v>0</v>
      </c>
    </row>
    <row r="2867" spans="3:10" ht="15.75" hidden="1" thickBot="1">
      <c r="F2867" s="294" t="s">
        <v>257</v>
      </c>
      <c r="G2867" s="297" t="s">
        <v>258</v>
      </c>
      <c r="J2867" s="639">
        <f t="shared" si="94"/>
        <v>0</v>
      </c>
    </row>
    <row r="2868" spans="3:10" ht="15.75" hidden="1" thickBot="1">
      <c r="F2868" s="294" t="s">
        <v>259</v>
      </c>
      <c r="G2868" s="297" t="s">
        <v>260</v>
      </c>
      <c r="J2868" s="639">
        <f t="shared" si="94"/>
        <v>0</v>
      </c>
    </row>
    <row r="2869" spans="3:10" ht="15.75" hidden="1" thickBot="1">
      <c r="F2869" s="294" t="s">
        <v>261</v>
      </c>
      <c r="G2869" s="297" t="s">
        <v>262</v>
      </c>
      <c r="H2869" s="638"/>
      <c r="I2869" s="639"/>
      <c r="J2869" s="639">
        <f t="shared" si="94"/>
        <v>0</v>
      </c>
    </row>
    <row r="2870" spans="3:10" ht="15.75" collapsed="1" thickBot="1">
      <c r="G2870" s="274" t="s">
        <v>4264</v>
      </c>
      <c r="H2870" s="640">
        <f>SUM(H2854:H2869)</f>
        <v>634000</v>
      </c>
      <c r="I2870" s="641">
        <f>SUM(I2855:I2869)</f>
        <v>0</v>
      </c>
      <c r="J2870" s="641">
        <f>SUM(J2854:J2869)</f>
        <v>634000</v>
      </c>
    </row>
    <row r="2871" spans="3:10" ht="0.75" customHeight="1">
      <c r="G2871" s="331"/>
      <c r="H2871" s="644"/>
      <c r="I2871" s="645"/>
      <c r="J2871" s="645"/>
    </row>
    <row r="2872" spans="3:10">
      <c r="C2872" s="273" t="s">
        <v>4778</v>
      </c>
      <c r="D2872" s="264"/>
      <c r="G2872" s="553" t="s">
        <v>5196</v>
      </c>
    </row>
    <row r="2873" spans="3:10" ht="30">
      <c r="C2873" s="361"/>
      <c r="D2873" s="381" t="s">
        <v>3892</v>
      </c>
      <c r="E2873" s="382"/>
      <c r="F2873" s="380"/>
      <c r="G2873" s="359" t="s">
        <v>4224</v>
      </c>
      <c r="H2873" s="667"/>
      <c r="I2873" s="650"/>
      <c r="J2873" s="668"/>
    </row>
    <row r="2874" spans="3:10" hidden="1">
      <c r="F2874" s="569">
        <v>411</v>
      </c>
      <c r="G2874" s="562" t="s">
        <v>4173</v>
      </c>
      <c r="J2874" s="635">
        <f>SUM(H2874:I2874)</f>
        <v>0</v>
      </c>
    </row>
    <row r="2875" spans="3:10" hidden="1">
      <c r="F2875" s="569">
        <v>412</v>
      </c>
      <c r="G2875" s="558" t="s">
        <v>3770</v>
      </c>
      <c r="J2875" s="635">
        <f t="shared" ref="J2875:J2933" si="95">SUM(H2875:I2875)</f>
        <v>0</v>
      </c>
    </row>
    <row r="2876" spans="3:10" hidden="1">
      <c r="F2876" s="569">
        <v>413</v>
      </c>
      <c r="G2876" s="562" t="s">
        <v>4174</v>
      </c>
      <c r="J2876" s="635">
        <f t="shared" si="95"/>
        <v>0</v>
      </c>
    </row>
    <row r="2877" spans="3:10" hidden="1">
      <c r="F2877" s="569">
        <v>414</v>
      </c>
      <c r="G2877" s="562" t="s">
        <v>3773</v>
      </c>
      <c r="J2877" s="635">
        <f t="shared" si="95"/>
        <v>0</v>
      </c>
    </row>
    <row r="2878" spans="3:10" hidden="1">
      <c r="F2878" s="569">
        <v>415</v>
      </c>
      <c r="G2878" s="562" t="s">
        <v>4183</v>
      </c>
      <c r="J2878" s="635">
        <f t="shared" si="95"/>
        <v>0</v>
      </c>
    </row>
    <row r="2879" spans="3:10" hidden="1">
      <c r="F2879" s="569">
        <v>416</v>
      </c>
      <c r="G2879" s="562" t="s">
        <v>4184</v>
      </c>
      <c r="J2879" s="635">
        <f t="shared" si="95"/>
        <v>0</v>
      </c>
    </row>
    <row r="2880" spans="3:10" hidden="1">
      <c r="F2880" s="569">
        <v>417</v>
      </c>
      <c r="G2880" s="562" t="s">
        <v>4185</v>
      </c>
      <c r="J2880" s="635">
        <f t="shared" si="95"/>
        <v>0</v>
      </c>
    </row>
    <row r="2881" spans="6:10" hidden="1">
      <c r="F2881" s="569">
        <v>418</v>
      </c>
      <c r="G2881" s="562" t="s">
        <v>3779</v>
      </c>
      <c r="J2881" s="635">
        <f t="shared" si="95"/>
        <v>0</v>
      </c>
    </row>
    <row r="2882" spans="6:10" hidden="1">
      <c r="F2882" s="569">
        <v>421</v>
      </c>
      <c r="G2882" s="562" t="s">
        <v>3783</v>
      </c>
      <c r="J2882" s="635">
        <f t="shared" si="95"/>
        <v>0</v>
      </c>
    </row>
    <row r="2883" spans="6:10" hidden="1">
      <c r="F2883" s="569">
        <v>422</v>
      </c>
      <c r="G2883" s="562" t="s">
        <v>3784</v>
      </c>
      <c r="J2883" s="635">
        <f t="shared" si="95"/>
        <v>0</v>
      </c>
    </row>
    <row r="2884" spans="6:10" hidden="1">
      <c r="F2884" s="569">
        <v>423</v>
      </c>
      <c r="G2884" s="562" t="s">
        <v>3785</v>
      </c>
      <c r="J2884" s="635">
        <f t="shared" si="95"/>
        <v>0</v>
      </c>
    </row>
    <row r="2885" spans="6:10" hidden="1">
      <c r="F2885" s="569">
        <v>424</v>
      </c>
      <c r="G2885" s="562" t="s">
        <v>3787</v>
      </c>
      <c r="J2885" s="635">
        <f t="shared" si="95"/>
        <v>0</v>
      </c>
    </row>
    <row r="2886" spans="6:10" hidden="1">
      <c r="F2886" s="569">
        <v>425</v>
      </c>
      <c r="G2886" s="562" t="s">
        <v>4186</v>
      </c>
      <c r="J2886" s="635">
        <f t="shared" si="95"/>
        <v>0</v>
      </c>
    </row>
    <row r="2887" spans="6:10" hidden="1">
      <c r="F2887" s="569">
        <v>426</v>
      </c>
      <c r="G2887" s="562" t="s">
        <v>3791</v>
      </c>
      <c r="J2887" s="635">
        <f t="shared" si="95"/>
        <v>0</v>
      </c>
    </row>
    <row r="2888" spans="6:10" hidden="1">
      <c r="F2888" s="569">
        <v>431</v>
      </c>
      <c r="G2888" s="562" t="s">
        <v>4187</v>
      </c>
      <c r="J2888" s="635">
        <f t="shared" si="95"/>
        <v>0</v>
      </c>
    </row>
    <row r="2889" spans="6:10" hidden="1">
      <c r="F2889" s="569">
        <v>432</v>
      </c>
      <c r="G2889" s="562" t="s">
        <v>4188</v>
      </c>
      <c r="J2889" s="635">
        <f t="shared" si="95"/>
        <v>0</v>
      </c>
    </row>
    <row r="2890" spans="6:10" hidden="1">
      <c r="F2890" s="569">
        <v>433</v>
      </c>
      <c r="G2890" s="562" t="s">
        <v>4189</v>
      </c>
      <c r="J2890" s="635">
        <f t="shared" si="95"/>
        <v>0</v>
      </c>
    </row>
    <row r="2891" spans="6:10" hidden="1">
      <c r="F2891" s="569">
        <v>434</v>
      </c>
      <c r="G2891" s="562" t="s">
        <v>4190</v>
      </c>
      <c r="J2891" s="635">
        <f t="shared" si="95"/>
        <v>0</v>
      </c>
    </row>
    <row r="2892" spans="6:10" hidden="1">
      <c r="F2892" s="569">
        <v>435</v>
      </c>
      <c r="G2892" s="562" t="s">
        <v>3798</v>
      </c>
      <c r="J2892" s="635">
        <f t="shared" si="95"/>
        <v>0</v>
      </c>
    </row>
    <row r="2893" spans="6:10" hidden="1">
      <c r="F2893" s="569">
        <v>441</v>
      </c>
      <c r="G2893" s="562" t="s">
        <v>4191</v>
      </c>
      <c r="J2893" s="635">
        <f t="shared" si="95"/>
        <v>0</v>
      </c>
    </row>
    <row r="2894" spans="6:10" hidden="1">
      <c r="F2894" s="569">
        <v>442</v>
      </c>
      <c r="G2894" s="562" t="s">
        <v>4192</v>
      </c>
      <c r="J2894" s="635">
        <f t="shared" si="95"/>
        <v>0</v>
      </c>
    </row>
    <row r="2895" spans="6:10" hidden="1">
      <c r="F2895" s="569">
        <v>443</v>
      </c>
      <c r="G2895" s="562" t="s">
        <v>3803</v>
      </c>
      <c r="J2895" s="635">
        <f t="shared" si="95"/>
        <v>0</v>
      </c>
    </row>
    <row r="2896" spans="6:10" hidden="1">
      <c r="F2896" s="569">
        <v>444</v>
      </c>
      <c r="G2896" s="562" t="s">
        <v>3804</v>
      </c>
      <c r="J2896" s="635">
        <f t="shared" si="95"/>
        <v>0</v>
      </c>
    </row>
    <row r="2897" spans="5:10" ht="30" hidden="1">
      <c r="F2897" s="569">
        <v>4511</v>
      </c>
      <c r="G2897" s="268" t="s">
        <v>1690</v>
      </c>
      <c r="J2897" s="635">
        <f t="shared" si="95"/>
        <v>0</v>
      </c>
    </row>
    <row r="2898" spans="5:10" ht="30" hidden="1">
      <c r="F2898" s="569">
        <v>4512</v>
      </c>
      <c r="G2898" s="268" t="s">
        <v>1699</v>
      </c>
      <c r="J2898" s="635">
        <f t="shared" si="95"/>
        <v>0</v>
      </c>
    </row>
    <row r="2899" spans="5:10" hidden="1">
      <c r="F2899" s="569">
        <v>452</v>
      </c>
      <c r="G2899" s="562" t="s">
        <v>4193</v>
      </c>
      <c r="J2899" s="635">
        <f t="shared" si="95"/>
        <v>0</v>
      </c>
    </row>
    <row r="2900" spans="5:10" hidden="1">
      <c r="F2900" s="569">
        <v>453</v>
      </c>
      <c r="G2900" s="562" t="s">
        <v>4194</v>
      </c>
      <c r="J2900" s="635">
        <f t="shared" si="95"/>
        <v>0</v>
      </c>
    </row>
    <row r="2901" spans="5:10" hidden="1">
      <c r="F2901" s="569">
        <v>454</v>
      </c>
      <c r="G2901" s="562" t="s">
        <v>3809</v>
      </c>
      <c r="J2901" s="635">
        <f t="shared" si="95"/>
        <v>0</v>
      </c>
    </row>
    <row r="2902" spans="5:10" hidden="1">
      <c r="F2902" s="569">
        <v>461</v>
      </c>
      <c r="G2902" s="562" t="s">
        <v>4175</v>
      </c>
      <c r="J2902" s="635">
        <f t="shared" si="95"/>
        <v>0</v>
      </c>
    </row>
    <row r="2903" spans="5:10" hidden="1">
      <c r="F2903" s="569">
        <v>462</v>
      </c>
      <c r="G2903" s="562" t="s">
        <v>3812</v>
      </c>
      <c r="J2903" s="635">
        <f t="shared" si="95"/>
        <v>0</v>
      </c>
    </row>
    <row r="2904" spans="5:10" hidden="1">
      <c r="F2904" s="569">
        <v>4631</v>
      </c>
      <c r="G2904" s="562" t="s">
        <v>3813</v>
      </c>
      <c r="J2904" s="635">
        <f t="shared" si="95"/>
        <v>0</v>
      </c>
    </row>
    <row r="2905" spans="5:10" hidden="1">
      <c r="F2905" s="569">
        <v>4632</v>
      </c>
      <c r="G2905" s="562" t="s">
        <v>3814</v>
      </c>
      <c r="J2905" s="635">
        <f t="shared" si="95"/>
        <v>0</v>
      </c>
    </row>
    <row r="2906" spans="5:10" hidden="1">
      <c r="F2906" s="569">
        <v>464</v>
      </c>
      <c r="G2906" s="562" t="s">
        <v>3815</v>
      </c>
      <c r="J2906" s="635">
        <f t="shared" si="95"/>
        <v>0</v>
      </c>
    </row>
    <row r="2907" spans="5:10" hidden="1">
      <c r="F2907" s="569">
        <v>465</v>
      </c>
      <c r="G2907" s="562" t="s">
        <v>4176</v>
      </c>
      <c r="J2907" s="635">
        <f t="shared" si="95"/>
        <v>0</v>
      </c>
    </row>
    <row r="2908" spans="5:10" hidden="1">
      <c r="F2908" s="569">
        <v>472</v>
      </c>
      <c r="G2908" s="562" t="s">
        <v>3819</v>
      </c>
      <c r="J2908" s="635">
        <f t="shared" si="95"/>
        <v>0</v>
      </c>
    </row>
    <row r="2909" spans="5:10" ht="15.75" thickBot="1">
      <c r="E2909" s="263">
        <v>63</v>
      </c>
      <c r="F2909" s="569">
        <v>481</v>
      </c>
      <c r="G2909" s="562" t="s">
        <v>4195</v>
      </c>
      <c r="H2909" s="634">
        <v>1730000</v>
      </c>
      <c r="J2909" s="635">
        <f t="shared" si="95"/>
        <v>1730000</v>
      </c>
    </row>
    <row r="2910" spans="5:10" hidden="1">
      <c r="F2910" s="569">
        <v>482</v>
      </c>
      <c r="G2910" s="562" t="s">
        <v>4196</v>
      </c>
      <c r="J2910" s="635">
        <f t="shared" si="95"/>
        <v>0</v>
      </c>
    </row>
    <row r="2911" spans="5:10" hidden="1">
      <c r="F2911" s="569">
        <v>483</v>
      </c>
      <c r="G2911" s="566" t="s">
        <v>4197</v>
      </c>
      <c r="J2911" s="635">
        <f t="shared" si="95"/>
        <v>0</v>
      </c>
    </row>
    <row r="2912" spans="5:10" ht="30" hidden="1">
      <c r="F2912" s="569">
        <v>484</v>
      </c>
      <c r="G2912" s="562" t="s">
        <v>4198</v>
      </c>
      <c r="J2912" s="635">
        <f t="shared" si="95"/>
        <v>0</v>
      </c>
    </row>
    <row r="2913" spans="6:10" ht="30" hidden="1">
      <c r="F2913" s="569">
        <v>485</v>
      </c>
      <c r="G2913" s="562" t="s">
        <v>4199</v>
      </c>
      <c r="J2913" s="635">
        <f t="shared" si="95"/>
        <v>0</v>
      </c>
    </row>
    <row r="2914" spans="6:10" ht="30" hidden="1">
      <c r="F2914" s="569">
        <v>489</v>
      </c>
      <c r="G2914" s="562" t="s">
        <v>3827</v>
      </c>
      <c r="J2914" s="635">
        <f t="shared" si="95"/>
        <v>0</v>
      </c>
    </row>
    <row r="2915" spans="6:10" hidden="1">
      <c r="F2915" s="569">
        <v>494</v>
      </c>
      <c r="G2915" s="562" t="s">
        <v>4177</v>
      </c>
      <c r="J2915" s="635">
        <f t="shared" si="95"/>
        <v>0</v>
      </c>
    </row>
    <row r="2916" spans="6:10" ht="30" hidden="1">
      <c r="F2916" s="569">
        <v>495</v>
      </c>
      <c r="G2916" s="562" t="s">
        <v>4178</v>
      </c>
      <c r="J2916" s="635">
        <f t="shared" si="95"/>
        <v>0</v>
      </c>
    </row>
    <row r="2917" spans="6:10" ht="30" hidden="1">
      <c r="F2917" s="569">
        <v>496</v>
      </c>
      <c r="G2917" s="562" t="s">
        <v>4179</v>
      </c>
      <c r="J2917" s="635">
        <f t="shared" si="95"/>
        <v>0</v>
      </c>
    </row>
    <row r="2918" spans="6:10" hidden="1">
      <c r="F2918" s="569">
        <v>499</v>
      </c>
      <c r="G2918" s="562" t="s">
        <v>4180</v>
      </c>
      <c r="J2918" s="635">
        <f t="shared" si="95"/>
        <v>0</v>
      </c>
    </row>
    <row r="2919" spans="6:10" hidden="1">
      <c r="F2919" s="569">
        <v>511</v>
      </c>
      <c r="G2919" s="566" t="s">
        <v>4200</v>
      </c>
      <c r="J2919" s="635">
        <f t="shared" si="95"/>
        <v>0</v>
      </c>
    </row>
    <row r="2920" spans="6:10" hidden="1">
      <c r="F2920" s="569">
        <v>512</v>
      </c>
      <c r="G2920" s="566" t="s">
        <v>4201</v>
      </c>
      <c r="J2920" s="635">
        <f t="shared" si="95"/>
        <v>0</v>
      </c>
    </row>
    <row r="2921" spans="6:10" hidden="1">
      <c r="F2921" s="569">
        <v>513</v>
      </c>
      <c r="G2921" s="566" t="s">
        <v>4202</v>
      </c>
      <c r="J2921" s="635">
        <f t="shared" si="95"/>
        <v>0</v>
      </c>
    </row>
    <row r="2922" spans="6:10" hidden="1">
      <c r="F2922" s="569">
        <v>514</v>
      </c>
      <c r="G2922" s="562" t="s">
        <v>4203</v>
      </c>
      <c r="J2922" s="635">
        <f t="shared" si="95"/>
        <v>0</v>
      </c>
    </row>
    <row r="2923" spans="6:10" hidden="1">
      <c r="F2923" s="569">
        <v>515</v>
      </c>
      <c r="G2923" s="562" t="s">
        <v>3838</v>
      </c>
      <c r="J2923" s="635">
        <f t="shared" si="95"/>
        <v>0</v>
      </c>
    </row>
    <row r="2924" spans="6:10" hidden="1">
      <c r="F2924" s="569">
        <v>521</v>
      </c>
      <c r="G2924" s="562" t="s">
        <v>4204</v>
      </c>
      <c r="J2924" s="635">
        <f t="shared" si="95"/>
        <v>0</v>
      </c>
    </row>
    <row r="2925" spans="6:10" hidden="1">
      <c r="F2925" s="569">
        <v>522</v>
      </c>
      <c r="G2925" s="562" t="s">
        <v>4205</v>
      </c>
      <c r="J2925" s="635">
        <f t="shared" si="95"/>
        <v>0</v>
      </c>
    </row>
    <row r="2926" spans="6:10" hidden="1">
      <c r="F2926" s="569">
        <v>523</v>
      </c>
      <c r="G2926" s="562" t="s">
        <v>3843</v>
      </c>
      <c r="J2926" s="635">
        <f t="shared" si="95"/>
        <v>0</v>
      </c>
    </row>
    <row r="2927" spans="6:10" hidden="1">
      <c r="F2927" s="569">
        <v>531</v>
      </c>
      <c r="G2927" s="558" t="s">
        <v>4181</v>
      </c>
      <c r="J2927" s="635">
        <f t="shared" si="95"/>
        <v>0</v>
      </c>
    </row>
    <row r="2928" spans="6:10" hidden="1">
      <c r="F2928" s="569">
        <v>541</v>
      </c>
      <c r="G2928" s="562" t="s">
        <v>4206</v>
      </c>
      <c r="J2928" s="635">
        <f t="shared" si="95"/>
        <v>0</v>
      </c>
    </row>
    <row r="2929" spans="5:10" hidden="1">
      <c r="F2929" s="569">
        <v>542</v>
      </c>
      <c r="G2929" s="562" t="s">
        <v>4207</v>
      </c>
      <c r="J2929" s="635">
        <f t="shared" si="95"/>
        <v>0</v>
      </c>
    </row>
    <row r="2930" spans="5:10" hidden="1">
      <c r="F2930" s="569">
        <v>543</v>
      </c>
      <c r="G2930" s="562" t="s">
        <v>3848</v>
      </c>
      <c r="J2930" s="635">
        <f t="shared" si="95"/>
        <v>0</v>
      </c>
    </row>
    <row r="2931" spans="5:10" ht="30" hidden="1">
      <c r="F2931" s="569">
        <v>551</v>
      </c>
      <c r="G2931" s="562" t="s">
        <v>4182</v>
      </c>
      <c r="J2931" s="635">
        <f t="shared" si="95"/>
        <v>0</v>
      </c>
    </row>
    <row r="2932" spans="5:10" hidden="1">
      <c r="F2932" s="570">
        <v>611</v>
      </c>
      <c r="G2932" s="568" t="s">
        <v>3854</v>
      </c>
      <c r="J2932" s="635">
        <f t="shared" si="95"/>
        <v>0</v>
      </c>
    </row>
    <row r="2933" spans="5:10" ht="15.75" hidden="1" thickBot="1">
      <c r="F2933" s="570">
        <v>620</v>
      </c>
      <c r="G2933" s="568" t="s">
        <v>88</v>
      </c>
      <c r="J2933" s="635">
        <f t="shared" si="95"/>
        <v>0</v>
      </c>
    </row>
    <row r="2934" spans="5:10">
      <c r="E2934" s="559"/>
      <c r="F2934" s="570"/>
      <c r="G2934" s="371" t="s">
        <v>4370</v>
      </c>
      <c r="H2934" s="636"/>
      <c r="I2934" s="662"/>
      <c r="J2934" s="637"/>
    </row>
    <row r="2935" spans="5:10" ht="15.75" thickBot="1">
      <c r="E2935" s="267"/>
      <c r="F2935" s="682" t="s">
        <v>234</v>
      </c>
      <c r="G2935" s="683" t="s">
        <v>235</v>
      </c>
      <c r="H2935" s="638">
        <f>SUM(H2874:H2933)</f>
        <v>1730000</v>
      </c>
      <c r="I2935" s="639"/>
      <c r="J2935" s="639">
        <f>SUM(H2935:I2935)</f>
        <v>1730000</v>
      </c>
    </row>
    <row r="2936" spans="5:10" hidden="1">
      <c r="F2936" s="682" t="s">
        <v>236</v>
      </c>
      <c r="G2936" s="683" t="s">
        <v>237</v>
      </c>
      <c r="J2936" s="639">
        <f t="shared" ref="J2936:J2950" si="96">SUM(H2936:I2936)</f>
        <v>0</v>
      </c>
    </row>
    <row r="2937" spans="5:10" hidden="1">
      <c r="F2937" s="682" t="s">
        <v>238</v>
      </c>
      <c r="G2937" s="683" t="s">
        <v>239</v>
      </c>
      <c r="J2937" s="639">
        <f t="shared" si="96"/>
        <v>0</v>
      </c>
    </row>
    <row r="2938" spans="5:10" hidden="1">
      <c r="F2938" s="682" t="s">
        <v>240</v>
      </c>
      <c r="G2938" s="683" t="s">
        <v>241</v>
      </c>
      <c r="J2938" s="639">
        <f t="shared" si="96"/>
        <v>0</v>
      </c>
    </row>
    <row r="2939" spans="5:10" hidden="1">
      <c r="F2939" s="682" t="s">
        <v>242</v>
      </c>
      <c r="G2939" s="683" t="s">
        <v>243</v>
      </c>
      <c r="J2939" s="639">
        <f t="shared" si="96"/>
        <v>0</v>
      </c>
    </row>
    <row r="2940" spans="5:10" hidden="1">
      <c r="F2940" s="682" t="s">
        <v>244</v>
      </c>
      <c r="G2940" s="683" t="s">
        <v>245</v>
      </c>
      <c r="J2940" s="639">
        <f t="shared" si="96"/>
        <v>0</v>
      </c>
    </row>
    <row r="2941" spans="5:10" hidden="1">
      <c r="F2941" s="682" t="s">
        <v>246</v>
      </c>
      <c r="G2941" s="683" t="s">
        <v>5121</v>
      </c>
      <c r="J2941" s="639">
        <f t="shared" si="96"/>
        <v>0</v>
      </c>
    </row>
    <row r="2942" spans="5:10" hidden="1">
      <c r="F2942" s="682" t="s">
        <v>247</v>
      </c>
      <c r="G2942" s="683" t="s">
        <v>5120</v>
      </c>
      <c r="J2942" s="639">
        <f t="shared" si="96"/>
        <v>0</v>
      </c>
    </row>
    <row r="2943" spans="5:10" hidden="1">
      <c r="F2943" s="682" t="s">
        <v>248</v>
      </c>
      <c r="G2943" s="683" t="s">
        <v>57</v>
      </c>
      <c r="J2943" s="639">
        <f t="shared" si="96"/>
        <v>0</v>
      </c>
    </row>
    <row r="2944" spans="5:10" hidden="1">
      <c r="F2944" s="682" t="s">
        <v>249</v>
      </c>
      <c r="G2944" s="683" t="s">
        <v>250</v>
      </c>
      <c r="J2944" s="639">
        <f t="shared" si="96"/>
        <v>0</v>
      </c>
    </row>
    <row r="2945" spans="5:10" hidden="1">
      <c r="F2945" s="682" t="s">
        <v>251</v>
      </c>
      <c r="G2945" s="683" t="s">
        <v>252</v>
      </c>
      <c r="J2945" s="639">
        <f t="shared" si="96"/>
        <v>0</v>
      </c>
    </row>
    <row r="2946" spans="5:10" hidden="1">
      <c r="F2946" s="682" t="s">
        <v>253</v>
      </c>
      <c r="G2946" s="683" t="s">
        <v>254</v>
      </c>
      <c r="J2946" s="639">
        <f t="shared" si="96"/>
        <v>0</v>
      </c>
    </row>
    <row r="2947" spans="5:10" hidden="1">
      <c r="F2947" s="682" t="s">
        <v>255</v>
      </c>
      <c r="G2947" s="683" t="s">
        <v>256</v>
      </c>
      <c r="J2947" s="639">
        <f t="shared" si="96"/>
        <v>0</v>
      </c>
    </row>
    <row r="2948" spans="5:10" hidden="1">
      <c r="F2948" s="682" t="s">
        <v>257</v>
      </c>
      <c r="G2948" s="683" t="s">
        <v>258</v>
      </c>
      <c r="J2948" s="639">
        <f t="shared" si="96"/>
        <v>0</v>
      </c>
    </row>
    <row r="2949" spans="5:10" hidden="1">
      <c r="F2949" s="682" t="s">
        <v>259</v>
      </c>
      <c r="G2949" s="683" t="s">
        <v>260</v>
      </c>
      <c r="J2949" s="639">
        <f t="shared" si="96"/>
        <v>0</v>
      </c>
    </row>
    <row r="2950" spans="5:10" ht="15.75" hidden="1" thickBot="1">
      <c r="F2950" s="682" t="s">
        <v>261</v>
      </c>
      <c r="G2950" s="683" t="s">
        <v>262</v>
      </c>
      <c r="H2950" s="638"/>
      <c r="I2950" s="639"/>
      <c r="J2950" s="639">
        <f t="shared" si="96"/>
        <v>0</v>
      </c>
    </row>
    <row r="2951" spans="5:10" ht="15.75" thickBot="1">
      <c r="G2951" s="274" t="s">
        <v>4371</v>
      </c>
      <c r="H2951" s="640">
        <f>SUM(H2935:H2950)</f>
        <v>1730000</v>
      </c>
      <c r="I2951" s="641">
        <f>SUM(I2936:I2950)</f>
        <v>0</v>
      </c>
      <c r="J2951" s="641">
        <f>SUM(J2935:J2950)</f>
        <v>1730000</v>
      </c>
    </row>
    <row r="2952" spans="5:10">
      <c r="E2952" s="559"/>
      <c r="F2952" s="570"/>
      <c r="G2952" s="276" t="s">
        <v>5197</v>
      </c>
      <c r="H2952" s="642"/>
      <c r="I2952" s="663"/>
      <c r="J2952" s="643"/>
    </row>
    <row r="2953" spans="5:10" ht="15.75" thickBot="1">
      <c r="E2953" s="267"/>
      <c r="F2953" s="682" t="s">
        <v>234</v>
      </c>
      <c r="G2953" s="683" t="s">
        <v>235</v>
      </c>
      <c r="H2953" s="638">
        <f>SUM(H2874:H2933)</f>
        <v>1730000</v>
      </c>
      <c r="I2953" s="639"/>
      <c r="J2953" s="639">
        <f>SUM(H2953:I2953)</f>
        <v>1730000</v>
      </c>
    </row>
    <row r="2954" spans="5:10" hidden="1">
      <c r="F2954" s="682" t="s">
        <v>236</v>
      </c>
      <c r="G2954" s="683" t="s">
        <v>237</v>
      </c>
      <c r="J2954" s="639">
        <f t="shared" ref="J2954:J2968" si="97">SUM(H2954:I2954)</f>
        <v>0</v>
      </c>
    </row>
    <row r="2955" spans="5:10" hidden="1">
      <c r="F2955" s="682" t="s">
        <v>238</v>
      </c>
      <c r="G2955" s="683" t="s">
        <v>239</v>
      </c>
      <c r="J2955" s="639">
        <f t="shared" si="97"/>
        <v>0</v>
      </c>
    </row>
    <row r="2956" spans="5:10" hidden="1">
      <c r="F2956" s="682" t="s">
        <v>240</v>
      </c>
      <c r="G2956" s="683" t="s">
        <v>241</v>
      </c>
      <c r="J2956" s="639">
        <f t="shared" si="97"/>
        <v>0</v>
      </c>
    </row>
    <row r="2957" spans="5:10" hidden="1">
      <c r="F2957" s="682" t="s">
        <v>242</v>
      </c>
      <c r="G2957" s="683" t="s">
        <v>243</v>
      </c>
      <c r="J2957" s="639">
        <f t="shared" si="97"/>
        <v>0</v>
      </c>
    </row>
    <row r="2958" spans="5:10" hidden="1">
      <c r="F2958" s="682" t="s">
        <v>244</v>
      </c>
      <c r="G2958" s="683" t="s">
        <v>245</v>
      </c>
      <c r="J2958" s="639">
        <f t="shared" si="97"/>
        <v>0</v>
      </c>
    </row>
    <row r="2959" spans="5:10" hidden="1">
      <c r="F2959" s="682" t="s">
        <v>246</v>
      </c>
      <c r="G2959" s="683" t="s">
        <v>5121</v>
      </c>
      <c r="J2959" s="639">
        <f t="shared" si="97"/>
        <v>0</v>
      </c>
    </row>
    <row r="2960" spans="5:10" hidden="1">
      <c r="F2960" s="682" t="s">
        <v>247</v>
      </c>
      <c r="G2960" s="683" t="s">
        <v>5120</v>
      </c>
      <c r="J2960" s="639">
        <f t="shared" si="97"/>
        <v>0</v>
      </c>
    </row>
    <row r="2961" spans="3:10" hidden="1">
      <c r="F2961" s="682" t="s">
        <v>248</v>
      </c>
      <c r="G2961" s="683" t="s">
        <v>57</v>
      </c>
      <c r="J2961" s="639">
        <f t="shared" si="97"/>
        <v>0</v>
      </c>
    </row>
    <row r="2962" spans="3:10" hidden="1">
      <c r="F2962" s="682" t="s">
        <v>249</v>
      </c>
      <c r="G2962" s="683" t="s">
        <v>250</v>
      </c>
      <c r="J2962" s="639">
        <f t="shared" si="97"/>
        <v>0</v>
      </c>
    </row>
    <row r="2963" spans="3:10" hidden="1">
      <c r="F2963" s="682" t="s">
        <v>251</v>
      </c>
      <c r="G2963" s="683" t="s">
        <v>252</v>
      </c>
      <c r="J2963" s="639">
        <f t="shared" si="97"/>
        <v>0</v>
      </c>
    </row>
    <row r="2964" spans="3:10" hidden="1">
      <c r="F2964" s="682" t="s">
        <v>253</v>
      </c>
      <c r="G2964" s="683" t="s">
        <v>254</v>
      </c>
      <c r="J2964" s="639">
        <f t="shared" si="97"/>
        <v>0</v>
      </c>
    </row>
    <row r="2965" spans="3:10" hidden="1">
      <c r="F2965" s="682" t="s">
        <v>255</v>
      </c>
      <c r="G2965" s="683" t="s">
        <v>256</v>
      </c>
      <c r="J2965" s="639">
        <f t="shared" si="97"/>
        <v>0</v>
      </c>
    </row>
    <row r="2966" spans="3:10" hidden="1">
      <c r="F2966" s="682" t="s">
        <v>257</v>
      </c>
      <c r="G2966" s="683" t="s">
        <v>258</v>
      </c>
      <c r="J2966" s="639">
        <f t="shared" si="97"/>
        <v>0</v>
      </c>
    </row>
    <row r="2967" spans="3:10" hidden="1">
      <c r="F2967" s="682" t="s">
        <v>259</v>
      </c>
      <c r="G2967" s="683" t="s">
        <v>260</v>
      </c>
      <c r="J2967" s="639">
        <f t="shared" si="97"/>
        <v>0</v>
      </c>
    </row>
    <row r="2968" spans="3:10" ht="15.75" hidden="1" thickBot="1">
      <c r="F2968" s="682" t="s">
        <v>261</v>
      </c>
      <c r="G2968" s="683" t="s">
        <v>262</v>
      </c>
      <c r="H2968" s="638"/>
      <c r="I2968" s="639"/>
      <c r="J2968" s="639">
        <f t="shared" si="97"/>
        <v>0</v>
      </c>
    </row>
    <row r="2969" spans="3:10" ht="15" customHeight="1" thickBot="1">
      <c r="G2969" s="274" t="s">
        <v>5198</v>
      </c>
      <c r="H2969" s="640">
        <f>SUM(H2953:H2968)</f>
        <v>1730000</v>
      </c>
      <c r="I2969" s="641">
        <f>SUM(I2954:I2968)</f>
        <v>0</v>
      </c>
      <c r="J2969" s="641">
        <f>SUM(J2953:J2968)</f>
        <v>1730000</v>
      </c>
    </row>
    <row r="2970" spans="3:10" ht="5.25" hidden="1" customHeight="1">
      <c r="G2970" s="331"/>
      <c r="H2970" s="644"/>
      <c r="I2970" s="645"/>
      <c r="J2970" s="645"/>
    </row>
    <row r="2971" spans="3:10">
      <c r="C2971" s="273" t="s">
        <v>4779</v>
      </c>
      <c r="D2971" s="264"/>
      <c r="G2971" s="553" t="s">
        <v>5201</v>
      </c>
    </row>
    <row r="2972" spans="3:10" ht="30">
      <c r="C2972" s="361"/>
      <c r="D2972" s="381" t="s">
        <v>3892</v>
      </c>
      <c r="E2972" s="382"/>
      <c r="F2972" s="380"/>
      <c r="G2972" s="359" t="s">
        <v>4224</v>
      </c>
      <c r="H2972" s="667"/>
      <c r="I2972" s="650"/>
      <c r="J2972" s="668"/>
    </row>
    <row r="2973" spans="3:10" hidden="1">
      <c r="F2973" s="569">
        <v>411</v>
      </c>
      <c r="G2973" s="562" t="s">
        <v>4173</v>
      </c>
      <c r="J2973" s="635">
        <f>SUM(H2973:I2973)</f>
        <v>0</v>
      </c>
    </row>
    <row r="2974" spans="3:10" hidden="1">
      <c r="F2974" s="569">
        <v>412</v>
      </c>
      <c r="G2974" s="558" t="s">
        <v>3770</v>
      </c>
      <c r="J2974" s="635">
        <f t="shared" ref="J2974:J3032" si="98">SUM(H2974:I2974)</f>
        <v>0</v>
      </c>
    </row>
    <row r="2975" spans="3:10" hidden="1">
      <c r="F2975" s="569">
        <v>413</v>
      </c>
      <c r="G2975" s="562" t="s">
        <v>4174</v>
      </c>
      <c r="J2975" s="635">
        <f t="shared" si="98"/>
        <v>0</v>
      </c>
    </row>
    <row r="2976" spans="3:10" hidden="1">
      <c r="F2976" s="569">
        <v>414</v>
      </c>
      <c r="G2976" s="562" t="s">
        <v>3773</v>
      </c>
      <c r="J2976" s="635">
        <f t="shared" si="98"/>
        <v>0</v>
      </c>
    </row>
    <row r="2977" spans="6:10" hidden="1">
      <c r="F2977" s="569">
        <v>415</v>
      </c>
      <c r="G2977" s="562" t="s">
        <v>4183</v>
      </c>
      <c r="J2977" s="635">
        <f t="shared" si="98"/>
        <v>0</v>
      </c>
    </row>
    <row r="2978" spans="6:10" hidden="1">
      <c r="F2978" s="569">
        <v>416</v>
      </c>
      <c r="G2978" s="562" t="s">
        <v>4184</v>
      </c>
      <c r="J2978" s="635">
        <f t="shared" si="98"/>
        <v>0</v>
      </c>
    </row>
    <row r="2979" spans="6:10" hidden="1">
      <c r="F2979" s="569">
        <v>417</v>
      </c>
      <c r="G2979" s="562" t="s">
        <v>4185</v>
      </c>
      <c r="J2979" s="635">
        <f t="shared" si="98"/>
        <v>0</v>
      </c>
    </row>
    <row r="2980" spans="6:10" hidden="1">
      <c r="F2980" s="569">
        <v>418</v>
      </c>
      <c r="G2980" s="562" t="s">
        <v>3779</v>
      </c>
      <c r="J2980" s="635">
        <f t="shared" si="98"/>
        <v>0</v>
      </c>
    </row>
    <row r="2981" spans="6:10" hidden="1">
      <c r="F2981" s="569">
        <v>421</v>
      </c>
      <c r="G2981" s="562" t="s">
        <v>3783</v>
      </c>
      <c r="J2981" s="635">
        <f t="shared" si="98"/>
        <v>0</v>
      </c>
    </row>
    <row r="2982" spans="6:10" hidden="1">
      <c r="F2982" s="569">
        <v>422</v>
      </c>
      <c r="G2982" s="562" t="s">
        <v>3784</v>
      </c>
      <c r="J2982" s="635">
        <f t="shared" si="98"/>
        <v>0</v>
      </c>
    </row>
    <row r="2983" spans="6:10" hidden="1">
      <c r="F2983" s="569">
        <v>423</v>
      </c>
      <c r="G2983" s="562" t="s">
        <v>3785</v>
      </c>
      <c r="J2983" s="635">
        <f t="shared" si="98"/>
        <v>0</v>
      </c>
    </row>
    <row r="2984" spans="6:10" hidden="1">
      <c r="F2984" s="569">
        <v>424</v>
      </c>
      <c r="G2984" s="562" t="s">
        <v>3787</v>
      </c>
      <c r="J2984" s="635">
        <f t="shared" si="98"/>
        <v>0</v>
      </c>
    </row>
    <row r="2985" spans="6:10" hidden="1">
      <c r="F2985" s="569">
        <v>425</v>
      </c>
      <c r="G2985" s="562" t="s">
        <v>4186</v>
      </c>
      <c r="J2985" s="635">
        <f t="shared" si="98"/>
        <v>0</v>
      </c>
    </row>
    <row r="2986" spans="6:10" hidden="1">
      <c r="F2986" s="569">
        <v>426</v>
      </c>
      <c r="G2986" s="562" t="s">
        <v>3791</v>
      </c>
      <c r="J2986" s="635">
        <f t="shared" si="98"/>
        <v>0</v>
      </c>
    </row>
    <row r="2987" spans="6:10" hidden="1">
      <c r="F2987" s="569">
        <v>431</v>
      </c>
      <c r="G2987" s="562" t="s">
        <v>4187</v>
      </c>
      <c r="J2987" s="635">
        <f t="shared" si="98"/>
        <v>0</v>
      </c>
    </row>
    <row r="2988" spans="6:10" hidden="1">
      <c r="F2988" s="569">
        <v>432</v>
      </c>
      <c r="G2988" s="562" t="s">
        <v>4188</v>
      </c>
      <c r="J2988" s="635">
        <f t="shared" si="98"/>
        <v>0</v>
      </c>
    </row>
    <row r="2989" spans="6:10" hidden="1">
      <c r="F2989" s="569">
        <v>433</v>
      </c>
      <c r="G2989" s="562" t="s">
        <v>4189</v>
      </c>
      <c r="J2989" s="635">
        <f t="shared" si="98"/>
        <v>0</v>
      </c>
    </row>
    <row r="2990" spans="6:10" hidden="1">
      <c r="F2990" s="569">
        <v>434</v>
      </c>
      <c r="G2990" s="562" t="s">
        <v>4190</v>
      </c>
      <c r="J2990" s="635">
        <f t="shared" si="98"/>
        <v>0</v>
      </c>
    </row>
    <row r="2991" spans="6:10" hidden="1">
      <c r="F2991" s="569">
        <v>435</v>
      </c>
      <c r="G2991" s="562" t="s">
        <v>3798</v>
      </c>
      <c r="J2991" s="635">
        <f t="shared" si="98"/>
        <v>0</v>
      </c>
    </row>
    <row r="2992" spans="6:10" hidden="1">
      <c r="F2992" s="569">
        <v>441</v>
      </c>
      <c r="G2992" s="562" t="s">
        <v>4191</v>
      </c>
      <c r="J2992" s="635">
        <f t="shared" si="98"/>
        <v>0</v>
      </c>
    </row>
    <row r="2993" spans="5:10" hidden="1">
      <c r="F2993" s="569">
        <v>442</v>
      </c>
      <c r="G2993" s="562" t="s">
        <v>4192</v>
      </c>
      <c r="J2993" s="635">
        <f t="shared" si="98"/>
        <v>0</v>
      </c>
    </row>
    <row r="2994" spans="5:10" hidden="1">
      <c r="F2994" s="569">
        <v>443</v>
      </c>
      <c r="G2994" s="562" t="s">
        <v>3803</v>
      </c>
      <c r="J2994" s="635">
        <f t="shared" si="98"/>
        <v>0</v>
      </c>
    </row>
    <row r="2995" spans="5:10" hidden="1">
      <c r="F2995" s="569">
        <v>444</v>
      </c>
      <c r="G2995" s="562" t="s">
        <v>3804</v>
      </c>
      <c r="J2995" s="635">
        <f t="shared" si="98"/>
        <v>0</v>
      </c>
    </row>
    <row r="2996" spans="5:10" ht="30" hidden="1">
      <c r="F2996" s="569">
        <v>4511</v>
      </c>
      <c r="G2996" s="268" t="s">
        <v>1690</v>
      </c>
      <c r="J2996" s="635">
        <f t="shared" si="98"/>
        <v>0</v>
      </c>
    </row>
    <row r="2997" spans="5:10" ht="30" hidden="1">
      <c r="F2997" s="569">
        <v>4512</v>
      </c>
      <c r="G2997" s="268" t="s">
        <v>1699</v>
      </c>
      <c r="J2997" s="635">
        <f t="shared" si="98"/>
        <v>0</v>
      </c>
    </row>
    <row r="2998" spans="5:10" hidden="1">
      <c r="F2998" s="569">
        <v>452</v>
      </c>
      <c r="G2998" s="562" t="s">
        <v>4193</v>
      </c>
      <c r="J2998" s="635">
        <f t="shared" si="98"/>
        <v>0</v>
      </c>
    </row>
    <row r="2999" spans="5:10" hidden="1">
      <c r="F2999" s="569">
        <v>453</v>
      </c>
      <c r="G2999" s="562" t="s">
        <v>4194</v>
      </c>
      <c r="J2999" s="635">
        <f t="shared" si="98"/>
        <v>0</v>
      </c>
    </row>
    <row r="3000" spans="5:10" hidden="1">
      <c r="F3000" s="569">
        <v>454</v>
      </c>
      <c r="G3000" s="562" t="s">
        <v>3809</v>
      </c>
      <c r="J3000" s="635">
        <f t="shared" si="98"/>
        <v>0</v>
      </c>
    </row>
    <row r="3001" spans="5:10" hidden="1">
      <c r="F3001" s="569">
        <v>461</v>
      </c>
      <c r="G3001" s="562" t="s">
        <v>4175</v>
      </c>
      <c r="J3001" s="635">
        <f t="shared" si="98"/>
        <v>0</v>
      </c>
    </row>
    <row r="3002" spans="5:10" hidden="1">
      <c r="F3002" s="569">
        <v>462</v>
      </c>
      <c r="G3002" s="562" t="s">
        <v>3812</v>
      </c>
      <c r="J3002" s="635">
        <f t="shared" si="98"/>
        <v>0</v>
      </c>
    </row>
    <row r="3003" spans="5:10" hidden="1">
      <c r="F3003" s="569">
        <v>4631</v>
      </c>
      <c r="G3003" s="562" t="s">
        <v>3813</v>
      </c>
      <c r="J3003" s="635">
        <f t="shared" si="98"/>
        <v>0</v>
      </c>
    </row>
    <row r="3004" spans="5:10" hidden="1">
      <c r="F3004" s="569">
        <v>4632</v>
      </c>
      <c r="G3004" s="562" t="s">
        <v>3814</v>
      </c>
      <c r="J3004" s="635">
        <f t="shared" si="98"/>
        <v>0</v>
      </c>
    </row>
    <row r="3005" spans="5:10" hidden="1">
      <c r="F3005" s="569">
        <v>464</v>
      </c>
      <c r="G3005" s="562" t="s">
        <v>3815</v>
      </c>
      <c r="J3005" s="635">
        <f t="shared" si="98"/>
        <v>0</v>
      </c>
    </row>
    <row r="3006" spans="5:10" hidden="1">
      <c r="F3006" s="569">
        <v>465</v>
      </c>
      <c r="G3006" s="562" t="s">
        <v>4176</v>
      </c>
      <c r="J3006" s="635">
        <f t="shared" si="98"/>
        <v>0</v>
      </c>
    </row>
    <row r="3007" spans="5:10" hidden="1">
      <c r="F3007" s="569">
        <v>472</v>
      </c>
      <c r="G3007" s="562" t="s">
        <v>3819</v>
      </c>
      <c r="J3007" s="635">
        <f t="shared" si="98"/>
        <v>0</v>
      </c>
    </row>
    <row r="3008" spans="5:10" ht="15.75" thickBot="1">
      <c r="E3008" s="263">
        <v>64</v>
      </c>
      <c r="F3008" s="569">
        <v>481</v>
      </c>
      <c r="G3008" s="562" t="s">
        <v>4195</v>
      </c>
      <c r="H3008" s="634">
        <v>400000</v>
      </c>
      <c r="J3008" s="635">
        <f t="shared" si="98"/>
        <v>400000</v>
      </c>
    </row>
    <row r="3009" spans="6:10" hidden="1">
      <c r="F3009" s="569">
        <v>482</v>
      </c>
      <c r="G3009" s="562" t="s">
        <v>4196</v>
      </c>
      <c r="J3009" s="635">
        <f t="shared" si="98"/>
        <v>0</v>
      </c>
    </row>
    <row r="3010" spans="6:10" hidden="1">
      <c r="F3010" s="569">
        <v>483</v>
      </c>
      <c r="G3010" s="566" t="s">
        <v>4197</v>
      </c>
      <c r="J3010" s="635">
        <f t="shared" si="98"/>
        <v>0</v>
      </c>
    </row>
    <row r="3011" spans="6:10" ht="30" hidden="1">
      <c r="F3011" s="569">
        <v>484</v>
      </c>
      <c r="G3011" s="562" t="s">
        <v>4198</v>
      </c>
      <c r="J3011" s="635">
        <f t="shared" si="98"/>
        <v>0</v>
      </c>
    </row>
    <row r="3012" spans="6:10" ht="30" hidden="1">
      <c r="F3012" s="569">
        <v>485</v>
      </c>
      <c r="G3012" s="562" t="s">
        <v>4199</v>
      </c>
      <c r="J3012" s="635">
        <f t="shared" si="98"/>
        <v>0</v>
      </c>
    </row>
    <row r="3013" spans="6:10" ht="30" hidden="1">
      <c r="F3013" s="569">
        <v>489</v>
      </c>
      <c r="G3013" s="562" t="s">
        <v>3827</v>
      </c>
      <c r="J3013" s="635">
        <f t="shared" si="98"/>
        <v>0</v>
      </c>
    </row>
    <row r="3014" spans="6:10" hidden="1">
      <c r="F3014" s="569">
        <v>494</v>
      </c>
      <c r="G3014" s="562" t="s">
        <v>4177</v>
      </c>
      <c r="J3014" s="635">
        <f t="shared" si="98"/>
        <v>0</v>
      </c>
    </row>
    <row r="3015" spans="6:10" ht="30" hidden="1">
      <c r="F3015" s="569">
        <v>495</v>
      </c>
      <c r="G3015" s="562" t="s">
        <v>4178</v>
      </c>
      <c r="J3015" s="635">
        <f t="shared" si="98"/>
        <v>0</v>
      </c>
    </row>
    <row r="3016" spans="6:10" ht="30" hidden="1">
      <c r="F3016" s="569">
        <v>496</v>
      </c>
      <c r="G3016" s="562" t="s">
        <v>4179</v>
      </c>
      <c r="J3016" s="635">
        <f t="shared" si="98"/>
        <v>0</v>
      </c>
    </row>
    <row r="3017" spans="6:10" hidden="1">
      <c r="F3017" s="569">
        <v>499</v>
      </c>
      <c r="G3017" s="562" t="s">
        <v>4180</v>
      </c>
      <c r="J3017" s="635">
        <f t="shared" si="98"/>
        <v>0</v>
      </c>
    </row>
    <row r="3018" spans="6:10" hidden="1">
      <c r="F3018" s="569">
        <v>511</v>
      </c>
      <c r="G3018" s="566" t="s">
        <v>4200</v>
      </c>
      <c r="J3018" s="635">
        <f t="shared" si="98"/>
        <v>0</v>
      </c>
    </row>
    <row r="3019" spans="6:10" hidden="1">
      <c r="F3019" s="569">
        <v>512</v>
      </c>
      <c r="G3019" s="566" t="s">
        <v>4201</v>
      </c>
      <c r="J3019" s="635">
        <f t="shared" si="98"/>
        <v>0</v>
      </c>
    </row>
    <row r="3020" spans="6:10" hidden="1">
      <c r="F3020" s="569">
        <v>513</v>
      </c>
      <c r="G3020" s="566" t="s">
        <v>4202</v>
      </c>
      <c r="J3020" s="635">
        <f t="shared" si="98"/>
        <v>0</v>
      </c>
    </row>
    <row r="3021" spans="6:10" hidden="1">
      <c r="F3021" s="569">
        <v>514</v>
      </c>
      <c r="G3021" s="562" t="s">
        <v>4203</v>
      </c>
      <c r="J3021" s="635">
        <f t="shared" si="98"/>
        <v>0</v>
      </c>
    </row>
    <row r="3022" spans="6:10" hidden="1">
      <c r="F3022" s="569">
        <v>515</v>
      </c>
      <c r="G3022" s="562" t="s">
        <v>3838</v>
      </c>
      <c r="J3022" s="635">
        <f t="shared" si="98"/>
        <v>0</v>
      </c>
    </row>
    <row r="3023" spans="6:10" hidden="1">
      <c r="F3023" s="569">
        <v>521</v>
      </c>
      <c r="G3023" s="562" t="s">
        <v>4204</v>
      </c>
      <c r="J3023" s="635">
        <f t="shared" si="98"/>
        <v>0</v>
      </c>
    </row>
    <row r="3024" spans="6:10" hidden="1">
      <c r="F3024" s="569">
        <v>522</v>
      </c>
      <c r="G3024" s="562" t="s">
        <v>4205</v>
      </c>
      <c r="J3024" s="635">
        <f t="shared" si="98"/>
        <v>0</v>
      </c>
    </row>
    <row r="3025" spans="5:10" hidden="1">
      <c r="F3025" s="569">
        <v>523</v>
      </c>
      <c r="G3025" s="562" t="s">
        <v>3843</v>
      </c>
      <c r="J3025" s="635">
        <f t="shared" si="98"/>
        <v>0</v>
      </c>
    </row>
    <row r="3026" spans="5:10" hidden="1">
      <c r="F3026" s="569">
        <v>531</v>
      </c>
      <c r="G3026" s="558" t="s">
        <v>4181</v>
      </c>
      <c r="J3026" s="635">
        <f t="shared" si="98"/>
        <v>0</v>
      </c>
    </row>
    <row r="3027" spans="5:10" hidden="1">
      <c r="F3027" s="569">
        <v>541</v>
      </c>
      <c r="G3027" s="562" t="s">
        <v>4206</v>
      </c>
      <c r="J3027" s="635">
        <f t="shared" si="98"/>
        <v>0</v>
      </c>
    </row>
    <row r="3028" spans="5:10" hidden="1">
      <c r="F3028" s="569">
        <v>542</v>
      </c>
      <c r="G3028" s="562" t="s">
        <v>4207</v>
      </c>
      <c r="J3028" s="635">
        <f t="shared" si="98"/>
        <v>0</v>
      </c>
    </row>
    <row r="3029" spans="5:10" hidden="1">
      <c r="F3029" s="569">
        <v>543</v>
      </c>
      <c r="G3029" s="562" t="s">
        <v>3848</v>
      </c>
      <c r="J3029" s="635">
        <f t="shared" si="98"/>
        <v>0</v>
      </c>
    </row>
    <row r="3030" spans="5:10" ht="30" hidden="1">
      <c r="F3030" s="569">
        <v>551</v>
      </c>
      <c r="G3030" s="562" t="s">
        <v>4182</v>
      </c>
      <c r="J3030" s="635">
        <f t="shared" si="98"/>
        <v>0</v>
      </c>
    </row>
    <row r="3031" spans="5:10" hidden="1">
      <c r="F3031" s="570">
        <v>611</v>
      </c>
      <c r="G3031" s="568" t="s">
        <v>3854</v>
      </c>
      <c r="J3031" s="635">
        <f t="shared" si="98"/>
        <v>0</v>
      </c>
    </row>
    <row r="3032" spans="5:10" ht="15.75" hidden="1" thickBot="1">
      <c r="F3032" s="570">
        <v>620</v>
      </c>
      <c r="G3032" s="568" t="s">
        <v>88</v>
      </c>
      <c r="J3032" s="635">
        <f t="shared" si="98"/>
        <v>0</v>
      </c>
    </row>
    <row r="3033" spans="5:10">
      <c r="E3033" s="559"/>
      <c r="F3033" s="570"/>
      <c r="G3033" s="371" t="s">
        <v>4370</v>
      </c>
      <c r="H3033" s="636"/>
      <c r="I3033" s="662"/>
      <c r="J3033" s="637"/>
    </row>
    <row r="3034" spans="5:10" ht="15.75" thickBot="1">
      <c r="E3034" s="267"/>
      <c r="F3034" s="682" t="s">
        <v>234</v>
      </c>
      <c r="G3034" s="683" t="s">
        <v>235</v>
      </c>
      <c r="H3034" s="638">
        <f>SUM(H3008)</f>
        <v>400000</v>
      </c>
      <c r="I3034" s="639"/>
      <c r="J3034" s="639">
        <f>SUM(H3034:I3034)</f>
        <v>400000</v>
      </c>
    </row>
    <row r="3035" spans="5:10" hidden="1">
      <c r="F3035" s="682" t="s">
        <v>236</v>
      </c>
      <c r="G3035" s="683" t="s">
        <v>237</v>
      </c>
      <c r="J3035" s="639">
        <f t="shared" ref="J3035:J3049" si="99">SUM(H3035:I3035)</f>
        <v>0</v>
      </c>
    </row>
    <row r="3036" spans="5:10" hidden="1">
      <c r="F3036" s="682" t="s">
        <v>238</v>
      </c>
      <c r="G3036" s="683" t="s">
        <v>239</v>
      </c>
      <c r="J3036" s="639">
        <f t="shared" si="99"/>
        <v>0</v>
      </c>
    </row>
    <row r="3037" spans="5:10" hidden="1">
      <c r="F3037" s="682" t="s">
        <v>240</v>
      </c>
      <c r="G3037" s="683" t="s">
        <v>241</v>
      </c>
      <c r="J3037" s="639">
        <f t="shared" si="99"/>
        <v>0</v>
      </c>
    </row>
    <row r="3038" spans="5:10" hidden="1">
      <c r="F3038" s="682" t="s">
        <v>242</v>
      </c>
      <c r="G3038" s="683" t="s">
        <v>243</v>
      </c>
      <c r="J3038" s="639">
        <f t="shared" si="99"/>
        <v>0</v>
      </c>
    </row>
    <row r="3039" spans="5:10" hidden="1">
      <c r="F3039" s="682" t="s">
        <v>244</v>
      </c>
      <c r="G3039" s="683" t="s">
        <v>245</v>
      </c>
      <c r="J3039" s="639">
        <f t="shared" si="99"/>
        <v>0</v>
      </c>
    </row>
    <row r="3040" spans="5:10" hidden="1">
      <c r="F3040" s="682" t="s">
        <v>246</v>
      </c>
      <c r="G3040" s="683" t="s">
        <v>5121</v>
      </c>
      <c r="J3040" s="639">
        <f t="shared" si="99"/>
        <v>0</v>
      </c>
    </row>
    <row r="3041" spans="5:10" hidden="1">
      <c r="F3041" s="682" t="s">
        <v>247</v>
      </c>
      <c r="G3041" s="683" t="s">
        <v>5120</v>
      </c>
      <c r="J3041" s="639">
        <f t="shared" si="99"/>
        <v>0</v>
      </c>
    </row>
    <row r="3042" spans="5:10" hidden="1">
      <c r="F3042" s="682" t="s">
        <v>248</v>
      </c>
      <c r="G3042" s="683" t="s">
        <v>57</v>
      </c>
      <c r="J3042" s="639">
        <f t="shared" si="99"/>
        <v>0</v>
      </c>
    </row>
    <row r="3043" spans="5:10" hidden="1">
      <c r="F3043" s="682" t="s">
        <v>249</v>
      </c>
      <c r="G3043" s="683" t="s">
        <v>250</v>
      </c>
      <c r="J3043" s="639">
        <f t="shared" si="99"/>
        <v>0</v>
      </c>
    </row>
    <row r="3044" spans="5:10" hidden="1">
      <c r="F3044" s="682" t="s">
        <v>251</v>
      </c>
      <c r="G3044" s="683" t="s">
        <v>252</v>
      </c>
      <c r="J3044" s="639">
        <f t="shared" si="99"/>
        <v>0</v>
      </c>
    </row>
    <row r="3045" spans="5:10" hidden="1">
      <c r="F3045" s="682" t="s">
        <v>253</v>
      </c>
      <c r="G3045" s="683" t="s">
        <v>254</v>
      </c>
      <c r="J3045" s="639">
        <f t="shared" si="99"/>
        <v>0</v>
      </c>
    </row>
    <row r="3046" spans="5:10" hidden="1">
      <c r="F3046" s="682" t="s">
        <v>255</v>
      </c>
      <c r="G3046" s="683" t="s">
        <v>256</v>
      </c>
      <c r="J3046" s="639">
        <f t="shared" si="99"/>
        <v>0</v>
      </c>
    </row>
    <row r="3047" spans="5:10" hidden="1">
      <c r="F3047" s="682" t="s">
        <v>257</v>
      </c>
      <c r="G3047" s="683" t="s">
        <v>258</v>
      </c>
      <c r="J3047" s="639">
        <f t="shared" si="99"/>
        <v>0</v>
      </c>
    </row>
    <row r="3048" spans="5:10" hidden="1">
      <c r="F3048" s="682" t="s">
        <v>259</v>
      </c>
      <c r="G3048" s="683" t="s">
        <v>260</v>
      </c>
      <c r="J3048" s="639">
        <f t="shared" si="99"/>
        <v>0</v>
      </c>
    </row>
    <row r="3049" spans="5:10" ht="15.75" hidden="1" thickBot="1">
      <c r="F3049" s="682" t="s">
        <v>261</v>
      </c>
      <c r="G3049" s="683" t="s">
        <v>262</v>
      </c>
      <c r="H3049" s="638"/>
      <c r="I3049" s="639"/>
      <c r="J3049" s="639">
        <f t="shared" si="99"/>
        <v>0</v>
      </c>
    </row>
    <row r="3050" spans="5:10" ht="15.75" thickBot="1">
      <c r="G3050" s="274" t="s">
        <v>4371</v>
      </c>
      <c r="H3050" s="640">
        <f>SUM(H3034:H3049)</f>
        <v>400000</v>
      </c>
      <c r="I3050" s="641">
        <f>SUM(I3035:I3049)</f>
        <v>0</v>
      </c>
      <c r="J3050" s="641">
        <f>SUM(J3034:J3049)</f>
        <v>400000</v>
      </c>
    </row>
    <row r="3051" spans="5:10">
      <c r="E3051" s="559"/>
      <c r="F3051" s="570"/>
      <c r="G3051" s="276" t="s">
        <v>5199</v>
      </c>
      <c r="H3051" s="642"/>
      <c r="I3051" s="663"/>
      <c r="J3051" s="643"/>
    </row>
    <row r="3052" spans="5:10" ht="15.75" thickBot="1">
      <c r="E3052" s="267"/>
      <c r="F3052" s="682" t="s">
        <v>234</v>
      </c>
      <c r="G3052" s="683" t="s">
        <v>235</v>
      </c>
      <c r="H3052" s="638">
        <f>SUM(H2973:H3032)</f>
        <v>400000</v>
      </c>
      <c r="I3052" s="639"/>
      <c r="J3052" s="639">
        <f>SUM(H3052:I3052)</f>
        <v>400000</v>
      </c>
    </row>
    <row r="3053" spans="5:10" hidden="1">
      <c r="F3053" s="682" t="s">
        <v>236</v>
      </c>
      <c r="G3053" s="683" t="s">
        <v>237</v>
      </c>
      <c r="J3053" s="639">
        <f t="shared" ref="J3053:J3067" si="100">SUM(H3053:I3053)</f>
        <v>0</v>
      </c>
    </row>
    <row r="3054" spans="5:10" hidden="1">
      <c r="F3054" s="682" t="s">
        <v>238</v>
      </c>
      <c r="G3054" s="683" t="s">
        <v>239</v>
      </c>
      <c r="J3054" s="639">
        <f t="shared" si="100"/>
        <v>0</v>
      </c>
    </row>
    <row r="3055" spans="5:10" hidden="1">
      <c r="F3055" s="682" t="s">
        <v>240</v>
      </c>
      <c r="G3055" s="683" t="s">
        <v>241</v>
      </c>
      <c r="J3055" s="639">
        <f t="shared" si="100"/>
        <v>0</v>
      </c>
    </row>
    <row r="3056" spans="5:10" hidden="1">
      <c r="F3056" s="682" t="s">
        <v>242</v>
      </c>
      <c r="G3056" s="683" t="s">
        <v>243</v>
      </c>
      <c r="J3056" s="639">
        <f t="shared" si="100"/>
        <v>0</v>
      </c>
    </row>
    <row r="3057" spans="1:25" hidden="1">
      <c r="F3057" s="682" t="s">
        <v>244</v>
      </c>
      <c r="G3057" s="683" t="s">
        <v>245</v>
      </c>
      <c r="J3057" s="639">
        <f t="shared" si="100"/>
        <v>0</v>
      </c>
    </row>
    <row r="3058" spans="1:25" hidden="1">
      <c r="F3058" s="682" t="s">
        <v>246</v>
      </c>
      <c r="G3058" s="683" t="s">
        <v>5121</v>
      </c>
      <c r="J3058" s="639">
        <f t="shared" si="100"/>
        <v>0</v>
      </c>
    </row>
    <row r="3059" spans="1:25" hidden="1">
      <c r="F3059" s="682" t="s">
        <v>247</v>
      </c>
      <c r="G3059" s="683" t="s">
        <v>5120</v>
      </c>
      <c r="J3059" s="639">
        <f t="shared" si="100"/>
        <v>0</v>
      </c>
    </row>
    <row r="3060" spans="1:25" hidden="1">
      <c r="F3060" s="682" t="s">
        <v>248</v>
      </c>
      <c r="G3060" s="683" t="s">
        <v>57</v>
      </c>
      <c r="J3060" s="639">
        <f t="shared" si="100"/>
        <v>0</v>
      </c>
    </row>
    <row r="3061" spans="1:25" hidden="1">
      <c r="F3061" s="682" t="s">
        <v>249</v>
      </c>
      <c r="G3061" s="683" t="s">
        <v>250</v>
      </c>
      <c r="J3061" s="639">
        <f t="shared" si="100"/>
        <v>0</v>
      </c>
    </row>
    <row r="3062" spans="1:25" hidden="1">
      <c r="F3062" s="682" t="s">
        <v>251</v>
      </c>
      <c r="G3062" s="683" t="s">
        <v>252</v>
      </c>
      <c r="J3062" s="639">
        <f t="shared" si="100"/>
        <v>0</v>
      </c>
    </row>
    <row r="3063" spans="1:25" hidden="1">
      <c r="F3063" s="682" t="s">
        <v>253</v>
      </c>
      <c r="G3063" s="683" t="s">
        <v>254</v>
      </c>
      <c r="J3063" s="639">
        <f t="shared" si="100"/>
        <v>0</v>
      </c>
    </row>
    <row r="3064" spans="1:25" hidden="1">
      <c r="F3064" s="682" t="s">
        <v>255</v>
      </c>
      <c r="G3064" s="683" t="s">
        <v>256</v>
      </c>
      <c r="J3064" s="639">
        <f t="shared" si="100"/>
        <v>0</v>
      </c>
    </row>
    <row r="3065" spans="1:25" hidden="1">
      <c r="F3065" s="682" t="s">
        <v>257</v>
      </c>
      <c r="G3065" s="683" t="s">
        <v>258</v>
      </c>
      <c r="J3065" s="639">
        <f t="shared" si="100"/>
        <v>0</v>
      </c>
    </row>
    <row r="3066" spans="1:25" hidden="1">
      <c r="F3066" s="682" t="s">
        <v>259</v>
      </c>
      <c r="G3066" s="683" t="s">
        <v>260</v>
      </c>
      <c r="J3066" s="639">
        <f t="shared" si="100"/>
        <v>0</v>
      </c>
    </row>
    <row r="3067" spans="1:25" ht="15.75" hidden="1" thickBot="1">
      <c r="F3067" s="682" t="s">
        <v>261</v>
      </c>
      <c r="G3067" s="683" t="s">
        <v>262</v>
      </c>
      <c r="H3067" s="638"/>
      <c r="I3067" s="639"/>
      <c r="J3067" s="639">
        <f t="shared" si="100"/>
        <v>0</v>
      </c>
    </row>
    <row r="3068" spans="1:25" ht="15.75" thickBot="1">
      <c r="G3068" s="274" t="s">
        <v>5200</v>
      </c>
      <c r="H3068" s="640">
        <f>SUM(H3052:H3067)</f>
        <v>400000</v>
      </c>
      <c r="I3068" s="641">
        <f>SUM(I3053:I3067)</f>
        <v>0</v>
      </c>
      <c r="J3068" s="641">
        <f>SUM(J3052:J3067)</f>
        <v>400000</v>
      </c>
    </row>
    <row r="3069" spans="1:25" hidden="1">
      <c r="G3069" s="331"/>
      <c r="H3069" s="644"/>
      <c r="I3069" s="645"/>
      <c r="J3069" s="645"/>
    </row>
    <row r="3070" spans="1:25" hidden="1">
      <c r="G3070" s="331"/>
      <c r="H3070" s="644"/>
      <c r="I3070" s="645"/>
      <c r="J3070" s="645"/>
    </row>
    <row r="3071" spans="1:25" hidden="1">
      <c r="G3071" s="331"/>
      <c r="H3071" s="644"/>
      <c r="I3071" s="645"/>
      <c r="J3071" s="645"/>
    </row>
    <row r="3072" spans="1:25" s="88" customFormat="1" hidden="1">
      <c r="A3072" s="306"/>
      <c r="B3072" s="301"/>
      <c r="C3072" s="361"/>
      <c r="D3072" s="296"/>
      <c r="E3072" s="296"/>
      <c r="F3072" s="302"/>
      <c r="G3072" s="339"/>
      <c r="H3072" s="667"/>
      <c r="I3072" s="650"/>
      <c r="J3072" s="668"/>
      <c r="K3072" s="575"/>
      <c r="L3072" s="575"/>
      <c r="M3072" s="575"/>
      <c r="N3072" s="575"/>
      <c r="O3072" s="575"/>
      <c r="P3072" s="575"/>
      <c r="Q3072" s="575"/>
      <c r="R3072" s="575"/>
      <c r="S3072" s="575"/>
      <c r="T3072" s="575"/>
      <c r="U3072" s="575"/>
      <c r="V3072" s="575"/>
      <c r="W3072" s="575"/>
      <c r="X3072" s="575"/>
      <c r="Y3072" s="575"/>
    </row>
    <row r="3073" spans="1:25" s="88" customFormat="1">
      <c r="A3073" s="306"/>
      <c r="B3073" s="301"/>
      <c r="C3073" s="361"/>
      <c r="D3073" s="296"/>
      <c r="E3073" s="296"/>
      <c r="F3073" s="309"/>
      <c r="G3073" s="295" t="s">
        <v>4258</v>
      </c>
      <c r="H3073" s="646"/>
      <c r="I3073" s="664"/>
      <c r="J3073" s="647"/>
      <c r="K3073" s="575"/>
      <c r="L3073" s="575"/>
      <c r="M3073" s="575"/>
      <c r="N3073" s="575"/>
      <c r="O3073" s="575"/>
      <c r="P3073" s="575"/>
      <c r="Q3073" s="575"/>
      <c r="R3073" s="575"/>
      <c r="S3073" s="575"/>
      <c r="T3073" s="575"/>
      <c r="U3073" s="575"/>
      <c r="V3073" s="575"/>
      <c r="W3073" s="575"/>
      <c r="X3073" s="575"/>
      <c r="Y3073" s="575"/>
    </row>
    <row r="3074" spans="1:25" s="88" customFormat="1" ht="15.75" thickBot="1">
      <c r="A3074" s="306"/>
      <c r="B3074" s="301"/>
      <c r="C3074" s="361"/>
      <c r="D3074" s="296"/>
      <c r="E3074" s="296"/>
      <c r="F3074" s="294" t="s">
        <v>234</v>
      </c>
      <c r="G3074" s="297" t="s">
        <v>235</v>
      </c>
      <c r="H3074" s="638">
        <f>SUM(H3068,H2969,H2870,H2771,H2761,H2650,H2551)</f>
        <v>7431000</v>
      </c>
      <c r="I3074" s="639"/>
      <c r="J3074" s="639">
        <f>SUM(H3074:I3074)</f>
        <v>7431000</v>
      </c>
      <c r="K3074" s="575"/>
      <c r="L3074" s="575"/>
      <c r="M3074" s="575"/>
      <c r="N3074" s="575"/>
      <c r="O3074" s="575"/>
      <c r="P3074" s="575"/>
      <c r="Q3074" s="575"/>
      <c r="R3074" s="575"/>
      <c r="S3074" s="575"/>
      <c r="T3074" s="575"/>
      <c r="U3074" s="575"/>
      <c r="V3074" s="575"/>
      <c r="W3074" s="575"/>
      <c r="X3074" s="575"/>
      <c r="Y3074" s="575"/>
    </row>
    <row r="3075" spans="1:25" s="88" customFormat="1" ht="15.75" hidden="1" thickBot="1">
      <c r="A3075" s="306"/>
      <c r="B3075" s="301"/>
      <c r="C3075" s="361"/>
      <c r="D3075" s="296"/>
      <c r="E3075" s="296"/>
      <c r="F3075" s="294" t="s">
        <v>236</v>
      </c>
      <c r="G3075" s="297" t="s">
        <v>237</v>
      </c>
      <c r="H3075" s="634"/>
      <c r="I3075" s="635"/>
      <c r="J3075" s="639">
        <f t="shared" ref="J3075:J3089" si="101">SUM(H3075:I3075)</f>
        <v>0</v>
      </c>
      <c r="K3075" s="575"/>
      <c r="L3075" s="575"/>
      <c r="M3075" s="575"/>
      <c r="N3075" s="575"/>
      <c r="O3075" s="575"/>
      <c r="P3075" s="575"/>
      <c r="Q3075" s="575"/>
      <c r="R3075" s="575"/>
      <c r="S3075" s="575"/>
      <c r="T3075" s="575"/>
      <c r="U3075" s="575"/>
      <c r="V3075" s="575"/>
      <c r="W3075" s="575"/>
      <c r="X3075" s="575"/>
      <c r="Y3075" s="575"/>
    </row>
    <row r="3076" spans="1:25" s="88" customFormat="1" ht="15.75" hidden="1" thickBot="1">
      <c r="A3076" s="306"/>
      <c r="B3076" s="301"/>
      <c r="C3076" s="361"/>
      <c r="D3076" s="296"/>
      <c r="E3076" s="296"/>
      <c r="F3076" s="294" t="s">
        <v>238</v>
      </c>
      <c r="G3076" s="297" t="s">
        <v>239</v>
      </c>
      <c r="H3076" s="634"/>
      <c r="I3076" s="635"/>
      <c r="J3076" s="639">
        <f t="shared" si="101"/>
        <v>0</v>
      </c>
      <c r="K3076" s="575"/>
      <c r="L3076" s="575"/>
      <c r="M3076" s="575"/>
      <c r="N3076" s="575"/>
      <c r="O3076" s="575"/>
      <c r="P3076" s="575"/>
      <c r="Q3076" s="575"/>
      <c r="R3076" s="575"/>
      <c r="S3076" s="575"/>
      <c r="T3076" s="575"/>
      <c r="U3076" s="575"/>
      <c r="V3076" s="575"/>
      <c r="W3076" s="575"/>
      <c r="X3076" s="575"/>
      <c r="Y3076" s="575"/>
    </row>
    <row r="3077" spans="1:25" s="88" customFormat="1" ht="15.75" hidden="1" thickBot="1">
      <c r="A3077" s="306"/>
      <c r="B3077" s="301"/>
      <c r="C3077" s="361"/>
      <c r="D3077" s="296"/>
      <c r="E3077" s="296"/>
      <c r="F3077" s="294" t="s">
        <v>240</v>
      </c>
      <c r="G3077" s="297" t="s">
        <v>241</v>
      </c>
      <c r="H3077" s="634"/>
      <c r="I3077" s="635"/>
      <c r="J3077" s="639">
        <f t="shared" si="101"/>
        <v>0</v>
      </c>
      <c r="K3077" s="575"/>
      <c r="L3077" s="575"/>
      <c r="M3077" s="575"/>
      <c r="N3077" s="575"/>
      <c r="O3077" s="575"/>
      <c r="P3077" s="575"/>
      <c r="Q3077" s="575"/>
      <c r="R3077" s="575"/>
      <c r="S3077" s="575"/>
      <c r="T3077" s="575"/>
      <c r="U3077" s="575"/>
      <c r="V3077" s="575"/>
      <c r="W3077" s="575"/>
      <c r="X3077" s="575"/>
      <c r="Y3077" s="575"/>
    </row>
    <row r="3078" spans="1:25" s="88" customFormat="1" ht="15.75" hidden="1" thickBot="1">
      <c r="A3078" s="306"/>
      <c r="B3078" s="301"/>
      <c r="C3078" s="361"/>
      <c r="D3078" s="296"/>
      <c r="E3078" s="296"/>
      <c r="F3078" s="294" t="s">
        <v>242</v>
      </c>
      <c r="G3078" s="297" t="s">
        <v>243</v>
      </c>
      <c r="H3078" s="634"/>
      <c r="I3078" s="635"/>
      <c r="J3078" s="639">
        <f t="shared" si="101"/>
        <v>0</v>
      </c>
      <c r="K3078" s="575"/>
      <c r="L3078" s="575"/>
      <c r="M3078" s="575"/>
      <c r="N3078" s="575"/>
      <c r="O3078" s="575"/>
      <c r="P3078" s="575"/>
      <c r="Q3078" s="575"/>
      <c r="R3078" s="575"/>
      <c r="S3078" s="575"/>
      <c r="T3078" s="575"/>
      <c r="U3078" s="575"/>
      <c r="V3078" s="575"/>
      <c r="W3078" s="575"/>
      <c r="X3078" s="575"/>
      <c r="Y3078" s="575"/>
    </row>
    <row r="3079" spans="1:25" s="88" customFormat="1" ht="15.75" hidden="1" thickBot="1">
      <c r="A3079" s="306"/>
      <c r="B3079" s="301"/>
      <c r="C3079" s="361"/>
      <c r="D3079" s="296"/>
      <c r="E3079" s="296"/>
      <c r="F3079" s="294" t="s">
        <v>244</v>
      </c>
      <c r="G3079" s="297" t="s">
        <v>245</v>
      </c>
      <c r="H3079" s="634"/>
      <c r="I3079" s="635"/>
      <c r="J3079" s="639">
        <f t="shared" si="101"/>
        <v>0</v>
      </c>
      <c r="K3079" s="575"/>
      <c r="L3079" s="575"/>
      <c r="M3079" s="575"/>
      <c r="N3079" s="575"/>
      <c r="O3079" s="575"/>
      <c r="P3079" s="575"/>
      <c r="Q3079" s="575"/>
      <c r="R3079" s="575"/>
      <c r="S3079" s="575"/>
      <c r="T3079" s="575"/>
      <c r="U3079" s="575"/>
      <c r="V3079" s="575"/>
      <c r="W3079" s="575"/>
      <c r="X3079" s="575"/>
      <c r="Y3079" s="575"/>
    </row>
    <row r="3080" spans="1:25" s="88" customFormat="1" ht="15.75" hidden="1" thickBot="1">
      <c r="A3080" s="306"/>
      <c r="B3080" s="301"/>
      <c r="C3080" s="361"/>
      <c r="D3080" s="296"/>
      <c r="E3080" s="296"/>
      <c r="F3080" s="294" t="s">
        <v>246</v>
      </c>
      <c r="G3080" s="683" t="s">
        <v>5121</v>
      </c>
      <c r="H3080" s="634"/>
      <c r="I3080" s="635"/>
      <c r="J3080" s="639">
        <f t="shared" si="101"/>
        <v>0</v>
      </c>
      <c r="K3080" s="575"/>
      <c r="L3080" s="575"/>
      <c r="M3080" s="575"/>
      <c r="N3080" s="575"/>
      <c r="O3080" s="575"/>
      <c r="P3080" s="575"/>
      <c r="Q3080" s="575"/>
      <c r="R3080" s="575"/>
      <c r="S3080" s="575"/>
      <c r="T3080" s="575"/>
      <c r="U3080" s="575"/>
      <c r="V3080" s="575"/>
      <c r="W3080" s="575"/>
      <c r="X3080" s="575"/>
      <c r="Y3080" s="575"/>
    </row>
    <row r="3081" spans="1:25" s="88" customFormat="1" ht="15.75" hidden="1" thickBot="1">
      <c r="A3081" s="306"/>
      <c r="B3081" s="301"/>
      <c r="C3081" s="361"/>
      <c r="D3081" s="296"/>
      <c r="E3081" s="296"/>
      <c r="F3081" s="294" t="s">
        <v>247</v>
      </c>
      <c r="G3081" s="683" t="s">
        <v>5120</v>
      </c>
      <c r="H3081" s="634"/>
      <c r="I3081" s="635"/>
      <c r="J3081" s="639">
        <f t="shared" si="101"/>
        <v>0</v>
      </c>
      <c r="K3081" s="575"/>
      <c r="L3081" s="575"/>
      <c r="M3081" s="575"/>
      <c r="N3081" s="575"/>
      <c r="O3081" s="575"/>
      <c r="P3081" s="575"/>
      <c r="Q3081" s="575"/>
      <c r="R3081" s="575"/>
      <c r="S3081" s="575"/>
      <c r="T3081" s="575"/>
      <c r="U3081" s="575"/>
      <c r="V3081" s="575"/>
      <c r="W3081" s="575"/>
      <c r="X3081" s="575"/>
      <c r="Y3081" s="575"/>
    </row>
    <row r="3082" spans="1:25" s="88" customFormat="1" ht="15.75" hidden="1" thickBot="1">
      <c r="A3082" s="306"/>
      <c r="B3082" s="301"/>
      <c r="C3082" s="361"/>
      <c r="D3082" s="296"/>
      <c r="E3082" s="296"/>
      <c r="F3082" s="294" t="s">
        <v>248</v>
      </c>
      <c r="G3082" s="297" t="s">
        <v>57</v>
      </c>
      <c r="H3082" s="634"/>
      <c r="I3082" s="635"/>
      <c r="J3082" s="639">
        <f t="shared" si="101"/>
        <v>0</v>
      </c>
      <c r="K3082" s="575"/>
      <c r="L3082" s="575"/>
      <c r="M3082" s="575"/>
      <c r="N3082" s="575"/>
      <c r="O3082" s="575"/>
      <c r="P3082" s="575"/>
      <c r="Q3082" s="575"/>
      <c r="R3082" s="575"/>
      <c r="S3082" s="575"/>
      <c r="T3082" s="575"/>
      <c r="U3082" s="575"/>
      <c r="V3082" s="575"/>
      <c r="W3082" s="575"/>
      <c r="X3082" s="575"/>
      <c r="Y3082" s="575"/>
    </row>
    <row r="3083" spans="1:25" s="88" customFormat="1" ht="15.75" hidden="1" thickBot="1">
      <c r="A3083" s="306"/>
      <c r="B3083" s="301"/>
      <c r="C3083" s="361"/>
      <c r="D3083" s="296"/>
      <c r="E3083" s="296"/>
      <c r="F3083" s="294" t="s">
        <v>249</v>
      </c>
      <c r="G3083" s="297" t="s">
        <v>250</v>
      </c>
      <c r="H3083" s="634"/>
      <c r="I3083" s="635"/>
      <c r="J3083" s="639">
        <f t="shared" si="101"/>
        <v>0</v>
      </c>
      <c r="K3083" s="575"/>
      <c r="L3083" s="575"/>
      <c r="M3083" s="575"/>
      <c r="N3083" s="575"/>
      <c r="O3083" s="575"/>
      <c r="P3083" s="575"/>
      <c r="Q3083" s="575"/>
      <c r="R3083" s="575"/>
      <c r="S3083" s="575"/>
      <c r="T3083" s="575"/>
      <c r="U3083" s="575"/>
      <c r="V3083" s="575"/>
      <c r="W3083" s="575"/>
      <c r="X3083" s="575"/>
      <c r="Y3083" s="575"/>
    </row>
    <row r="3084" spans="1:25" s="88" customFormat="1" ht="15.75" hidden="1" thickBot="1">
      <c r="A3084" s="306"/>
      <c r="B3084" s="301"/>
      <c r="C3084" s="361"/>
      <c r="D3084" s="296"/>
      <c r="E3084" s="296"/>
      <c r="F3084" s="294" t="s">
        <v>251</v>
      </c>
      <c r="G3084" s="297" t="s">
        <v>252</v>
      </c>
      <c r="H3084" s="634"/>
      <c r="I3084" s="635"/>
      <c r="J3084" s="639">
        <f t="shared" si="101"/>
        <v>0</v>
      </c>
      <c r="K3084" s="575"/>
      <c r="L3084" s="575"/>
      <c r="M3084" s="575"/>
      <c r="N3084" s="575"/>
      <c r="O3084" s="575"/>
      <c r="P3084" s="575"/>
      <c r="Q3084" s="575"/>
      <c r="R3084" s="575"/>
      <c r="S3084" s="575"/>
      <c r="T3084" s="575"/>
      <c r="U3084" s="575"/>
      <c r="V3084" s="575"/>
      <c r="W3084" s="575"/>
      <c r="X3084" s="575"/>
      <c r="Y3084" s="575"/>
    </row>
    <row r="3085" spans="1:25" s="88" customFormat="1" ht="15.75" hidden="1" thickBot="1">
      <c r="A3085" s="306"/>
      <c r="B3085" s="301"/>
      <c r="C3085" s="361"/>
      <c r="D3085" s="296"/>
      <c r="E3085" s="296"/>
      <c r="F3085" s="294" t="s">
        <v>253</v>
      </c>
      <c r="G3085" s="297" t="s">
        <v>254</v>
      </c>
      <c r="H3085" s="634"/>
      <c r="I3085" s="635"/>
      <c r="J3085" s="639">
        <f t="shared" si="101"/>
        <v>0</v>
      </c>
      <c r="K3085" s="575"/>
      <c r="L3085" s="575"/>
      <c r="M3085" s="575"/>
      <c r="N3085" s="575"/>
      <c r="O3085" s="575"/>
      <c r="P3085" s="575"/>
      <c r="Q3085" s="575"/>
      <c r="R3085" s="575"/>
      <c r="S3085" s="575"/>
      <c r="T3085" s="575"/>
      <c r="U3085" s="575"/>
      <c r="V3085" s="575"/>
      <c r="W3085" s="575"/>
      <c r="X3085" s="575"/>
      <c r="Y3085" s="575"/>
    </row>
    <row r="3086" spans="1:25" s="88" customFormat="1" ht="15.75" hidden="1" thickBot="1">
      <c r="A3086" s="306"/>
      <c r="B3086" s="301"/>
      <c r="C3086" s="361"/>
      <c r="D3086" s="296"/>
      <c r="E3086" s="296"/>
      <c r="F3086" s="294" t="s">
        <v>255</v>
      </c>
      <c r="G3086" s="297" t="s">
        <v>256</v>
      </c>
      <c r="H3086" s="634"/>
      <c r="I3086" s="635"/>
      <c r="J3086" s="639">
        <f t="shared" si="101"/>
        <v>0</v>
      </c>
      <c r="K3086" s="575"/>
      <c r="L3086" s="575"/>
      <c r="M3086" s="575"/>
      <c r="N3086" s="575"/>
      <c r="O3086" s="575"/>
      <c r="P3086" s="575"/>
      <c r="Q3086" s="575"/>
      <c r="R3086" s="575"/>
      <c r="S3086" s="575"/>
      <c r="T3086" s="575"/>
      <c r="U3086" s="575"/>
      <c r="V3086" s="575"/>
      <c r="W3086" s="575"/>
      <c r="X3086" s="575"/>
      <c r="Y3086" s="575"/>
    </row>
    <row r="3087" spans="1:25" s="88" customFormat="1" ht="15.75" hidden="1" thickBot="1">
      <c r="A3087" s="306"/>
      <c r="B3087" s="301"/>
      <c r="C3087" s="361"/>
      <c r="D3087" s="296"/>
      <c r="E3087" s="296"/>
      <c r="F3087" s="294" t="s">
        <v>257</v>
      </c>
      <c r="G3087" s="297" t="s">
        <v>258</v>
      </c>
      <c r="H3087" s="634"/>
      <c r="I3087" s="635"/>
      <c r="J3087" s="639">
        <f t="shared" si="101"/>
        <v>0</v>
      </c>
      <c r="K3087" s="575"/>
      <c r="L3087" s="575"/>
      <c r="M3087" s="575"/>
      <c r="N3087" s="575"/>
      <c r="O3087" s="575"/>
      <c r="P3087" s="575"/>
      <c r="Q3087" s="575"/>
      <c r="R3087" s="575"/>
      <c r="S3087" s="575"/>
      <c r="T3087" s="575"/>
      <c r="U3087" s="575"/>
      <c r="V3087" s="575"/>
      <c r="W3087" s="575"/>
      <c r="X3087" s="575"/>
      <c r="Y3087" s="575"/>
    </row>
    <row r="3088" spans="1:25" s="88" customFormat="1" ht="15.75" hidden="1" thickBot="1">
      <c r="A3088" s="306"/>
      <c r="B3088" s="301"/>
      <c r="C3088" s="361"/>
      <c r="D3088" s="296"/>
      <c r="E3088" s="296"/>
      <c r="F3088" s="294" t="s">
        <v>259</v>
      </c>
      <c r="G3088" s="297" t="s">
        <v>260</v>
      </c>
      <c r="H3088" s="634"/>
      <c r="I3088" s="635"/>
      <c r="J3088" s="639">
        <f t="shared" si="101"/>
        <v>0</v>
      </c>
      <c r="K3088" s="575"/>
      <c r="L3088" s="575"/>
      <c r="M3088" s="575"/>
      <c r="N3088" s="575"/>
      <c r="O3088" s="575"/>
      <c r="P3088" s="575"/>
      <c r="Q3088" s="575"/>
      <c r="R3088" s="575"/>
      <c r="S3088" s="575"/>
      <c r="T3088" s="575"/>
      <c r="U3088" s="575"/>
      <c r="V3088" s="575"/>
      <c r="W3088" s="575"/>
      <c r="X3088" s="575"/>
      <c r="Y3088" s="575"/>
    </row>
    <row r="3089" spans="1:25" s="88" customFormat="1" ht="15.75" hidden="1" thickBot="1">
      <c r="A3089" s="306"/>
      <c r="B3089" s="301"/>
      <c r="C3089" s="361"/>
      <c r="D3089" s="296"/>
      <c r="E3089" s="296"/>
      <c r="F3089" s="294" t="s">
        <v>261</v>
      </c>
      <c r="G3089" s="297" t="s">
        <v>262</v>
      </c>
      <c r="H3089" s="638"/>
      <c r="I3089" s="639"/>
      <c r="J3089" s="639">
        <f t="shared" si="101"/>
        <v>0</v>
      </c>
      <c r="K3089" s="575"/>
      <c r="L3089" s="575"/>
      <c r="M3089" s="575"/>
      <c r="N3089" s="575"/>
      <c r="O3089" s="575"/>
      <c r="P3089" s="575"/>
      <c r="Q3089" s="575"/>
      <c r="R3089" s="575"/>
      <c r="S3089" s="575"/>
      <c r="T3089" s="575"/>
      <c r="U3089" s="575"/>
      <c r="V3089" s="575"/>
      <c r="W3089" s="575"/>
      <c r="X3089" s="575"/>
      <c r="Y3089" s="575"/>
    </row>
    <row r="3090" spans="1:25" s="88" customFormat="1" ht="15.75" thickBot="1">
      <c r="A3090" s="306"/>
      <c r="B3090" s="301"/>
      <c r="C3090" s="361"/>
      <c r="D3090" s="296"/>
      <c r="E3090" s="296"/>
      <c r="F3090" s="263"/>
      <c r="G3090" s="274" t="s">
        <v>4259</v>
      </c>
      <c r="H3090" s="640">
        <f>SUM(H3074:H3089)</f>
        <v>7431000</v>
      </c>
      <c r="I3090" s="641">
        <f>SUM(I3075:I3089)</f>
        <v>0</v>
      </c>
      <c r="J3090" s="641">
        <f>SUM(J3074:J3089)</f>
        <v>7431000</v>
      </c>
      <c r="K3090" s="575"/>
      <c r="L3090" s="575"/>
      <c r="M3090" s="575"/>
      <c r="N3090" s="575"/>
      <c r="O3090" s="575"/>
      <c r="P3090" s="575"/>
      <c r="Q3090" s="575"/>
      <c r="R3090" s="575"/>
      <c r="S3090" s="575"/>
      <c r="T3090" s="575"/>
      <c r="U3090" s="575"/>
      <c r="V3090" s="575"/>
      <c r="W3090" s="575"/>
      <c r="X3090" s="575"/>
      <c r="Y3090" s="575"/>
    </row>
    <row r="3091" spans="1:25" s="88" customFormat="1" hidden="1">
      <c r="A3091" s="306"/>
      <c r="B3091" s="301"/>
      <c r="C3091" s="364"/>
      <c r="E3091" s="263"/>
      <c r="G3091" s="356"/>
      <c r="H3091" s="667"/>
      <c r="I3091" s="650"/>
      <c r="J3091" s="668"/>
      <c r="K3091" s="575"/>
      <c r="L3091" s="575"/>
      <c r="M3091" s="575"/>
      <c r="N3091" s="575"/>
      <c r="O3091" s="575"/>
      <c r="P3091" s="575"/>
      <c r="Q3091" s="575"/>
      <c r="R3091" s="575"/>
      <c r="S3091" s="575"/>
      <c r="T3091" s="575"/>
      <c r="U3091" s="575"/>
      <c r="V3091" s="575"/>
      <c r="W3091" s="575"/>
      <c r="X3091" s="575"/>
      <c r="Y3091" s="575"/>
    </row>
    <row r="3092" spans="1:25" s="88" customFormat="1" ht="5.25" hidden="1" customHeight="1">
      <c r="A3092" s="306"/>
      <c r="B3092" s="301"/>
      <c r="C3092" s="361"/>
      <c r="D3092" s="296"/>
      <c r="E3092" s="296"/>
      <c r="F3092" s="302"/>
      <c r="G3092" s="339"/>
      <c r="H3092" s="667"/>
      <c r="I3092" s="650"/>
      <c r="J3092" s="668"/>
      <c r="K3092" s="575"/>
      <c r="L3092" s="575"/>
      <c r="M3092" s="575"/>
      <c r="N3092" s="575"/>
      <c r="O3092" s="575"/>
      <c r="P3092" s="575"/>
      <c r="Q3092" s="575"/>
      <c r="R3092" s="575"/>
      <c r="S3092" s="575"/>
      <c r="T3092" s="575"/>
      <c r="U3092" s="575"/>
      <c r="V3092" s="575"/>
      <c r="W3092" s="575"/>
      <c r="X3092" s="575"/>
      <c r="Y3092" s="575"/>
    </row>
    <row r="3093" spans="1:25" s="88" customFormat="1">
      <c r="A3093" s="306"/>
      <c r="B3093" s="301"/>
      <c r="C3093" s="310" t="s">
        <v>3591</v>
      </c>
      <c r="D3093" s="310"/>
      <c r="E3093" s="293"/>
      <c r="F3093" s="293"/>
      <c r="G3093" s="351" t="s">
        <v>4265</v>
      </c>
      <c r="H3093" s="651"/>
      <c r="I3093" s="652"/>
      <c r="J3093" s="652"/>
      <c r="K3093" s="575"/>
      <c r="L3093" s="575"/>
      <c r="M3093" s="575"/>
      <c r="N3093" s="575"/>
      <c r="O3093" s="575"/>
      <c r="P3093" s="575"/>
      <c r="Q3093" s="575"/>
      <c r="R3093" s="575"/>
      <c r="S3093" s="575"/>
      <c r="T3093" s="575"/>
      <c r="U3093" s="575"/>
      <c r="V3093" s="575"/>
      <c r="W3093" s="575"/>
      <c r="X3093" s="575"/>
      <c r="Y3093" s="575"/>
    </row>
    <row r="3094" spans="1:25">
      <c r="C3094" s="273" t="s">
        <v>4131</v>
      </c>
      <c r="D3094" s="264"/>
      <c r="G3094" s="307" t="s">
        <v>4126</v>
      </c>
    </row>
    <row r="3095" spans="1:25" s="88" customFormat="1">
      <c r="A3095" s="306"/>
      <c r="B3095" s="301"/>
      <c r="C3095" s="310"/>
      <c r="D3095" s="379" t="s">
        <v>4006</v>
      </c>
      <c r="E3095" s="374"/>
      <c r="F3095" s="374"/>
      <c r="G3095" s="375" t="s">
        <v>202</v>
      </c>
      <c r="H3095" s="651"/>
      <c r="I3095" s="652"/>
      <c r="J3095" s="652"/>
      <c r="K3095" s="575"/>
      <c r="L3095" s="575"/>
      <c r="M3095" s="575"/>
      <c r="N3095" s="575"/>
      <c r="O3095" s="575"/>
      <c r="P3095" s="575"/>
      <c r="Q3095" s="575"/>
      <c r="R3095" s="575"/>
      <c r="S3095" s="575"/>
      <c r="T3095" s="575"/>
      <c r="U3095" s="575"/>
      <c r="V3095" s="575"/>
      <c r="W3095" s="575"/>
      <c r="X3095" s="575"/>
      <c r="Y3095" s="575"/>
    </row>
    <row r="3096" spans="1:25" hidden="1">
      <c r="F3096" s="308">
        <v>411</v>
      </c>
      <c r="G3096" s="340" t="s">
        <v>4173</v>
      </c>
      <c r="J3096" s="635">
        <f>SUM(H3096:I3096)</f>
        <v>0</v>
      </c>
    </row>
    <row r="3097" spans="1:25" hidden="1">
      <c r="F3097" s="308">
        <v>412</v>
      </c>
      <c r="G3097" s="337" t="s">
        <v>3770</v>
      </c>
      <c r="J3097" s="635">
        <f t="shared" ref="J3097:J3155" si="102">SUM(H3097:I3097)</f>
        <v>0</v>
      </c>
    </row>
    <row r="3098" spans="1:25" hidden="1">
      <c r="F3098" s="308">
        <v>413</v>
      </c>
      <c r="G3098" s="340" t="s">
        <v>4174</v>
      </c>
      <c r="J3098" s="635">
        <f t="shared" si="102"/>
        <v>0</v>
      </c>
    </row>
    <row r="3099" spans="1:25" hidden="1">
      <c r="F3099" s="308">
        <v>414</v>
      </c>
      <c r="G3099" s="340" t="s">
        <v>3773</v>
      </c>
      <c r="J3099" s="635">
        <f t="shared" si="102"/>
        <v>0</v>
      </c>
    </row>
    <row r="3100" spans="1:25" hidden="1">
      <c r="F3100" s="308">
        <v>415</v>
      </c>
      <c r="G3100" s="340" t="s">
        <v>4183</v>
      </c>
      <c r="J3100" s="635">
        <f t="shared" si="102"/>
        <v>0</v>
      </c>
    </row>
    <row r="3101" spans="1:25" hidden="1">
      <c r="F3101" s="308">
        <v>416</v>
      </c>
      <c r="G3101" s="340" t="s">
        <v>4184</v>
      </c>
      <c r="J3101" s="635">
        <f t="shared" si="102"/>
        <v>0</v>
      </c>
    </row>
    <row r="3102" spans="1:25" hidden="1">
      <c r="F3102" s="308">
        <v>417</v>
      </c>
      <c r="G3102" s="340" t="s">
        <v>4185</v>
      </c>
      <c r="J3102" s="635">
        <f t="shared" si="102"/>
        <v>0</v>
      </c>
    </row>
    <row r="3103" spans="1:25" hidden="1">
      <c r="F3103" s="308">
        <v>418</v>
      </c>
      <c r="G3103" s="340" t="s">
        <v>3779</v>
      </c>
      <c r="J3103" s="635">
        <f t="shared" si="102"/>
        <v>0</v>
      </c>
    </row>
    <row r="3104" spans="1:25" hidden="1">
      <c r="F3104" s="308">
        <v>421</v>
      </c>
      <c r="G3104" s="340" t="s">
        <v>3783</v>
      </c>
      <c r="J3104" s="635">
        <f t="shared" si="102"/>
        <v>0</v>
      </c>
    </row>
    <row r="3105" spans="6:10" hidden="1">
      <c r="F3105" s="308">
        <v>422</v>
      </c>
      <c r="G3105" s="340" t="s">
        <v>3784</v>
      </c>
      <c r="J3105" s="635">
        <f t="shared" si="102"/>
        <v>0</v>
      </c>
    </row>
    <row r="3106" spans="6:10" hidden="1">
      <c r="F3106" s="308">
        <v>423</v>
      </c>
      <c r="G3106" s="340" t="s">
        <v>3785</v>
      </c>
      <c r="J3106" s="635">
        <f t="shared" si="102"/>
        <v>0</v>
      </c>
    </row>
    <row r="3107" spans="6:10" hidden="1">
      <c r="F3107" s="308">
        <v>424</v>
      </c>
      <c r="G3107" s="340" t="s">
        <v>3787</v>
      </c>
      <c r="J3107" s="635">
        <f t="shared" si="102"/>
        <v>0</v>
      </c>
    </row>
    <row r="3108" spans="6:10" hidden="1">
      <c r="F3108" s="308">
        <v>425</v>
      </c>
      <c r="G3108" s="340" t="s">
        <v>4186</v>
      </c>
      <c r="J3108" s="635">
        <f t="shared" si="102"/>
        <v>0</v>
      </c>
    </row>
    <row r="3109" spans="6:10" hidden="1">
      <c r="F3109" s="308">
        <v>426</v>
      </c>
      <c r="G3109" s="340" t="s">
        <v>3791</v>
      </c>
      <c r="J3109" s="635">
        <f t="shared" si="102"/>
        <v>0</v>
      </c>
    </row>
    <row r="3110" spans="6:10" hidden="1">
      <c r="F3110" s="308">
        <v>431</v>
      </c>
      <c r="G3110" s="340" t="s">
        <v>4187</v>
      </c>
      <c r="J3110" s="635">
        <f t="shared" si="102"/>
        <v>0</v>
      </c>
    </row>
    <row r="3111" spans="6:10" hidden="1">
      <c r="F3111" s="308">
        <v>432</v>
      </c>
      <c r="G3111" s="340" t="s">
        <v>4188</v>
      </c>
      <c r="J3111" s="635">
        <f t="shared" si="102"/>
        <v>0</v>
      </c>
    </row>
    <row r="3112" spans="6:10" hidden="1">
      <c r="F3112" s="308">
        <v>433</v>
      </c>
      <c r="G3112" s="340" t="s">
        <v>4189</v>
      </c>
      <c r="J3112" s="635">
        <f t="shared" si="102"/>
        <v>0</v>
      </c>
    </row>
    <row r="3113" spans="6:10" hidden="1">
      <c r="F3113" s="308">
        <v>434</v>
      </c>
      <c r="G3113" s="340" t="s">
        <v>4190</v>
      </c>
      <c r="J3113" s="635">
        <f t="shared" si="102"/>
        <v>0</v>
      </c>
    </row>
    <row r="3114" spans="6:10" hidden="1">
      <c r="F3114" s="308">
        <v>435</v>
      </c>
      <c r="G3114" s="340" t="s">
        <v>3798</v>
      </c>
      <c r="J3114" s="635">
        <f t="shared" si="102"/>
        <v>0</v>
      </c>
    </row>
    <row r="3115" spans="6:10" hidden="1">
      <c r="F3115" s="308">
        <v>441</v>
      </c>
      <c r="G3115" s="340" t="s">
        <v>4191</v>
      </c>
      <c r="J3115" s="635">
        <f t="shared" si="102"/>
        <v>0</v>
      </c>
    </row>
    <row r="3116" spans="6:10" hidden="1">
      <c r="F3116" s="308">
        <v>442</v>
      </c>
      <c r="G3116" s="340" t="s">
        <v>4192</v>
      </c>
      <c r="J3116" s="635">
        <f t="shared" si="102"/>
        <v>0</v>
      </c>
    </row>
    <row r="3117" spans="6:10" hidden="1">
      <c r="F3117" s="308">
        <v>443</v>
      </c>
      <c r="G3117" s="340" t="s">
        <v>3803</v>
      </c>
      <c r="J3117" s="635">
        <f t="shared" si="102"/>
        <v>0</v>
      </c>
    </row>
    <row r="3118" spans="6:10" hidden="1">
      <c r="F3118" s="308">
        <v>444</v>
      </c>
      <c r="G3118" s="340" t="s">
        <v>3804</v>
      </c>
      <c r="J3118" s="635">
        <f t="shared" si="102"/>
        <v>0</v>
      </c>
    </row>
    <row r="3119" spans="6:10" ht="30" hidden="1">
      <c r="F3119" s="308">
        <v>4511</v>
      </c>
      <c r="G3119" s="268" t="s">
        <v>1690</v>
      </c>
      <c r="J3119" s="635">
        <f t="shared" si="102"/>
        <v>0</v>
      </c>
    </row>
    <row r="3120" spans="6:10" ht="30" hidden="1">
      <c r="F3120" s="308">
        <v>4512</v>
      </c>
      <c r="G3120" s="268" t="s">
        <v>1699</v>
      </c>
      <c r="J3120" s="635">
        <f t="shared" si="102"/>
        <v>0</v>
      </c>
    </row>
    <row r="3121" spans="5:10" hidden="1">
      <c r="F3121" s="308">
        <v>452</v>
      </c>
      <c r="G3121" s="340" t="s">
        <v>4193</v>
      </c>
      <c r="J3121" s="635">
        <f t="shared" si="102"/>
        <v>0</v>
      </c>
    </row>
    <row r="3122" spans="5:10" hidden="1">
      <c r="F3122" s="308">
        <v>453</v>
      </c>
      <c r="G3122" s="340" t="s">
        <v>4194</v>
      </c>
      <c r="J3122" s="635">
        <f t="shared" si="102"/>
        <v>0</v>
      </c>
    </row>
    <row r="3123" spans="5:10" hidden="1">
      <c r="F3123" s="308">
        <v>454</v>
      </c>
      <c r="G3123" s="340" t="s">
        <v>3809</v>
      </c>
      <c r="J3123" s="635">
        <f t="shared" si="102"/>
        <v>0</v>
      </c>
    </row>
    <row r="3124" spans="5:10" hidden="1">
      <c r="F3124" s="308">
        <v>461</v>
      </c>
      <c r="G3124" s="340" t="s">
        <v>4175</v>
      </c>
      <c r="J3124" s="635">
        <f t="shared" si="102"/>
        <v>0</v>
      </c>
    </row>
    <row r="3125" spans="5:10" hidden="1">
      <c r="F3125" s="308">
        <v>462</v>
      </c>
      <c r="G3125" s="340" t="s">
        <v>3812</v>
      </c>
      <c r="J3125" s="635">
        <f t="shared" si="102"/>
        <v>0</v>
      </c>
    </row>
    <row r="3126" spans="5:10" hidden="1">
      <c r="F3126" s="308">
        <v>4631</v>
      </c>
      <c r="G3126" s="340" t="s">
        <v>3813</v>
      </c>
      <c r="J3126" s="635">
        <f t="shared" si="102"/>
        <v>0</v>
      </c>
    </row>
    <row r="3127" spans="5:10" hidden="1">
      <c r="F3127" s="308">
        <v>4632</v>
      </c>
      <c r="G3127" s="340" t="s">
        <v>3814</v>
      </c>
      <c r="J3127" s="635">
        <f t="shared" si="102"/>
        <v>0</v>
      </c>
    </row>
    <row r="3128" spans="5:10" ht="15.75" thickBot="1">
      <c r="E3128" s="263">
        <v>65</v>
      </c>
      <c r="F3128" s="308">
        <v>464</v>
      </c>
      <c r="G3128" s="340" t="s">
        <v>3815</v>
      </c>
      <c r="H3128" s="634">
        <v>4500000</v>
      </c>
      <c r="J3128" s="635">
        <f t="shared" si="102"/>
        <v>4500000</v>
      </c>
    </row>
    <row r="3129" spans="5:10" hidden="1">
      <c r="F3129" s="308">
        <v>465</v>
      </c>
      <c r="G3129" s="340" t="s">
        <v>4176</v>
      </c>
      <c r="J3129" s="635">
        <f t="shared" si="102"/>
        <v>0</v>
      </c>
    </row>
    <row r="3130" spans="5:10" hidden="1">
      <c r="F3130" s="308">
        <v>472</v>
      </c>
      <c r="G3130" s="340" t="s">
        <v>3819</v>
      </c>
      <c r="J3130" s="635">
        <f t="shared" si="102"/>
        <v>0</v>
      </c>
    </row>
    <row r="3131" spans="5:10" hidden="1">
      <c r="F3131" s="308">
        <v>481</v>
      </c>
      <c r="G3131" s="340" t="s">
        <v>4195</v>
      </c>
      <c r="J3131" s="635">
        <f t="shared" si="102"/>
        <v>0</v>
      </c>
    </row>
    <row r="3132" spans="5:10" hidden="1">
      <c r="F3132" s="308">
        <v>482</v>
      </c>
      <c r="G3132" s="340" t="s">
        <v>4196</v>
      </c>
      <c r="J3132" s="635">
        <f t="shared" si="102"/>
        <v>0</v>
      </c>
    </row>
    <row r="3133" spans="5:10" hidden="1">
      <c r="F3133" s="308">
        <v>483</v>
      </c>
      <c r="G3133" s="343" t="s">
        <v>4197</v>
      </c>
      <c r="J3133" s="635">
        <f t="shared" si="102"/>
        <v>0</v>
      </c>
    </row>
    <row r="3134" spans="5:10" ht="30" hidden="1">
      <c r="F3134" s="308">
        <v>484</v>
      </c>
      <c r="G3134" s="340" t="s">
        <v>4198</v>
      </c>
      <c r="J3134" s="635">
        <f t="shared" si="102"/>
        <v>0</v>
      </c>
    </row>
    <row r="3135" spans="5:10" ht="30" hidden="1">
      <c r="F3135" s="308">
        <v>485</v>
      </c>
      <c r="G3135" s="340" t="s">
        <v>4199</v>
      </c>
      <c r="J3135" s="635">
        <f t="shared" si="102"/>
        <v>0</v>
      </c>
    </row>
    <row r="3136" spans="5:10" ht="30" hidden="1">
      <c r="F3136" s="308">
        <v>489</v>
      </c>
      <c r="G3136" s="340" t="s">
        <v>3827</v>
      </c>
      <c r="J3136" s="635">
        <f t="shared" si="102"/>
        <v>0</v>
      </c>
    </row>
    <row r="3137" spans="6:10" hidden="1">
      <c r="F3137" s="308">
        <v>494</v>
      </c>
      <c r="G3137" s="340" t="s">
        <v>4177</v>
      </c>
      <c r="J3137" s="635">
        <f t="shared" si="102"/>
        <v>0</v>
      </c>
    </row>
    <row r="3138" spans="6:10" ht="30" hidden="1">
      <c r="F3138" s="308">
        <v>495</v>
      </c>
      <c r="G3138" s="340" t="s">
        <v>4178</v>
      </c>
      <c r="J3138" s="635">
        <f t="shared" si="102"/>
        <v>0</v>
      </c>
    </row>
    <row r="3139" spans="6:10" ht="30" hidden="1">
      <c r="F3139" s="308">
        <v>496</v>
      </c>
      <c r="G3139" s="340" t="s">
        <v>4179</v>
      </c>
      <c r="J3139" s="635">
        <f t="shared" si="102"/>
        <v>0</v>
      </c>
    </row>
    <row r="3140" spans="6:10" hidden="1">
      <c r="F3140" s="308">
        <v>499</v>
      </c>
      <c r="G3140" s="340" t="s">
        <v>4180</v>
      </c>
      <c r="J3140" s="635">
        <f t="shared" si="102"/>
        <v>0</v>
      </c>
    </row>
    <row r="3141" spans="6:10" hidden="1">
      <c r="F3141" s="308">
        <v>511</v>
      </c>
      <c r="G3141" s="343" t="s">
        <v>4200</v>
      </c>
      <c r="J3141" s="635">
        <f t="shared" si="102"/>
        <v>0</v>
      </c>
    </row>
    <row r="3142" spans="6:10" hidden="1">
      <c r="F3142" s="308">
        <v>512</v>
      </c>
      <c r="G3142" s="343" t="s">
        <v>4201</v>
      </c>
      <c r="J3142" s="635">
        <f t="shared" si="102"/>
        <v>0</v>
      </c>
    </row>
    <row r="3143" spans="6:10" hidden="1">
      <c r="F3143" s="308">
        <v>513</v>
      </c>
      <c r="G3143" s="343" t="s">
        <v>4202</v>
      </c>
      <c r="J3143" s="635">
        <f t="shared" si="102"/>
        <v>0</v>
      </c>
    </row>
    <row r="3144" spans="6:10" hidden="1">
      <c r="F3144" s="308">
        <v>514</v>
      </c>
      <c r="G3144" s="340" t="s">
        <v>4203</v>
      </c>
      <c r="J3144" s="635">
        <f t="shared" si="102"/>
        <v>0</v>
      </c>
    </row>
    <row r="3145" spans="6:10" hidden="1">
      <c r="F3145" s="308">
        <v>515</v>
      </c>
      <c r="G3145" s="340" t="s">
        <v>3838</v>
      </c>
      <c r="J3145" s="635">
        <f t="shared" si="102"/>
        <v>0</v>
      </c>
    </row>
    <row r="3146" spans="6:10" hidden="1">
      <c r="F3146" s="308">
        <v>521</v>
      </c>
      <c r="G3146" s="340" t="s">
        <v>4204</v>
      </c>
      <c r="J3146" s="635">
        <f t="shared" si="102"/>
        <v>0</v>
      </c>
    </row>
    <row r="3147" spans="6:10" hidden="1">
      <c r="F3147" s="308">
        <v>522</v>
      </c>
      <c r="G3147" s="340" t="s">
        <v>4205</v>
      </c>
      <c r="J3147" s="635">
        <f t="shared" si="102"/>
        <v>0</v>
      </c>
    </row>
    <row r="3148" spans="6:10" hidden="1">
      <c r="F3148" s="308">
        <v>523</v>
      </c>
      <c r="G3148" s="340" t="s">
        <v>3843</v>
      </c>
      <c r="J3148" s="635">
        <f t="shared" si="102"/>
        <v>0</v>
      </c>
    </row>
    <row r="3149" spans="6:10" hidden="1">
      <c r="F3149" s="308">
        <v>531</v>
      </c>
      <c r="G3149" s="337" t="s">
        <v>4181</v>
      </c>
      <c r="J3149" s="635">
        <f t="shared" si="102"/>
        <v>0</v>
      </c>
    </row>
    <row r="3150" spans="6:10" hidden="1">
      <c r="F3150" s="308">
        <v>541</v>
      </c>
      <c r="G3150" s="340" t="s">
        <v>4206</v>
      </c>
      <c r="J3150" s="635">
        <f t="shared" si="102"/>
        <v>0</v>
      </c>
    </row>
    <row r="3151" spans="6:10" hidden="1">
      <c r="F3151" s="308">
        <v>542</v>
      </c>
      <c r="G3151" s="340" t="s">
        <v>4207</v>
      </c>
      <c r="J3151" s="635">
        <f t="shared" si="102"/>
        <v>0</v>
      </c>
    </row>
    <row r="3152" spans="6:10" hidden="1">
      <c r="F3152" s="308">
        <v>543</v>
      </c>
      <c r="G3152" s="340" t="s">
        <v>3848</v>
      </c>
      <c r="J3152" s="635">
        <f t="shared" si="102"/>
        <v>0</v>
      </c>
    </row>
    <row r="3153" spans="5:10" ht="30" hidden="1">
      <c r="F3153" s="308">
        <v>551</v>
      </c>
      <c r="G3153" s="340" t="s">
        <v>4182</v>
      </c>
      <c r="J3153" s="635">
        <f t="shared" si="102"/>
        <v>0</v>
      </c>
    </row>
    <row r="3154" spans="5:10" hidden="1">
      <c r="F3154" s="309">
        <v>611</v>
      </c>
      <c r="G3154" s="344" t="s">
        <v>3854</v>
      </c>
      <c r="J3154" s="635">
        <f t="shared" si="102"/>
        <v>0</v>
      </c>
    </row>
    <row r="3155" spans="5:10" ht="15.75" hidden="1" thickBot="1">
      <c r="F3155" s="309">
        <v>620</v>
      </c>
      <c r="G3155" s="344" t="s">
        <v>88</v>
      </c>
      <c r="J3155" s="635">
        <f t="shared" si="102"/>
        <v>0</v>
      </c>
    </row>
    <row r="3156" spans="5:10">
      <c r="E3156" s="338"/>
      <c r="F3156" s="346"/>
      <c r="G3156" s="371" t="s">
        <v>4372</v>
      </c>
      <c r="H3156" s="636"/>
      <c r="I3156" s="662"/>
      <c r="J3156" s="637"/>
    </row>
    <row r="3157" spans="5:10" ht="15.75" thickBot="1">
      <c r="E3157" s="267"/>
      <c r="F3157" s="294" t="s">
        <v>234</v>
      </c>
      <c r="G3157" s="297" t="s">
        <v>235</v>
      </c>
      <c r="H3157" s="638">
        <f>SUM(H3096:H3155)</f>
        <v>4500000</v>
      </c>
      <c r="I3157" s="639"/>
      <c r="J3157" s="639">
        <f>SUM(H3157:I3157)</f>
        <v>4500000</v>
      </c>
    </row>
    <row r="3158" spans="5:10" ht="15.75" hidden="1" thickBot="1">
      <c r="F3158" s="294" t="s">
        <v>236</v>
      </c>
      <c r="G3158" s="297" t="s">
        <v>237</v>
      </c>
      <c r="J3158" s="639">
        <f t="shared" ref="J3158:J3172" si="103">SUM(H3158:I3158)</f>
        <v>0</v>
      </c>
    </row>
    <row r="3159" spans="5:10" ht="15.75" hidden="1" thickBot="1">
      <c r="F3159" s="294" t="s">
        <v>238</v>
      </c>
      <c r="G3159" s="297" t="s">
        <v>239</v>
      </c>
      <c r="J3159" s="639">
        <f t="shared" si="103"/>
        <v>0</v>
      </c>
    </row>
    <row r="3160" spans="5:10" ht="15.75" hidden="1" thickBot="1">
      <c r="F3160" s="294" t="s">
        <v>240</v>
      </c>
      <c r="G3160" s="297" t="s">
        <v>241</v>
      </c>
      <c r="J3160" s="639">
        <f t="shared" si="103"/>
        <v>0</v>
      </c>
    </row>
    <row r="3161" spans="5:10" ht="15.75" hidden="1" thickBot="1">
      <c r="F3161" s="294" t="s">
        <v>242</v>
      </c>
      <c r="G3161" s="297" t="s">
        <v>243</v>
      </c>
      <c r="J3161" s="639">
        <f t="shared" si="103"/>
        <v>0</v>
      </c>
    </row>
    <row r="3162" spans="5:10" ht="15.75" hidden="1" thickBot="1">
      <c r="F3162" s="294" t="s">
        <v>244</v>
      </c>
      <c r="G3162" s="297" t="s">
        <v>245</v>
      </c>
      <c r="J3162" s="639">
        <f t="shared" si="103"/>
        <v>0</v>
      </c>
    </row>
    <row r="3163" spans="5:10" ht="15.75" hidden="1" thickBot="1">
      <c r="F3163" s="294" t="s">
        <v>246</v>
      </c>
      <c r="G3163" s="683" t="s">
        <v>5121</v>
      </c>
      <c r="J3163" s="639">
        <f t="shared" si="103"/>
        <v>0</v>
      </c>
    </row>
    <row r="3164" spans="5:10" ht="15.75" hidden="1" thickBot="1">
      <c r="F3164" s="294" t="s">
        <v>247</v>
      </c>
      <c r="G3164" s="683" t="s">
        <v>5120</v>
      </c>
      <c r="J3164" s="639">
        <f t="shared" si="103"/>
        <v>0</v>
      </c>
    </row>
    <row r="3165" spans="5:10" ht="15.75" hidden="1" thickBot="1">
      <c r="F3165" s="294" t="s">
        <v>248</v>
      </c>
      <c r="G3165" s="297" t="s">
        <v>57</v>
      </c>
      <c r="J3165" s="639">
        <f t="shared" si="103"/>
        <v>0</v>
      </c>
    </row>
    <row r="3166" spans="5:10" ht="15.75" hidden="1" thickBot="1">
      <c r="F3166" s="294" t="s">
        <v>249</v>
      </c>
      <c r="G3166" s="297" t="s">
        <v>250</v>
      </c>
      <c r="J3166" s="639">
        <f t="shared" si="103"/>
        <v>0</v>
      </c>
    </row>
    <row r="3167" spans="5:10" ht="15.75" hidden="1" thickBot="1">
      <c r="F3167" s="294" t="s">
        <v>251</v>
      </c>
      <c r="G3167" s="297" t="s">
        <v>252</v>
      </c>
      <c r="J3167" s="639">
        <f t="shared" si="103"/>
        <v>0</v>
      </c>
    </row>
    <row r="3168" spans="5:10" ht="15.75" hidden="1" thickBot="1">
      <c r="F3168" s="294" t="s">
        <v>253</v>
      </c>
      <c r="G3168" s="297" t="s">
        <v>254</v>
      </c>
      <c r="J3168" s="639">
        <f t="shared" si="103"/>
        <v>0</v>
      </c>
    </row>
    <row r="3169" spans="5:10" ht="15.75" hidden="1" thickBot="1">
      <c r="F3169" s="294" t="s">
        <v>255</v>
      </c>
      <c r="G3169" s="297" t="s">
        <v>256</v>
      </c>
      <c r="J3169" s="639">
        <f t="shared" si="103"/>
        <v>0</v>
      </c>
    </row>
    <row r="3170" spans="5:10" ht="15.75" hidden="1" thickBot="1">
      <c r="F3170" s="294" t="s">
        <v>257</v>
      </c>
      <c r="G3170" s="297" t="s">
        <v>258</v>
      </c>
      <c r="J3170" s="639">
        <f t="shared" si="103"/>
        <v>0</v>
      </c>
    </row>
    <row r="3171" spans="5:10" ht="15.75" hidden="1" thickBot="1">
      <c r="F3171" s="294" t="s">
        <v>259</v>
      </c>
      <c r="G3171" s="297" t="s">
        <v>260</v>
      </c>
      <c r="J3171" s="639">
        <f t="shared" si="103"/>
        <v>0</v>
      </c>
    </row>
    <row r="3172" spans="5:10" ht="15.75" hidden="1" thickBot="1">
      <c r="F3172" s="294" t="s">
        <v>261</v>
      </c>
      <c r="G3172" s="297" t="s">
        <v>262</v>
      </c>
      <c r="H3172" s="638"/>
      <c r="I3172" s="639"/>
      <c r="J3172" s="639">
        <f t="shared" si="103"/>
        <v>0</v>
      </c>
    </row>
    <row r="3173" spans="5:10" ht="15.75" thickBot="1">
      <c r="G3173" s="274" t="s">
        <v>4373</v>
      </c>
      <c r="H3173" s="640">
        <f>SUM(H3157:H3172)</f>
        <v>4500000</v>
      </c>
      <c r="I3173" s="641">
        <f>SUM(I3158:I3172)</f>
        <v>0</v>
      </c>
      <c r="J3173" s="641">
        <f>SUM(J3157:J3172)</f>
        <v>4500000</v>
      </c>
    </row>
    <row r="3174" spans="5:10" collapsed="1">
      <c r="E3174" s="305"/>
      <c r="F3174" s="309"/>
      <c r="G3174" s="276" t="s">
        <v>4266</v>
      </c>
      <c r="H3174" s="642"/>
      <c r="I3174" s="663"/>
      <c r="J3174" s="643"/>
    </row>
    <row r="3175" spans="5:10" ht="15.75" thickBot="1">
      <c r="E3175" s="267"/>
      <c r="F3175" s="294" t="s">
        <v>234</v>
      </c>
      <c r="G3175" s="297" t="s">
        <v>235</v>
      </c>
      <c r="H3175" s="638">
        <f>SUM(H3096:H3155)</f>
        <v>4500000</v>
      </c>
      <c r="I3175" s="639"/>
      <c r="J3175" s="639">
        <f>SUM(H3175:I3175)</f>
        <v>4500000</v>
      </c>
    </row>
    <row r="3176" spans="5:10" ht="15.75" hidden="1" thickBot="1">
      <c r="F3176" s="294" t="s">
        <v>236</v>
      </c>
      <c r="G3176" s="297" t="s">
        <v>237</v>
      </c>
      <c r="J3176" s="639">
        <f t="shared" ref="J3176:J3190" si="104">SUM(H3176:I3176)</f>
        <v>0</v>
      </c>
    </row>
    <row r="3177" spans="5:10" ht="15.75" hidden="1" thickBot="1">
      <c r="F3177" s="294" t="s">
        <v>238</v>
      </c>
      <c r="G3177" s="297" t="s">
        <v>239</v>
      </c>
      <c r="J3177" s="639">
        <f t="shared" si="104"/>
        <v>0</v>
      </c>
    </row>
    <row r="3178" spans="5:10" ht="15.75" hidden="1" thickBot="1">
      <c r="F3178" s="294" t="s">
        <v>240</v>
      </c>
      <c r="G3178" s="297" t="s">
        <v>241</v>
      </c>
      <c r="J3178" s="639">
        <f t="shared" si="104"/>
        <v>0</v>
      </c>
    </row>
    <row r="3179" spans="5:10" ht="15.75" hidden="1" thickBot="1">
      <c r="F3179" s="294" t="s">
        <v>242</v>
      </c>
      <c r="G3179" s="297" t="s">
        <v>243</v>
      </c>
      <c r="J3179" s="639">
        <f t="shared" si="104"/>
        <v>0</v>
      </c>
    </row>
    <row r="3180" spans="5:10" ht="15.75" hidden="1" thickBot="1">
      <c r="F3180" s="294" t="s">
        <v>244</v>
      </c>
      <c r="G3180" s="297" t="s">
        <v>245</v>
      </c>
      <c r="J3180" s="639">
        <f t="shared" si="104"/>
        <v>0</v>
      </c>
    </row>
    <row r="3181" spans="5:10" ht="15.75" hidden="1" thickBot="1">
      <c r="F3181" s="294" t="s">
        <v>246</v>
      </c>
      <c r="G3181" s="683" t="s">
        <v>5121</v>
      </c>
      <c r="J3181" s="639">
        <f t="shared" si="104"/>
        <v>0</v>
      </c>
    </row>
    <row r="3182" spans="5:10" ht="15.75" hidden="1" thickBot="1">
      <c r="F3182" s="294" t="s">
        <v>247</v>
      </c>
      <c r="G3182" s="683" t="s">
        <v>5120</v>
      </c>
      <c r="J3182" s="639">
        <f t="shared" si="104"/>
        <v>0</v>
      </c>
    </row>
    <row r="3183" spans="5:10" ht="15.75" hidden="1" thickBot="1">
      <c r="F3183" s="294" t="s">
        <v>248</v>
      </c>
      <c r="G3183" s="297" t="s">
        <v>57</v>
      </c>
      <c r="J3183" s="639">
        <f t="shared" si="104"/>
        <v>0</v>
      </c>
    </row>
    <row r="3184" spans="5:10" ht="15.75" hidden="1" thickBot="1">
      <c r="F3184" s="294" t="s">
        <v>249</v>
      </c>
      <c r="G3184" s="297" t="s">
        <v>250</v>
      </c>
      <c r="J3184" s="639">
        <f t="shared" si="104"/>
        <v>0</v>
      </c>
    </row>
    <row r="3185" spans="1:25" ht="15.75" hidden="1" thickBot="1">
      <c r="F3185" s="294" t="s">
        <v>251</v>
      </c>
      <c r="G3185" s="297" t="s">
        <v>252</v>
      </c>
      <c r="J3185" s="639">
        <f t="shared" si="104"/>
        <v>0</v>
      </c>
    </row>
    <row r="3186" spans="1:25" ht="15.75" hidden="1" thickBot="1">
      <c r="F3186" s="294" t="s">
        <v>253</v>
      </c>
      <c r="G3186" s="297" t="s">
        <v>254</v>
      </c>
      <c r="J3186" s="639">
        <f t="shared" si="104"/>
        <v>0</v>
      </c>
    </row>
    <row r="3187" spans="1:25" ht="15.75" hidden="1" thickBot="1">
      <c r="F3187" s="294" t="s">
        <v>255</v>
      </c>
      <c r="G3187" s="297" t="s">
        <v>256</v>
      </c>
      <c r="J3187" s="639">
        <f t="shared" si="104"/>
        <v>0</v>
      </c>
    </row>
    <row r="3188" spans="1:25" ht="15.75" hidden="1" thickBot="1">
      <c r="F3188" s="294" t="s">
        <v>257</v>
      </c>
      <c r="G3188" s="297" t="s">
        <v>258</v>
      </c>
      <c r="J3188" s="639">
        <f t="shared" si="104"/>
        <v>0</v>
      </c>
    </row>
    <row r="3189" spans="1:25" ht="15.75" hidden="1" thickBot="1">
      <c r="F3189" s="294" t="s">
        <v>259</v>
      </c>
      <c r="G3189" s="297" t="s">
        <v>260</v>
      </c>
      <c r="J3189" s="639">
        <f t="shared" si="104"/>
        <v>0</v>
      </c>
    </row>
    <row r="3190" spans="1:25" ht="15.75" hidden="1" thickBot="1">
      <c r="F3190" s="294" t="s">
        <v>261</v>
      </c>
      <c r="G3190" s="297" t="s">
        <v>262</v>
      </c>
      <c r="H3190" s="638"/>
      <c r="I3190" s="639"/>
      <c r="J3190" s="639">
        <f t="shared" si="104"/>
        <v>0</v>
      </c>
    </row>
    <row r="3191" spans="1:25" ht="15" customHeight="1" collapsed="1" thickBot="1">
      <c r="G3191" s="274" t="s">
        <v>4267</v>
      </c>
      <c r="H3191" s="640">
        <f>SUM(H3175:H3190)</f>
        <v>4500000</v>
      </c>
      <c r="I3191" s="641">
        <f>SUM(I3176:I3190)</f>
        <v>0</v>
      </c>
      <c r="J3191" s="641">
        <f>SUM(J3175:J3190)</f>
        <v>4500000</v>
      </c>
    </row>
    <row r="3192" spans="1:25" s="88" customFormat="1" hidden="1">
      <c r="A3192" s="306"/>
      <c r="B3192" s="301"/>
      <c r="C3192" s="361"/>
      <c r="D3192" s="296"/>
      <c r="E3192" s="296"/>
      <c r="F3192" s="302"/>
      <c r="G3192" s="339"/>
      <c r="H3192" s="667"/>
      <c r="I3192" s="650"/>
      <c r="J3192" s="668"/>
      <c r="K3192" s="575"/>
      <c r="L3192" s="575"/>
      <c r="M3192" s="575"/>
      <c r="N3192" s="575"/>
      <c r="O3192" s="575"/>
      <c r="P3192" s="575"/>
      <c r="Q3192" s="575"/>
      <c r="R3192" s="575"/>
      <c r="S3192" s="575"/>
      <c r="T3192" s="575"/>
      <c r="U3192" s="575"/>
      <c r="V3192" s="575"/>
      <c r="W3192" s="575"/>
      <c r="X3192" s="575"/>
      <c r="Y3192" s="575"/>
    </row>
    <row r="3193" spans="1:25" hidden="1">
      <c r="C3193" s="273" t="s">
        <v>4808</v>
      </c>
      <c r="D3193" s="264"/>
      <c r="G3193" s="307" t="s">
        <v>5080</v>
      </c>
    </row>
    <row r="3194" spans="1:25" hidden="1">
      <c r="C3194" s="273"/>
      <c r="D3194" s="357">
        <v>733</v>
      </c>
      <c r="E3194" s="357"/>
      <c r="F3194" s="357"/>
      <c r="G3194" s="378" t="s">
        <v>200</v>
      </c>
    </row>
    <row r="3195" spans="1:25" hidden="1">
      <c r="F3195" s="308">
        <v>411</v>
      </c>
      <c r="G3195" s="340" t="s">
        <v>4173</v>
      </c>
      <c r="J3195" s="635">
        <f>SUM(H3195:I3195)</f>
        <v>0</v>
      </c>
    </row>
    <row r="3196" spans="1:25" hidden="1">
      <c r="F3196" s="308">
        <v>412</v>
      </c>
      <c r="G3196" s="337" t="s">
        <v>3770</v>
      </c>
      <c r="J3196" s="635">
        <f t="shared" ref="J3196:J3254" si="105">SUM(H3196:I3196)</f>
        <v>0</v>
      </c>
    </row>
    <row r="3197" spans="1:25" hidden="1">
      <c r="F3197" s="308">
        <v>413</v>
      </c>
      <c r="G3197" s="340" t="s">
        <v>4174</v>
      </c>
      <c r="J3197" s="635">
        <f t="shared" si="105"/>
        <v>0</v>
      </c>
    </row>
    <row r="3198" spans="1:25" hidden="1">
      <c r="F3198" s="308">
        <v>414</v>
      </c>
      <c r="G3198" s="340" t="s">
        <v>3773</v>
      </c>
      <c r="J3198" s="635">
        <f t="shared" si="105"/>
        <v>0</v>
      </c>
    </row>
    <row r="3199" spans="1:25" hidden="1">
      <c r="F3199" s="308">
        <v>415</v>
      </c>
      <c r="G3199" s="340" t="s">
        <v>4183</v>
      </c>
      <c r="J3199" s="635">
        <f t="shared" si="105"/>
        <v>0</v>
      </c>
    </row>
    <row r="3200" spans="1:25" hidden="1">
      <c r="F3200" s="308">
        <v>416</v>
      </c>
      <c r="G3200" s="340" t="s">
        <v>4184</v>
      </c>
      <c r="J3200" s="635">
        <f t="shared" si="105"/>
        <v>0</v>
      </c>
    </row>
    <row r="3201" spans="6:10" hidden="1">
      <c r="F3201" s="308">
        <v>417</v>
      </c>
      <c r="G3201" s="340" t="s">
        <v>4185</v>
      </c>
      <c r="J3201" s="635">
        <f t="shared" si="105"/>
        <v>0</v>
      </c>
    </row>
    <row r="3202" spans="6:10" hidden="1">
      <c r="F3202" s="308">
        <v>418</v>
      </c>
      <c r="G3202" s="340" t="s">
        <v>3779</v>
      </c>
      <c r="J3202" s="635">
        <f t="shared" si="105"/>
        <v>0</v>
      </c>
    </row>
    <row r="3203" spans="6:10" hidden="1">
      <c r="F3203" s="308">
        <v>421</v>
      </c>
      <c r="G3203" s="340" t="s">
        <v>3783</v>
      </c>
      <c r="J3203" s="635">
        <f t="shared" si="105"/>
        <v>0</v>
      </c>
    </row>
    <row r="3204" spans="6:10" hidden="1">
      <c r="F3204" s="308">
        <v>422</v>
      </c>
      <c r="G3204" s="340" t="s">
        <v>3784</v>
      </c>
      <c r="J3204" s="635">
        <f t="shared" si="105"/>
        <v>0</v>
      </c>
    </row>
    <row r="3205" spans="6:10" hidden="1">
      <c r="F3205" s="308">
        <v>423</v>
      </c>
      <c r="G3205" s="340" t="s">
        <v>3785</v>
      </c>
      <c r="J3205" s="635">
        <f t="shared" si="105"/>
        <v>0</v>
      </c>
    </row>
    <row r="3206" spans="6:10" hidden="1">
      <c r="F3206" s="308">
        <v>424</v>
      </c>
      <c r="G3206" s="340" t="s">
        <v>3787</v>
      </c>
      <c r="J3206" s="635">
        <f t="shared" si="105"/>
        <v>0</v>
      </c>
    </row>
    <row r="3207" spans="6:10" hidden="1">
      <c r="F3207" s="308">
        <v>425</v>
      </c>
      <c r="G3207" s="340" t="s">
        <v>4186</v>
      </c>
      <c r="J3207" s="635">
        <f t="shared" si="105"/>
        <v>0</v>
      </c>
    </row>
    <row r="3208" spans="6:10" hidden="1">
      <c r="F3208" s="308">
        <v>426</v>
      </c>
      <c r="G3208" s="340" t="s">
        <v>3791</v>
      </c>
      <c r="J3208" s="635">
        <f t="shared" si="105"/>
        <v>0</v>
      </c>
    </row>
    <row r="3209" spans="6:10" hidden="1">
      <c r="F3209" s="308">
        <v>431</v>
      </c>
      <c r="G3209" s="340" t="s">
        <v>4187</v>
      </c>
      <c r="J3209" s="635">
        <f t="shared" si="105"/>
        <v>0</v>
      </c>
    </row>
    <row r="3210" spans="6:10" hidden="1">
      <c r="F3210" s="308">
        <v>432</v>
      </c>
      <c r="G3210" s="340" t="s">
        <v>4188</v>
      </c>
      <c r="J3210" s="635">
        <f t="shared" si="105"/>
        <v>0</v>
      </c>
    </row>
    <row r="3211" spans="6:10" hidden="1">
      <c r="F3211" s="308">
        <v>433</v>
      </c>
      <c r="G3211" s="340" t="s">
        <v>4189</v>
      </c>
      <c r="J3211" s="635">
        <f t="shared" si="105"/>
        <v>0</v>
      </c>
    </row>
    <row r="3212" spans="6:10" hidden="1">
      <c r="F3212" s="308">
        <v>434</v>
      </c>
      <c r="G3212" s="340" t="s">
        <v>4190</v>
      </c>
      <c r="J3212" s="635">
        <f t="shared" si="105"/>
        <v>0</v>
      </c>
    </row>
    <row r="3213" spans="6:10" hidden="1">
      <c r="F3213" s="308">
        <v>435</v>
      </c>
      <c r="G3213" s="340" t="s">
        <v>3798</v>
      </c>
      <c r="J3213" s="635">
        <f t="shared" si="105"/>
        <v>0</v>
      </c>
    </row>
    <row r="3214" spans="6:10" hidden="1">
      <c r="F3214" s="308">
        <v>441</v>
      </c>
      <c r="G3214" s="340" t="s">
        <v>4191</v>
      </c>
      <c r="J3214" s="635">
        <f t="shared" si="105"/>
        <v>0</v>
      </c>
    </row>
    <row r="3215" spans="6:10" hidden="1">
      <c r="F3215" s="308">
        <v>442</v>
      </c>
      <c r="G3215" s="340" t="s">
        <v>4192</v>
      </c>
      <c r="J3215" s="635">
        <f t="shared" si="105"/>
        <v>0</v>
      </c>
    </row>
    <row r="3216" spans="6:10" hidden="1">
      <c r="F3216" s="308">
        <v>443</v>
      </c>
      <c r="G3216" s="340" t="s">
        <v>3803</v>
      </c>
      <c r="J3216" s="635">
        <f t="shared" si="105"/>
        <v>0</v>
      </c>
    </row>
    <row r="3217" spans="6:10" hidden="1">
      <c r="F3217" s="308">
        <v>444</v>
      </c>
      <c r="G3217" s="340" t="s">
        <v>3804</v>
      </c>
      <c r="J3217" s="635">
        <f t="shared" si="105"/>
        <v>0</v>
      </c>
    </row>
    <row r="3218" spans="6:10" ht="30" hidden="1">
      <c r="F3218" s="308">
        <v>4511</v>
      </c>
      <c r="G3218" s="268" t="s">
        <v>1690</v>
      </c>
      <c r="J3218" s="635">
        <f t="shared" si="105"/>
        <v>0</v>
      </c>
    </row>
    <row r="3219" spans="6:10" ht="30" hidden="1">
      <c r="F3219" s="308">
        <v>4512</v>
      </c>
      <c r="G3219" s="268" t="s">
        <v>1699</v>
      </c>
      <c r="J3219" s="635">
        <f t="shared" si="105"/>
        <v>0</v>
      </c>
    </row>
    <row r="3220" spans="6:10" hidden="1">
      <c r="F3220" s="308">
        <v>452</v>
      </c>
      <c r="G3220" s="340" t="s">
        <v>4193</v>
      </c>
      <c r="J3220" s="635">
        <f t="shared" si="105"/>
        <v>0</v>
      </c>
    </row>
    <row r="3221" spans="6:10" hidden="1">
      <c r="F3221" s="308">
        <v>453</v>
      </c>
      <c r="G3221" s="340" t="s">
        <v>4194</v>
      </c>
      <c r="J3221" s="635">
        <f t="shared" si="105"/>
        <v>0</v>
      </c>
    </row>
    <row r="3222" spans="6:10" hidden="1">
      <c r="F3222" s="308">
        <v>454</v>
      </c>
      <c r="G3222" s="340" t="s">
        <v>3809</v>
      </c>
      <c r="J3222" s="635">
        <f t="shared" si="105"/>
        <v>0</v>
      </c>
    </row>
    <row r="3223" spans="6:10" hidden="1">
      <c r="F3223" s="308">
        <v>461</v>
      </c>
      <c r="G3223" s="340" t="s">
        <v>4175</v>
      </c>
      <c r="J3223" s="635">
        <f t="shared" si="105"/>
        <v>0</v>
      </c>
    </row>
    <row r="3224" spans="6:10" hidden="1">
      <c r="F3224" s="308">
        <v>462</v>
      </c>
      <c r="G3224" s="340" t="s">
        <v>3812</v>
      </c>
      <c r="J3224" s="635">
        <f t="shared" si="105"/>
        <v>0</v>
      </c>
    </row>
    <row r="3225" spans="6:10" hidden="1">
      <c r="F3225" s="308">
        <v>4631</v>
      </c>
      <c r="G3225" s="340" t="s">
        <v>3813</v>
      </c>
      <c r="J3225" s="635">
        <f t="shared" si="105"/>
        <v>0</v>
      </c>
    </row>
    <row r="3226" spans="6:10" hidden="1">
      <c r="F3226" s="308">
        <v>4632</v>
      </c>
      <c r="G3226" s="340" t="s">
        <v>3814</v>
      </c>
      <c r="J3226" s="635">
        <f t="shared" si="105"/>
        <v>0</v>
      </c>
    </row>
    <row r="3227" spans="6:10" hidden="1">
      <c r="F3227" s="308">
        <v>464</v>
      </c>
      <c r="G3227" s="340" t="s">
        <v>3815</v>
      </c>
      <c r="J3227" s="635">
        <f t="shared" si="105"/>
        <v>0</v>
      </c>
    </row>
    <row r="3228" spans="6:10" hidden="1">
      <c r="F3228" s="308">
        <v>465</v>
      </c>
      <c r="G3228" s="340" t="s">
        <v>4176</v>
      </c>
      <c r="J3228" s="635">
        <f t="shared" si="105"/>
        <v>0</v>
      </c>
    </row>
    <row r="3229" spans="6:10" hidden="1">
      <c r="F3229" s="308">
        <v>472</v>
      </c>
      <c r="G3229" s="340" t="s">
        <v>3819</v>
      </c>
      <c r="J3229" s="635">
        <f t="shared" si="105"/>
        <v>0</v>
      </c>
    </row>
    <row r="3230" spans="6:10" hidden="1">
      <c r="F3230" s="308">
        <v>481</v>
      </c>
      <c r="G3230" s="340" t="s">
        <v>4195</v>
      </c>
      <c r="J3230" s="635">
        <f t="shared" si="105"/>
        <v>0</v>
      </c>
    </row>
    <row r="3231" spans="6:10" hidden="1">
      <c r="F3231" s="308">
        <v>482</v>
      </c>
      <c r="G3231" s="340" t="s">
        <v>4196</v>
      </c>
      <c r="J3231" s="635">
        <f t="shared" si="105"/>
        <v>0</v>
      </c>
    </row>
    <row r="3232" spans="6:10" hidden="1">
      <c r="F3232" s="308">
        <v>483</v>
      </c>
      <c r="G3232" s="343" t="s">
        <v>4197</v>
      </c>
      <c r="J3232" s="635">
        <f t="shared" si="105"/>
        <v>0</v>
      </c>
    </row>
    <row r="3233" spans="6:10" ht="30" hidden="1">
      <c r="F3233" s="308">
        <v>484</v>
      </c>
      <c r="G3233" s="340" t="s">
        <v>4198</v>
      </c>
      <c r="J3233" s="635">
        <f t="shared" si="105"/>
        <v>0</v>
      </c>
    </row>
    <row r="3234" spans="6:10" ht="30" hidden="1">
      <c r="F3234" s="308">
        <v>485</v>
      </c>
      <c r="G3234" s="340" t="s">
        <v>4199</v>
      </c>
      <c r="J3234" s="635">
        <f t="shared" si="105"/>
        <v>0</v>
      </c>
    </row>
    <row r="3235" spans="6:10" ht="30" hidden="1">
      <c r="F3235" s="308">
        <v>489</v>
      </c>
      <c r="G3235" s="340" t="s">
        <v>3827</v>
      </c>
      <c r="J3235" s="635">
        <f t="shared" si="105"/>
        <v>0</v>
      </c>
    </row>
    <row r="3236" spans="6:10" hidden="1">
      <c r="F3236" s="308">
        <v>494</v>
      </c>
      <c r="G3236" s="340" t="s">
        <v>4177</v>
      </c>
      <c r="J3236" s="635">
        <f t="shared" si="105"/>
        <v>0</v>
      </c>
    </row>
    <row r="3237" spans="6:10" ht="30" hidden="1">
      <c r="F3237" s="308">
        <v>495</v>
      </c>
      <c r="G3237" s="340" t="s">
        <v>4178</v>
      </c>
      <c r="J3237" s="635">
        <f t="shared" si="105"/>
        <v>0</v>
      </c>
    </row>
    <row r="3238" spans="6:10" ht="30" hidden="1">
      <c r="F3238" s="308">
        <v>496</v>
      </c>
      <c r="G3238" s="340" t="s">
        <v>4179</v>
      </c>
      <c r="J3238" s="635">
        <f t="shared" si="105"/>
        <v>0</v>
      </c>
    </row>
    <row r="3239" spans="6:10" hidden="1">
      <c r="F3239" s="308">
        <v>499</v>
      </c>
      <c r="G3239" s="340" t="s">
        <v>4180</v>
      </c>
      <c r="J3239" s="635">
        <f t="shared" si="105"/>
        <v>0</v>
      </c>
    </row>
    <row r="3240" spans="6:10" hidden="1">
      <c r="F3240" s="308">
        <v>511</v>
      </c>
      <c r="G3240" s="343" t="s">
        <v>4200</v>
      </c>
      <c r="J3240" s="635">
        <f t="shared" si="105"/>
        <v>0</v>
      </c>
    </row>
    <row r="3241" spans="6:10" hidden="1">
      <c r="F3241" s="308">
        <v>512</v>
      </c>
      <c r="G3241" s="343" t="s">
        <v>4201</v>
      </c>
      <c r="J3241" s="635">
        <f t="shared" si="105"/>
        <v>0</v>
      </c>
    </row>
    <row r="3242" spans="6:10" hidden="1">
      <c r="F3242" s="308">
        <v>513</v>
      </c>
      <c r="G3242" s="343" t="s">
        <v>4202</v>
      </c>
      <c r="J3242" s="635">
        <f t="shared" si="105"/>
        <v>0</v>
      </c>
    </row>
    <row r="3243" spans="6:10" hidden="1">
      <c r="F3243" s="308">
        <v>514</v>
      </c>
      <c r="G3243" s="340" t="s">
        <v>4203</v>
      </c>
      <c r="J3243" s="635">
        <f t="shared" si="105"/>
        <v>0</v>
      </c>
    </row>
    <row r="3244" spans="6:10" hidden="1">
      <c r="F3244" s="308">
        <v>515</v>
      </c>
      <c r="G3244" s="340" t="s">
        <v>3838</v>
      </c>
      <c r="J3244" s="635">
        <f t="shared" si="105"/>
        <v>0</v>
      </c>
    </row>
    <row r="3245" spans="6:10" hidden="1">
      <c r="F3245" s="308">
        <v>521</v>
      </c>
      <c r="G3245" s="340" t="s">
        <v>4204</v>
      </c>
      <c r="J3245" s="635">
        <f t="shared" si="105"/>
        <v>0</v>
      </c>
    </row>
    <row r="3246" spans="6:10" hidden="1">
      <c r="F3246" s="308">
        <v>522</v>
      </c>
      <c r="G3246" s="340" t="s">
        <v>4205</v>
      </c>
      <c r="J3246" s="635">
        <f t="shared" si="105"/>
        <v>0</v>
      </c>
    </row>
    <row r="3247" spans="6:10" hidden="1">
      <c r="F3247" s="308">
        <v>523</v>
      </c>
      <c r="G3247" s="340" t="s">
        <v>3843</v>
      </c>
      <c r="J3247" s="635">
        <f t="shared" si="105"/>
        <v>0</v>
      </c>
    </row>
    <row r="3248" spans="6:10" hidden="1">
      <c r="F3248" s="308">
        <v>531</v>
      </c>
      <c r="G3248" s="337" t="s">
        <v>4181</v>
      </c>
      <c r="J3248" s="635">
        <f t="shared" si="105"/>
        <v>0</v>
      </c>
    </row>
    <row r="3249" spans="5:10" hidden="1">
      <c r="F3249" s="308">
        <v>541</v>
      </c>
      <c r="G3249" s="340" t="s">
        <v>4206</v>
      </c>
      <c r="J3249" s="635">
        <f t="shared" si="105"/>
        <v>0</v>
      </c>
    </row>
    <row r="3250" spans="5:10" hidden="1">
      <c r="F3250" s="308">
        <v>542</v>
      </c>
      <c r="G3250" s="340" t="s">
        <v>4207</v>
      </c>
      <c r="J3250" s="635">
        <f t="shared" si="105"/>
        <v>0</v>
      </c>
    </row>
    <row r="3251" spans="5:10" hidden="1">
      <c r="F3251" s="308">
        <v>543</v>
      </c>
      <c r="G3251" s="340" t="s">
        <v>3848</v>
      </c>
      <c r="J3251" s="635">
        <f t="shared" si="105"/>
        <v>0</v>
      </c>
    </row>
    <row r="3252" spans="5:10" ht="30" hidden="1">
      <c r="F3252" s="308">
        <v>551</v>
      </c>
      <c r="G3252" s="340" t="s">
        <v>4182</v>
      </c>
      <c r="J3252" s="635">
        <f t="shared" si="105"/>
        <v>0</v>
      </c>
    </row>
    <row r="3253" spans="5:10" hidden="1">
      <c r="F3253" s="309">
        <v>611</v>
      </c>
      <c r="G3253" s="344" t="s">
        <v>3854</v>
      </c>
      <c r="J3253" s="635">
        <f t="shared" si="105"/>
        <v>0</v>
      </c>
    </row>
    <row r="3254" spans="5:10" ht="15.75" hidden="1" thickBot="1">
      <c r="F3254" s="309">
        <v>620</v>
      </c>
      <c r="G3254" s="344" t="s">
        <v>88</v>
      </c>
      <c r="J3254" s="635">
        <f t="shared" si="105"/>
        <v>0</v>
      </c>
    </row>
    <row r="3255" spans="5:10" hidden="1">
      <c r="E3255" s="338"/>
      <c r="F3255" s="346"/>
      <c r="G3255" s="371" t="s">
        <v>4476</v>
      </c>
      <c r="H3255" s="636"/>
      <c r="I3255" s="662"/>
      <c r="J3255" s="637"/>
    </row>
    <row r="3256" spans="5:10" hidden="1">
      <c r="E3256" s="267"/>
      <c r="F3256" s="294" t="s">
        <v>234</v>
      </c>
      <c r="G3256" s="297" t="s">
        <v>235</v>
      </c>
      <c r="H3256" s="638">
        <f>SUM(H3195:H3254)</f>
        <v>0</v>
      </c>
      <c r="I3256" s="639"/>
      <c r="J3256" s="639">
        <f>SUM(H3256:I3256)</f>
        <v>0</v>
      </c>
    </row>
    <row r="3257" spans="5:10" hidden="1">
      <c r="F3257" s="294" t="s">
        <v>236</v>
      </c>
      <c r="G3257" s="297" t="s">
        <v>237</v>
      </c>
      <c r="J3257" s="639">
        <f t="shared" ref="J3257:J3271" si="106">SUM(H3257:I3257)</f>
        <v>0</v>
      </c>
    </row>
    <row r="3258" spans="5:10" hidden="1">
      <c r="F3258" s="294" t="s">
        <v>238</v>
      </c>
      <c r="G3258" s="297" t="s">
        <v>239</v>
      </c>
      <c r="J3258" s="639">
        <f t="shared" si="106"/>
        <v>0</v>
      </c>
    </row>
    <row r="3259" spans="5:10" hidden="1">
      <c r="F3259" s="294" t="s">
        <v>240</v>
      </c>
      <c r="G3259" s="297" t="s">
        <v>241</v>
      </c>
      <c r="J3259" s="639">
        <f t="shared" si="106"/>
        <v>0</v>
      </c>
    </row>
    <row r="3260" spans="5:10" hidden="1">
      <c r="F3260" s="294" t="s">
        <v>242</v>
      </c>
      <c r="G3260" s="297" t="s">
        <v>243</v>
      </c>
      <c r="J3260" s="639">
        <f t="shared" si="106"/>
        <v>0</v>
      </c>
    </row>
    <row r="3261" spans="5:10" hidden="1">
      <c r="F3261" s="294" t="s">
        <v>244</v>
      </c>
      <c r="G3261" s="297" t="s">
        <v>245</v>
      </c>
      <c r="J3261" s="639">
        <f t="shared" si="106"/>
        <v>0</v>
      </c>
    </row>
    <row r="3262" spans="5:10" hidden="1">
      <c r="F3262" s="294" t="s">
        <v>246</v>
      </c>
      <c r="G3262" s="683" t="s">
        <v>5121</v>
      </c>
      <c r="J3262" s="639">
        <f t="shared" si="106"/>
        <v>0</v>
      </c>
    </row>
    <row r="3263" spans="5:10" hidden="1">
      <c r="F3263" s="294" t="s">
        <v>247</v>
      </c>
      <c r="G3263" s="683" t="s">
        <v>5120</v>
      </c>
      <c r="J3263" s="639">
        <f t="shared" si="106"/>
        <v>0</v>
      </c>
    </row>
    <row r="3264" spans="5:10" hidden="1">
      <c r="F3264" s="294" t="s">
        <v>248</v>
      </c>
      <c r="G3264" s="297" t="s">
        <v>57</v>
      </c>
      <c r="J3264" s="639">
        <f t="shared" si="106"/>
        <v>0</v>
      </c>
    </row>
    <row r="3265" spans="5:10" hidden="1">
      <c r="F3265" s="294" t="s">
        <v>249</v>
      </c>
      <c r="G3265" s="297" t="s">
        <v>250</v>
      </c>
      <c r="J3265" s="639">
        <f t="shared" si="106"/>
        <v>0</v>
      </c>
    </row>
    <row r="3266" spans="5:10" hidden="1">
      <c r="F3266" s="294" t="s">
        <v>251</v>
      </c>
      <c r="G3266" s="297" t="s">
        <v>252</v>
      </c>
      <c r="J3266" s="639">
        <f t="shared" si="106"/>
        <v>0</v>
      </c>
    </row>
    <row r="3267" spans="5:10" hidden="1">
      <c r="F3267" s="294" t="s">
        <v>253</v>
      </c>
      <c r="G3267" s="297" t="s">
        <v>254</v>
      </c>
      <c r="J3267" s="639">
        <f t="shared" si="106"/>
        <v>0</v>
      </c>
    </row>
    <row r="3268" spans="5:10" hidden="1">
      <c r="F3268" s="294" t="s">
        <v>255</v>
      </c>
      <c r="G3268" s="297" t="s">
        <v>256</v>
      </c>
      <c r="J3268" s="639">
        <f t="shared" si="106"/>
        <v>0</v>
      </c>
    </row>
    <row r="3269" spans="5:10" hidden="1">
      <c r="F3269" s="294" t="s">
        <v>257</v>
      </c>
      <c r="G3269" s="297" t="s">
        <v>258</v>
      </c>
      <c r="J3269" s="639">
        <f t="shared" si="106"/>
        <v>0</v>
      </c>
    </row>
    <row r="3270" spans="5:10" hidden="1">
      <c r="F3270" s="294" t="s">
        <v>259</v>
      </c>
      <c r="G3270" s="297" t="s">
        <v>260</v>
      </c>
      <c r="J3270" s="639">
        <f t="shared" si="106"/>
        <v>0</v>
      </c>
    </row>
    <row r="3271" spans="5:10" ht="15.75" hidden="1" thickBot="1">
      <c r="F3271" s="294" t="s">
        <v>261</v>
      </c>
      <c r="G3271" s="297" t="s">
        <v>262</v>
      </c>
      <c r="H3271" s="638"/>
      <c r="I3271" s="639"/>
      <c r="J3271" s="639">
        <f t="shared" si="106"/>
        <v>0</v>
      </c>
    </row>
    <row r="3272" spans="5:10" ht="15.75" hidden="1" thickBot="1">
      <c r="G3272" s="274" t="s">
        <v>4374</v>
      </c>
      <c r="H3272" s="640">
        <f>SUM(H3256:H3271)</f>
        <v>0</v>
      </c>
      <c r="I3272" s="641">
        <f>SUM(I3257:I3271)</f>
        <v>0</v>
      </c>
      <c r="J3272" s="641">
        <f>SUM(J3256:J3271)</f>
        <v>0</v>
      </c>
    </row>
    <row r="3273" spans="5:10" hidden="1" collapsed="1">
      <c r="E3273" s="305"/>
      <c r="F3273" s="309"/>
      <c r="G3273" s="276" t="s">
        <v>5051</v>
      </c>
      <c r="H3273" s="642"/>
      <c r="I3273" s="663"/>
      <c r="J3273" s="643"/>
    </row>
    <row r="3274" spans="5:10" hidden="1">
      <c r="E3274" s="267"/>
      <c r="F3274" s="294" t="s">
        <v>234</v>
      </c>
      <c r="G3274" s="297" t="s">
        <v>235</v>
      </c>
      <c r="H3274" s="638">
        <f>SUM(H3195:H3254)</f>
        <v>0</v>
      </c>
      <c r="I3274" s="639"/>
      <c r="J3274" s="639">
        <f>SUM(H3274:I3274)</f>
        <v>0</v>
      </c>
    </row>
    <row r="3275" spans="5:10" hidden="1">
      <c r="F3275" s="294" t="s">
        <v>236</v>
      </c>
      <c r="G3275" s="297" t="s">
        <v>237</v>
      </c>
      <c r="J3275" s="639">
        <f t="shared" ref="J3275:J3289" si="107">SUM(H3275:I3275)</f>
        <v>0</v>
      </c>
    </row>
    <row r="3276" spans="5:10" hidden="1">
      <c r="F3276" s="294" t="s">
        <v>238</v>
      </c>
      <c r="G3276" s="297" t="s">
        <v>239</v>
      </c>
      <c r="J3276" s="639">
        <f t="shared" si="107"/>
        <v>0</v>
      </c>
    </row>
    <row r="3277" spans="5:10" hidden="1">
      <c r="F3277" s="294" t="s">
        <v>240</v>
      </c>
      <c r="G3277" s="297" t="s">
        <v>241</v>
      </c>
      <c r="J3277" s="639">
        <f t="shared" si="107"/>
        <v>0</v>
      </c>
    </row>
    <row r="3278" spans="5:10" hidden="1">
      <c r="F3278" s="294" t="s">
        <v>242</v>
      </c>
      <c r="G3278" s="297" t="s">
        <v>243</v>
      </c>
      <c r="J3278" s="639">
        <f t="shared" si="107"/>
        <v>0</v>
      </c>
    </row>
    <row r="3279" spans="5:10" hidden="1">
      <c r="F3279" s="294" t="s">
        <v>244</v>
      </c>
      <c r="G3279" s="297" t="s">
        <v>245</v>
      </c>
      <c r="J3279" s="639">
        <f t="shared" si="107"/>
        <v>0</v>
      </c>
    </row>
    <row r="3280" spans="5:10" hidden="1">
      <c r="F3280" s="294" t="s">
        <v>246</v>
      </c>
      <c r="G3280" s="683" t="s">
        <v>5121</v>
      </c>
      <c r="J3280" s="639">
        <f t="shared" si="107"/>
        <v>0</v>
      </c>
    </row>
    <row r="3281" spans="1:25" hidden="1">
      <c r="F3281" s="294" t="s">
        <v>247</v>
      </c>
      <c r="G3281" s="683" t="s">
        <v>5120</v>
      </c>
      <c r="J3281" s="639">
        <f t="shared" si="107"/>
        <v>0</v>
      </c>
    </row>
    <row r="3282" spans="1:25" hidden="1">
      <c r="F3282" s="294" t="s">
        <v>248</v>
      </c>
      <c r="G3282" s="297" t="s">
        <v>57</v>
      </c>
      <c r="J3282" s="639">
        <f t="shared" si="107"/>
        <v>0</v>
      </c>
    </row>
    <row r="3283" spans="1:25" hidden="1">
      <c r="F3283" s="294" t="s">
        <v>249</v>
      </c>
      <c r="G3283" s="297" t="s">
        <v>250</v>
      </c>
      <c r="J3283" s="639">
        <f t="shared" si="107"/>
        <v>0</v>
      </c>
    </row>
    <row r="3284" spans="1:25" hidden="1">
      <c r="F3284" s="294" t="s">
        <v>251</v>
      </c>
      <c r="G3284" s="297" t="s">
        <v>252</v>
      </c>
      <c r="J3284" s="639">
        <f t="shared" si="107"/>
        <v>0</v>
      </c>
    </row>
    <row r="3285" spans="1:25" hidden="1">
      <c r="F3285" s="294" t="s">
        <v>253</v>
      </c>
      <c r="G3285" s="297" t="s">
        <v>254</v>
      </c>
      <c r="J3285" s="639">
        <f t="shared" si="107"/>
        <v>0</v>
      </c>
    </row>
    <row r="3286" spans="1:25" hidden="1">
      <c r="F3286" s="294" t="s">
        <v>255</v>
      </c>
      <c r="G3286" s="297" t="s">
        <v>256</v>
      </c>
      <c r="J3286" s="639">
        <f t="shared" si="107"/>
        <v>0</v>
      </c>
    </row>
    <row r="3287" spans="1:25" hidden="1">
      <c r="F3287" s="294" t="s">
        <v>257</v>
      </c>
      <c r="G3287" s="297" t="s">
        <v>258</v>
      </c>
      <c r="J3287" s="639">
        <f t="shared" si="107"/>
        <v>0</v>
      </c>
    </row>
    <row r="3288" spans="1:25" hidden="1">
      <c r="F3288" s="294" t="s">
        <v>259</v>
      </c>
      <c r="G3288" s="297" t="s">
        <v>260</v>
      </c>
      <c r="J3288" s="639">
        <f t="shared" si="107"/>
        <v>0</v>
      </c>
    </row>
    <row r="3289" spans="1:25" ht="15.75" hidden="1" thickBot="1">
      <c r="F3289" s="294" t="s">
        <v>261</v>
      </c>
      <c r="G3289" s="297" t="s">
        <v>262</v>
      </c>
      <c r="H3289" s="638"/>
      <c r="I3289" s="639"/>
      <c r="J3289" s="639">
        <f t="shared" si="107"/>
        <v>0</v>
      </c>
    </row>
    <row r="3290" spans="1:25" ht="15.75" hidden="1" collapsed="1" thickBot="1">
      <c r="G3290" s="274" t="s">
        <v>5013</v>
      </c>
      <c r="H3290" s="640">
        <f>SUM(H3274:H3289)</f>
        <v>0</v>
      </c>
      <c r="I3290" s="641">
        <f>SUM(I3275:I3289)</f>
        <v>0</v>
      </c>
      <c r="J3290" s="641">
        <f>SUM(J3274:J3289)</f>
        <v>0</v>
      </c>
    </row>
    <row r="3291" spans="1:25" s="88" customFormat="1" ht="0.75" hidden="1" customHeight="1">
      <c r="A3291" s="306"/>
      <c r="B3291" s="301"/>
      <c r="C3291" s="361"/>
      <c r="D3291" s="296"/>
      <c r="E3291" s="296"/>
      <c r="F3291" s="302"/>
      <c r="G3291" s="339"/>
      <c r="H3291" s="667"/>
      <c r="I3291" s="650"/>
      <c r="J3291" s="668"/>
      <c r="K3291" s="575"/>
      <c r="L3291" s="575"/>
      <c r="M3291" s="575"/>
      <c r="N3291" s="575"/>
      <c r="O3291" s="575"/>
      <c r="P3291" s="575"/>
      <c r="Q3291" s="575"/>
      <c r="R3291" s="575"/>
      <c r="S3291" s="575"/>
      <c r="T3291" s="575"/>
      <c r="U3291" s="575"/>
      <c r="V3291" s="575"/>
      <c r="W3291" s="575"/>
      <c r="X3291" s="575"/>
      <c r="Y3291" s="575"/>
    </row>
    <row r="3292" spans="1:25" s="88" customFormat="1">
      <c r="A3292" s="306"/>
      <c r="B3292" s="301"/>
      <c r="C3292" s="361"/>
      <c r="D3292" s="296"/>
      <c r="E3292" s="296"/>
      <c r="F3292" s="309"/>
      <c r="G3292" s="295" t="s">
        <v>4271</v>
      </c>
      <c r="H3292" s="646"/>
      <c r="I3292" s="664"/>
      <c r="J3292" s="647"/>
      <c r="K3292" s="575"/>
      <c r="L3292" s="575"/>
      <c r="M3292" s="575"/>
      <c r="N3292" s="575"/>
      <c r="O3292" s="575"/>
      <c r="P3292" s="575"/>
      <c r="Q3292" s="575"/>
      <c r="R3292" s="575"/>
      <c r="S3292" s="575"/>
      <c r="T3292" s="575"/>
      <c r="U3292" s="575"/>
      <c r="V3292" s="575"/>
      <c r="W3292" s="575"/>
      <c r="X3292" s="575"/>
      <c r="Y3292" s="575"/>
    </row>
    <row r="3293" spans="1:25" s="88" customFormat="1" ht="15.75" thickBot="1">
      <c r="A3293" s="306"/>
      <c r="B3293" s="301"/>
      <c r="C3293" s="361"/>
      <c r="D3293" s="296"/>
      <c r="E3293" s="296"/>
      <c r="F3293" s="294" t="s">
        <v>234</v>
      </c>
      <c r="G3293" s="297" t="s">
        <v>235</v>
      </c>
      <c r="H3293" s="638">
        <f>SUM(H3274,H3175)</f>
        <v>4500000</v>
      </c>
      <c r="I3293" s="639"/>
      <c r="J3293" s="639">
        <f>SUM(H3293:I3293)</f>
        <v>4500000</v>
      </c>
      <c r="K3293" s="575"/>
      <c r="L3293" s="575"/>
      <c r="M3293" s="575"/>
      <c r="N3293" s="575"/>
      <c r="O3293" s="575"/>
      <c r="P3293" s="575"/>
      <c r="Q3293" s="575"/>
      <c r="R3293" s="575"/>
      <c r="S3293" s="575"/>
      <c r="T3293" s="575"/>
      <c r="U3293" s="575"/>
      <c r="V3293" s="575"/>
      <c r="W3293" s="575"/>
      <c r="X3293" s="575"/>
      <c r="Y3293" s="575"/>
    </row>
    <row r="3294" spans="1:25" s="88" customFormat="1" hidden="1">
      <c r="A3294" s="306"/>
      <c r="B3294" s="301"/>
      <c r="C3294" s="361"/>
      <c r="D3294" s="296"/>
      <c r="E3294" s="296"/>
      <c r="F3294" s="294" t="s">
        <v>236</v>
      </c>
      <c r="G3294" s="297" t="s">
        <v>237</v>
      </c>
      <c r="H3294" s="634"/>
      <c r="I3294" s="635"/>
      <c r="J3294" s="639">
        <f t="shared" ref="J3294:J3308" si="108">SUM(H3294:I3294)</f>
        <v>0</v>
      </c>
      <c r="K3294" s="575"/>
      <c r="L3294" s="575"/>
      <c r="M3294" s="575"/>
      <c r="N3294" s="575"/>
      <c r="O3294" s="575"/>
      <c r="P3294" s="575"/>
      <c r="Q3294" s="575"/>
      <c r="R3294" s="575"/>
      <c r="S3294" s="575"/>
      <c r="T3294" s="575"/>
      <c r="U3294" s="575"/>
      <c r="V3294" s="575"/>
      <c r="W3294" s="575"/>
      <c r="X3294" s="575"/>
      <c r="Y3294" s="575"/>
    </row>
    <row r="3295" spans="1:25" s="88" customFormat="1" hidden="1">
      <c r="A3295" s="306"/>
      <c r="B3295" s="301"/>
      <c r="C3295" s="361"/>
      <c r="D3295" s="296"/>
      <c r="E3295" s="296"/>
      <c r="F3295" s="294" t="s">
        <v>238</v>
      </c>
      <c r="G3295" s="297" t="s">
        <v>239</v>
      </c>
      <c r="H3295" s="634"/>
      <c r="I3295" s="635"/>
      <c r="J3295" s="639">
        <f t="shared" si="108"/>
        <v>0</v>
      </c>
      <c r="K3295" s="575"/>
      <c r="L3295" s="575"/>
      <c r="M3295" s="575"/>
      <c r="N3295" s="575"/>
      <c r="O3295" s="575"/>
      <c r="P3295" s="575"/>
      <c r="Q3295" s="575"/>
      <c r="R3295" s="575"/>
      <c r="S3295" s="575"/>
      <c r="T3295" s="575"/>
      <c r="U3295" s="575"/>
      <c r="V3295" s="575"/>
      <c r="W3295" s="575"/>
      <c r="X3295" s="575"/>
      <c r="Y3295" s="575"/>
    </row>
    <row r="3296" spans="1:25" s="88" customFormat="1" hidden="1">
      <c r="A3296" s="306"/>
      <c r="B3296" s="301"/>
      <c r="C3296" s="361"/>
      <c r="D3296" s="296"/>
      <c r="E3296" s="296"/>
      <c r="F3296" s="294" t="s">
        <v>240</v>
      </c>
      <c r="G3296" s="297" t="s">
        <v>241</v>
      </c>
      <c r="H3296" s="634"/>
      <c r="I3296" s="635"/>
      <c r="J3296" s="639">
        <f t="shared" si="108"/>
        <v>0</v>
      </c>
      <c r="K3296" s="575"/>
      <c r="L3296" s="575"/>
      <c r="M3296" s="575"/>
      <c r="N3296" s="575"/>
      <c r="O3296" s="575"/>
      <c r="P3296" s="575"/>
      <c r="Q3296" s="575"/>
      <c r="R3296" s="575"/>
      <c r="S3296" s="575"/>
      <c r="T3296" s="575"/>
      <c r="U3296" s="575"/>
      <c r="V3296" s="575"/>
      <c r="W3296" s="575"/>
      <c r="X3296" s="575"/>
      <c r="Y3296" s="575"/>
    </row>
    <row r="3297" spans="1:25" s="88" customFormat="1" hidden="1">
      <c r="A3297" s="306"/>
      <c r="B3297" s="301"/>
      <c r="C3297" s="361"/>
      <c r="D3297" s="296"/>
      <c r="E3297" s="296"/>
      <c r="F3297" s="294" t="s">
        <v>242</v>
      </c>
      <c r="G3297" s="297" t="s">
        <v>243</v>
      </c>
      <c r="H3297" s="634"/>
      <c r="I3297" s="635"/>
      <c r="J3297" s="639">
        <f t="shared" si="108"/>
        <v>0</v>
      </c>
      <c r="K3297" s="575"/>
      <c r="L3297" s="575"/>
      <c r="M3297" s="575"/>
      <c r="N3297" s="575"/>
      <c r="O3297" s="575"/>
      <c r="P3297" s="575"/>
      <c r="Q3297" s="575"/>
      <c r="R3297" s="575"/>
      <c r="S3297" s="575"/>
      <c r="T3297" s="575"/>
      <c r="U3297" s="575"/>
      <c r="V3297" s="575"/>
      <c r="W3297" s="575"/>
      <c r="X3297" s="575"/>
      <c r="Y3297" s="575"/>
    </row>
    <row r="3298" spans="1:25" s="88" customFormat="1" hidden="1">
      <c r="A3298" s="306"/>
      <c r="B3298" s="301"/>
      <c r="C3298" s="361"/>
      <c r="D3298" s="296"/>
      <c r="E3298" s="296"/>
      <c r="F3298" s="294" t="s">
        <v>244</v>
      </c>
      <c r="G3298" s="297" t="s">
        <v>245</v>
      </c>
      <c r="H3298" s="634"/>
      <c r="I3298" s="635"/>
      <c r="J3298" s="639">
        <f t="shared" si="108"/>
        <v>0</v>
      </c>
      <c r="K3298" s="575"/>
      <c r="L3298" s="575"/>
      <c r="M3298" s="575"/>
      <c r="N3298" s="575"/>
      <c r="O3298" s="575"/>
      <c r="P3298" s="575"/>
      <c r="Q3298" s="575"/>
      <c r="R3298" s="575"/>
      <c r="S3298" s="575"/>
      <c r="T3298" s="575"/>
      <c r="U3298" s="575"/>
      <c r="V3298" s="575"/>
      <c r="W3298" s="575"/>
      <c r="X3298" s="575"/>
      <c r="Y3298" s="575"/>
    </row>
    <row r="3299" spans="1:25" s="88" customFormat="1" hidden="1">
      <c r="A3299" s="306"/>
      <c r="B3299" s="301"/>
      <c r="C3299" s="361"/>
      <c r="D3299" s="296"/>
      <c r="E3299" s="296"/>
      <c r="F3299" s="294" t="s">
        <v>246</v>
      </c>
      <c r="G3299" s="683" t="s">
        <v>5121</v>
      </c>
      <c r="H3299" s="634"/>
      <c r="I3299" s="635"/>
      <c r="J3299" s="639">
        <f t="shared" si="108"/>
        <v>0</v>
      </c>
      <c r="K3299" s="575"/>
      <c r="L3299" s="575"/>
      <c r="M3299" s="575"/>
      <c r="N3299" s="575"/>
      <c r="O3299" s="575"/>
      <c r="P3299" s="575"/>
      <c r="Q3299" s="575"/>
      <c r="R3299" s="575"/>
      <c r="S3299" s="575"/>
      <c r="T3299" s="575"/>
      <c r="U3299" s="575"/>
      <c r="V3299" s="575"/>
      <c r="W3299" s="575"/>
      <c r="X3299" s="575"/>
      <c r="Y3299" s="575"/>
    </row>
    <row r="3300" spans="1:25" s="88" customFormat="1" hidden="1">
      <c r="A3300" s="306"/>
      <c r="B3300" s="301"/>
      <c r="C3300" s="361"/>
      <c r="D3300" s="296"/>
      <c r="E3300" s="296"/>
      <c r="F3300" s="294" t="s">
        <v>247</v>
      </c>
      <c r="G3300" s="683" t="s">
        <v>5120</v>
      </c>
      <c r="H3300" s="634"/>
      <c r="I3300" s="635"/>
      <c r="J3300" s="639">
        <f t="shared" si="108"/>
        <v>0</v>
      </c>
      <c r="K3300" s="575"/>
      <c r="L3300" s="575"/>
      <c r="M3300" s="575"/>
      <c r="N3300" s="575"/>
      <c r="O3300" s="575"/>
      <c r="P3300" s="575"/>
      <c r="Q3300" s="575"/>
      <c r="R3300" s="575"/>
      <c r="S3300" s="575"/>
      <c r="T3300" s="575"/>
      <c r="U3300" s="575"/>
      <c r="V3300" s="575"/>
      <c r="W3300" s="575"/>
      <c r="X3300" s="575"/>
      <c r="Y3300" s="575"/>
    </row>
    <row r="3301" spans="1:25" s="88" customFormat="1" hidden="1">
      <c r="A3301" s="306"/>
      <c r="B3301" s="301"/>
      <c r="C3301" s="361"/>
      <c r="D3301" s="296"/>
      <c r="E3301" s="296"/>
      <c r="F3301" s="294" t="s">
        <v>248</v>
      </c>
      <c r="G3301" s="297" t="s">
        <v>57</v>
      </c>
      <c r="H3301" s="634"/>
      <c r="I3301" s="635"/>
      <c r="J3301" s="639">
        <f t="shared" si="108"/>
        <v>0</v>
      </c>
      <c r="K3301" s="575"/>
      <c r="L3301" s="575"/>
      <c r="M3301" s="575"/>
      <c r="N3301" s="575"/>
      <c r="O3301" s="575"/>
      <c r="P3301" s="575"/>
      <c r="Q3301" s="575"/>
      <c r="R3301" s="575"/>
      <c r="S3301" s="575"/>
      <c r="T3301" s="575"/>
      <c r="U3301" s="575"/>
      <c r="V3301" s="575"/>
      <c r="W3301" s="575"/>
      <c r="X3301" s="575"/>
      <c r="Y3301" s="575"/>
    </row>
    <row r="3302" spans="1:25" s="88" customFormat="1" hidden="1">
      <c r="A3302" s="306"/>
      <c r="B3302" s="301"/>
      <c r="C3302" s="361"/>
      <c r="D3302" s="296"/>
      <c r="E3302" s="296"/>
      <c r="F3302" s="294" t="s">
        <v>249</v>
      </c>
      <c r="G3302" s="297" t="s">
        <v>250</v>
      </c>
      <c r="H3302" s="634"/>
      <c r="I3302" s="635"/>
      <c r="J3302" s="639">
        <f t="shared" si="108"/>
        <v>0</v>
      </c>
      <c r="K3302" s="575"/>
      <c r="L3302" s="575"/>
      <c r="M3302" s="575"/>
      <c r="N3302" s="575"/>
      <c r="O3302" s="575"/>
      <c r="P3302" s="575"/>
      <c r="Q3302" s="575"/>
      <c r="R3302" s="575"/>
      <c r="S3302" s="575"/>
      <c r="T3302" s="575"/>
      <c r="U3302" s="575"/>
      <c r="V3302" s="575"/>
      <c r="W3302" s="575"/>
      <c r="X3302" s="575"/>
      <c r="Y3302" s="575"/>
    </row>
    <row r="3303" spans="1:25" s="88" customFormat="1" hidden="1">
      <c r="A3303" s="306"/>
      <c r="B3303" s="301"/>
      <c r="C3303" s="361"/>
      <c r="D3303" s="296"/>
      <c r="E3303" s="296"/>
      <c r="F3303" s="294" t="s">
        <v>251</v>
      </c>
      <c r="G3303" s="297" t="s">
        <v>252</v>
      </c>
      <c r="H3303" s="634"/>
      <c r="I3303" s="635"/>
      <c r="J3303" s="639">
        <f t="shared" si="108"/>
        <v>0</v>
      </c>
      <c r="K3303" s="575"/>
      <c r="L3303" s="575"/>
      <c r="M3303" s="575"/>
      <c r="N3303" s="575"/>
      <c r="O3303" s="575"/>
      <c r="P3303" s="575"/>
      <c r="Q3303" s="575"/>
      <c r="R3303" s="575"/>
      <c r="S3303" s="575"/>
      <c r="T3303" s="575"/>
      <c r="U3303" s="575"/>
      <c r="V3303" s="575"/>
      <c r="W3303" s="575"/>
      <c r="X3303" s="575"/>
      <c r="Y3303" s="575"/>
    </row>
    <row r="3304" spans="1:25" s="88" customFormat="1" hidden="1">
      <c r="A3304" s="306"/>
      <c r="B3304" s="301"/>
      <c r="C3304" s="361"/>
      <c r="D3304" s="296"/>
      <c r="E3304" s="296"/>
      <c r="F3304" s="294" t="s">
        <v>253</v>
      </c>
      <c r="G3304" s="297" t="s">
        <v>254</v>
      </c>
      <c r="H3304" s="634"/>
      <c r="I3304" s="635"/>
      <c r="J3304" s="639">
        <f t="shared" si="108"/>
        <v>0</v>
      </c>
      <c r="K3304" s="575"/>
      <c r="L3304" s="575"/>
      <c r="M3304" s="575"/>
      <c r="N3304" s="575"/>
      <c r="O3304" s="575"/>
      <c r="P3304" s="575"/>
      <c r="Q3304" s="575"/>
      <c r="R3304" s="575"/>
      <c r="S3304" s="575"/>
      <c r="T3304" s="575"/>
      <c r="U3304" s="575"/>
      <c r="V3304" s="575"/>
      <c r="W3304" s="575"/>
      <c r="X3304" s="575"/>
      <c r="Y3304" s="575"/>
    </row>
    <row r="3305" spans="1:25" s="88" customFormat="1" hidden="1">
      <c r="A3305" s="306"/>
      <c r="B3305" s="301"/>
      <c r="C3305" s="361"/>
      <c r="D3305" s="296"/>
      <c r="E3305" s="296"/>
      <c r="F3305" s="294" t="s">
        <v>255</v>
      </c>
      <c r="G3305" s="297" t="s">
        <v>256</v>
      </c>
      <c r="H3305" s="634"/>
      <c r="I3305" s="635"/>
      <c r="J3305" s="639">
        <f t="shared" si="108"/>
        <v>0</v>
      </c>
      <c r="K3305" s="575"/>
      <c r="L3305" s="575"/>
      <c r="M3305" s="575"/>
      <c r="N3305" s="575"/>
      <c r="O3305" s="575"/>
      <c r="P3305" s="575"/>
      <c r="Q3305" s="575"/>
      <c r="R3305" s="575"/>
      <c r="S3305" s="575"/>
      <c r="T3305" s="575"/>
      <c r="U3305" s="575"/>
      <c r="V3305" s="575"/>
      <c r="W3305" s="575"/>
      <c r="X3305" s="575"/>
      <c r="Y3305" s="575"/>
    </row>
    <row r="3306" spans="1:25" s="88" customFormat="1" hidden="1">
      <c r="A3306" s="306"/>
      <c r="B3306" s="301"/>
      <c r="C3306" s="361"/>
      <c r="D3306" s="296"/>
      <c r="E3306" s="296"/>
      <c r="F3306" s="294" t="s">
        <v>257</v>
      </c>
      <c r="G3306" s="297" t="s">
        <v>258</v>
      </c>
      <c r="H3306" s="634"/>
      <c r="I3306" s="635"/>
      <c r="J3306" s="639">
        <f t="shared" si="108"/>
        <v>0</v>
      </c>
      <c r="K3306" s="575"/>
      <c r="L3306" s="575"/>
      <c r="M3306" s="575"/>
      <c r="N3306" s="575"/>
      <c r="O3306" s="575"/>
      <c r="P3306" s="575"/>
      <c r="Q3306" s="575"/>
      <c r="R3306" s="575"/>
      <c r="S3306" s="575"/>
      <c r="T3306" s="575"/>
      <c r="U3306" s="575"/>
      <c r="V3306" s="575"/>
      <c r="W3306" s="575"/>
      <c r="X3306" s="575"/>
      <c r="Y3306" s="575"/>
    </row>
    <row r="3307" spans="1:25" s="88" customFormat="1" hidden="1">
      <c r="A3307" s="306"/>
      <c r="B3307" s="301"/>
      <c r="C3307" s="361"/>
      <c r="D3307" s="296"/>
      <c r="E3307" s="296"/>
      <c r="F3307" s="294" t="s">
        <v>259</v>
      </c>
      <c r="G3307" s="297" t="s">
        <v>260</v>
      </c>
      <c r="H3307" s="634"/>
      <c r="I3307" s="635"/>
      <c r="J3307" s="639">
        <f t="shared" si="108"/>
        <v>0</v>
      </c>
      <c r="K3307" s="575"/>
      <c r="L3307" s="575"/>
      <c r="M3307" s="575"/>
      <c r="N3307" s="575"/>
      <c r="O3307" s="575"/>
      <c r="P3307" s="575"/>
      <c r="Q3307" s="575"/>
      <c r="R3307" s="575"/>
      <c r="S3307" s="575"/>
      <c r="T3307" s="575"/>
      <c r="U3307" s="575"/>
      <c r="V3307" s="575"/>
      <c r="W3307" s="575"/>
      <c r="X3307" s="575"/>
      <c r="Y3307" s="575"/>
    </row>
    <row r="3308" spans="1:25" s="88" customFormat="1" ht="14.25" hidden="1" customHeight="1" thickBot="1">
      <c r="A3308" s="306"/>
      <c r="B3308" s="301"/>
      <c r="C3308" s="361"/>
      <c r="D3308" s="296"/>
      <c r="E3308" s="296"/>
      <c r="F3308" s="294" t="s">
        <v>261</v>
      </c>
      <c r="G3308" s="297" t="s">
        <v>262</v>
      </c>
      <c r="H3308" s="638"/>
      <c r="I3308" s="639"/>
      <c r="J3308" s="639">
        <f t="shared" si="108"/>
        <v>0</v>
      </c>
      <c r="K3308" s="575"/>
      <c r="L3308" s="575"/>
      <c r="M3308" s="575"/>
      <c r="N3308" s="575"/>
      <c r="O3308" s="575"/>
      <c r="P3308" s="575"/>
      <c r="Q3308" s="575"/>
      <c r="R3308" s="575"/>
      <c r="S3308" s="575"/>
      <c r="T3308" s="575"/>
      <c r="U3308" s="575"/>
      <c r="V3308" s="575"/>
      <c r="W3308" s="575"/>
      <c r="X3308" s="575"/>
      <c r="Y3308" s="575"/>
    </row>
    <row r="3309" spans="1:25" s="88" customFormat="1" ht="14.25" customHeight="1" thickBot="1">
      <c r="A3309" s="306"/>
      <c r="B3309" s="301"/>
      <c r="C3309" s="361"/>
      <c r="D3309" s="296"/>
      <c r="E3309" s="296"/>
      <c r="F3309" s="263"/>
      <c r="G3309" s="274" t="s">
        <v>4272</v>
      </c>
      <c r="H3309" s="640">
        <f>SUM(H3293:H3308)</f>
        <v>4500000</v>
      </c>
      <c r="I3309" s="641">
        <f>SUM(I3294:I3308)</f>
        <v>0</v>
      </c>
      <c r="J3309" s="641">
        <f>SUM(J3293:J3308)</f>
        <v>4500000</v>
      </c>
      <c r="K3309" s="575"/>
      <c r="L3309" s="575"/>
      <c r="M3309" s="575"/>
      <c r="N3309" s="575"/>
      <c r="O3309" s="575"/>
      <c r="P3309" s="575"/>
      <c r="Q3309" s="575"/>
      <c r="R3309" s="575"/>
      <c r="S3309" s="575"/>
      <c r="T3309" s="575"/>
      <c r="U3309" s="575"/>
      <c r="V3309" s="575"/>
      <c r="W3309" s="575"/>
      <c r="X3309" s="575"/>
      <c r="Y3309" s="575"/>
    </row>
    <row r="3310" spans="1:25" s="88" customFormat="1" ht="21.75" hidden="1" customHeight="1">
      <c r="A3310" s="306"/>
      <c r="B3310" s="301"/>
      <c r="C3310" s="361"/>
      <c r="D3310" s="296"/>
      <c r="E3310" s="296"/>
      <c r="F3310" s="302"/>
      <c r="G3310" s="339"/>
      <c r="H3310" s="667"/>
      <c r="I3310" s="650"/>
      <c r="J3310" s="668"/>
      <c r="K3310" s="575"/>
      <c r="L3310" s="575"/>
      <c r="M3310" s="575"/>
      <c r="N3310" s="575"/>
      <c r="O3310" s="575"/>
      <c r="P3310" s="575"/>
      <c r="Q3310" s="575"/>
      <c r="R3310" s="575"/>
      <c r="S3310" s="575"/>
      <c r="T3310" s="575"/>
      <c r="U3310" s="575"/>
      <c r="V3310" s="575"/>
      <c r="W3310" s="575"/>
      <c r="X3310" s="575"/>
      <c r="Y3310" s="575"/>
    </row>
    <row r="3311" spans="1:25" s="88" customFormat="1" ht="0.75" customHeight="1">
      <c r="A3311" s="465"/>
      <c r="B3311" s="301"/>
      <c r="C3311" s="361"/>
      <c r="D3311" s="296"/>
      <c r="E3311" s="296"/>
      <c r="F3311" s="302"/>
      <c r="G3311" s="463"/>
      <c r="H3311" s="667"/>
      <c r="I3311" s="650"/>
      <c r="J3311" s="668"/>
      <c r="K3311" s="575"/>
      <c r="L3311" s="575"/>
      <c r="M3311" s="575"/>
      <c r="N3311" s="575"/>
      <c r="O3311" s="575"/>
      <c r="P3311" s="575"/>
      <c r="Q3311" s="575"/>
      <c r="R3311" s="575"/>
      <c r="S3311" s="575"/>
      <c r="T3311" s="575"/>
      <c r="U3311" s="575"/>
      <c r="V3311" s="575"/>
      <c r="W3311" s="575"/>
      <c r="X3311" s="575"/>
      <c r="Y3311" s="575"/>
    </row>
    <row r="3312" spans="1:25">
      <c r="C3312" s="273" t="s">
        <v>3597</v>
      </c>
      <c r="D3312" s="264"/>
      <c r="G3312" s="453" t="s">
        <v>4316</v>
      </c>
    </row>
    <row r="3313" spans="1:25" ht="18.75" customHeight="1">
      <c r="C3313" s="273" t="s">
        <v>4132</v>
      </c>
      <c r="D3313" s="264"/>
      <c r="G3313" s="453" t="s">
        <v>4133</v>
      </c>
    </row>
    <row r="3314" spans="1:25" s="88" customFormat="1">
      <c r="A3314" s="455"/>
      <c r="B3314" s="301"/>
      <c r="C3314" s="310"/>
      <c r="D3314" s="379" t="s">
        <v>4013</v>
      </c>
      <c r="E3314" s="374"/>
      <c r="F3314" s="374"/>
      <c r="G3314" s="375" t="s">
        <v>206</v>
      </c>
      <c r="H3314" s="651"/>
      <c r="I3314" s="652"/>
      <c r="J3314" s="652"/>
      <c r="K3314" s="575"/>
      <c r="L3314" s="575"/>
      <c r="M3314" s="575"/>
      <c r="N3314" s="575"/>
      <c r="O3314" s="575"/>
      <c r="P3314" s="575"/>
      <c r="Q3314" s="575"/>
      <c r="R3314" s="575"/>
      <c r="S3314" s="575"/>
      <c r="T3314" s="575"/>
      <c r="U3314" s="575"/>
      <c r="V3314" s="575"/>
      <c r="W3314" s="575"/>
      <c r="X3314" s="575"/>
      <c r="Y3314" s="575"/>
    </row>
    <row r="3315" spans="1:25" hidden="1">
      <c r="C3315" s="273"/>
      <c r="F3315" s="458">
        <v>411</v>
      </c>
      <c r="G3315" s="454" t="s">
        <v>4173</v>
      </c>
      <c r="J3315" s="635">
        <f>SUM(H3315:I3315)</f>
        <v>0</v>
      </c>
    </row>
    <row r="3316" spans="1:25" hidden="1">
      <c r="C3316" s="273"/>
      <c r="F3316" s="458">
        <v>412</v>
      </c>
      <c r="G3316" s="451" t="s">
        <v>3770</v>
      </c>
      <c r="J3316" s="635">
        <f t="shared" ref="J3316:J3374" si="109">SUM(H3316:I3316)</f>
        <v>0</v>
      </c>
    </row>
    <row r="3317" spans="1:25" hidden="1">
      <c r="C3317" s="273"/>
      <c r="F3317" s="458">
        <v>413</v>
      </c>
      <c r="G3317" s="454" t="s">
        <v>4174</v>
      </c>
      <c r="J3317" s="635">
        <f t="shared" si="109"/>
        <v>0</v>
      </c>
    </row>
    <row r="3318" spans="1:25" hidden="1">
      <c r="C3318" s="273"/>
      <c r="F3318" s="458">
        <v>414</v>
      </c>
      <c r="G3318" s="454" t="s">
        <v>3773</v>
      </c>
      <c r="J3318" s="635">
        <f t="shared" si="109"/>
        <v>0</v>
      </c>
    </row>
    <row r="3319" spans="1:25" hidden="1">
      <c r="C3319" s="273"/>
      <c r="F3319" s="458">
        <v>415</v>
      </c>
      <c r="G3319" s="454" t="s">
        <v>4183</v>
      </c>
      <c r="J3319" s="635">
        <f t="shared" si="109"/>
        <v>0</v>
      </c>
    </row>
    <row r="3320" spans="1:25" hidden="1">
      <c r="C3320" s="273"/>
      <c r="F3320" s="458">
        <v>416</v>
      </c>
      <c r="G3320" s="454" t="s">
        <v>4184</v>
      </c>
      <c r="J3320" s="635">
        <f t="shared" si="109"/>
        <v>0</v>
      </c>
    </row>
    <row r="3321" spans="1:25" hidden="1">
      <c r="C3321" s="273"/>
      <c r="F3321" s="458">
        <v>417</v>
      </c>
      <c r="G3321" s="454" t="s">
        <v>4185</v>
      </c>
      <c r="J3321" s="635">
        <f t="shared" si="109"/>
        <v>0</v>
      </c>
    </row>
    <row r="3322" spans="1:25" hidden="1">
      <c r="C3322" s="273"/>
      <c r="F3322" s="458">
        <v>418</v>
      </c>
      <c r="G3322" s="454" t="s">
        <v>3779</v>
      </c>
      <c r="J3322" s="635">
        <f t="shared" si="109"/>
        <v>0</v>
      </c>
    </row>
    <row r="3323" spans="1:25" hidden="1">
      <c r="C3323" s="273"/>
      <c r="F3323" s="458">
        <v>421</v>
      </c>
      <c r="G3323" s="454" t="s">
        <v>3783</v>
      </c>
      <c r="J3323" s="635">
        <f t="shared" si="109"/>
        <v>0</v>
      </c>
    </row>
    <row r="3324" spans="1:25" hidden="1">
      <c r="C3324" s="273"/>
      <c r="F3324" s="458">
        <v>422</v>
      </c>
      <c r="G3324" s="454" t="s">
        <v>3784</v>
      </c>
      <c r="J3324" s="635">
        <f t="shared" si="109"/>
        <v>0</v>
      </c>
    </row>
    <row r="3325" spans="1:25" hidden="1">
      <c r="C3325" s="273"/>
      <c r="F3325" s="458">
        <v>423</v>
      </c>
      <c r="G3325" s="454" t="s">
        <v>3785</v>
      </c>
      <c r="J3325" s="635">
        <f t="shared" si="109"/>
        <v>0</v>
      </c>
    </row>
    <row r="3326" spans="1:25" hidden="1">
      <c r="C3326" s="273"/>
      <c r="F3326" s="458">
        <v>424</v>
      </c>
      <c r="G3326" s="454" t="s">
        <v>3787</v>
      </c>
      <c r="J3326" s="635">
        <f t="shared" si="109"/>
        <v>0</v>
      </c>
    </row>
    <row r="3327" spans="1:25" hidden="1">
      <c r="C3327" s="273"/>
      <c r="F3327" s="458">
        <v>425</v>
      </c>
      <c r="G3327" s="454" t="s">
        <v>4186</v>
      </c>
      <c r="J3327" s="635">
        <f t="shared" si="109"/>
        <v>0</v>
      </c>
    </row>
    <row r="3328" spans="1:25" hidden="1">
      <c r="C3328" s="273"/>
      <c r="F3328" s="458">
        <v>426</v>
      </c>
      <c r="G3328" s="454" t="s">
        <v>3791</v>
      </c>
      <c r="J3328" s="635">
        <f t="shared" si="109"/>
        <v>0</v>
      </c>
    </row>
    <row r="3329" spans="3:10" hidden="1">
      <c r="C3329" s="273"/>
      <c r="F3329" s="458">
        <v>431</v>
      </c>
      <c r="G3329" s="454" t="s">
        <v>4187</v>
      </c>
      <c r="J3329" s="635">
        <f t="shared" si="109"/>
        <v>0</v>
      </c>
    </row>
    <row r="3330" spans="3:10" hidden="1">
      <c r="C3330" s="273"/>
      <c r="F3330" s="458">
        <v>432</v>
      </c>
      <c r="G3330" s="454" t="s">
        <v>4188</v>
      </c>
      <c r="J3330" s="635">
        <f t="shared" si="109"/>
        <v>0</v>
      </c>
    </row>
    <row r="3331" spans="3:10" hidden="1">
      <c r="C3331" s="273"/>
      <c r="F3331" s="458">
        <v>433</v>
      </c>
      <c r="G3331" s="454" t="s">
        <v>4189</v>
      </c>
      <c r="J3331" s="635">
        <f t="shared" si="109"/>
        <v>0</v>
      </c>
    </row>
    <row r="3332" spans="3:10" hidden="1">
      <c r="C3332" s="273"/>
      <c r="F3332" s="458">
        <v>434</v>
      </c>
      <c r="G3332" s="454" t="s">
        <v>4190</v>
      </c>
      <c r="J3332" s="635">
        <f t="shared" si="109"/>
        <v>0</v>
      </c>
    </row>
    <row r="3333" spans="3:10" hidden="1">
      <c r="C3333" s="273"/>
      <c r="F3333" s="458">
        <v>435</v>
      </c>
      <c r="G3333" s="454" t="s">
        <v>3798</v>
      </c>
      <c r="J3333" s="635">
        <f t="shared" si="109"/>
        <v>0</v>
      </c>
    </row>
    <row r="3334" spans="3:10" hidden="1">
      <c r="C3334" s="273"/>
      <c r="F3334" s="458">
        <v>441</v>
      </c>
      <c r="G3334" s="454" t="s">
        <v>4191</v>
      </c>
      <c r="J3334" s="635">
        <f t="shared" si="109"/>
        <v>0</v>
      </c>
    </row>
    <row r="3335" spans="3:10" hidden="1">
      <c r="C3335" s="273"/>
      <c r="F3335" s="458">
        <v>442</v>
      </c>
      <c r="G3335" s="454" t="s">
        <v>4192</v>
      </c>
      <c r="J3335" s="635">
        <f t="shared" si="109"/>
        <v>0</v>
      </c>
    </row>
    <row r="3336" spans="3:10" hidden="1">
      <c r="C3336" s="273"/>
      <c r="F3336" s="458">
        <v>443</v>
      </c>
      <c r="G3336" s="454" t="s">
        <v>3803</v>
      </c>
      <c r="J3336" s="635">
        <f t="shared" si="109"/>
        <v>0</v>
      </c>
    </row>
    <row r="3337" spans="3:10" hidden="1">
      <c r="C3337" s="273"/>
      <c r="F3337" s="458">
        <v>444</v>
      </c>
      <c r="G3337" s="454" t="s">
        <v>3804</v>
      </c>
      <c r="J3337" s="635">
        <f t="shared" si="109"/>
        <v>0</v>
      </c>
    </row>
    <row r="3338" spans="3:10" ht="30" hidden="1">
      <c r="C3338" s="273"/>
      <c r="F3338" s="458">
        <v>4511</v>
      </c>
      <c r="G3338" s="268" t="s">
        <v>1690</v>
      </c>
      <c r="J3338" s="635">
        <f t="shared" si="109"/>
        <v>0</v>
      </c>
    </row>
    <row r="3339" spans="3:10" ht="16.5" hidden="1" customHeight="1">
      <c r="C3339" s="273"/>
      <c r="F3339" s="458">
        <v>4512</v>
      </c>
      <c r="G3339" s="268" t="s">
        <v>1699</v>
      </c>
      <c r="J3339" s="635">
        <f t="shared" si="109"/>
        <v>0</v>
      </c>
    </row>
    <row r="3340" spans="3:10" hidden="1">
      <c r="C3340" s="273"/>
      <c r="F3340" s="458">
        <v>452</v>
      </c>
      <c r="G3340" s="454" t="s">
        <v>4193</v>
      </c>
      <c r="J3340" s="635">
        <f t="shared" si="109"/>
        <v>0</v>
      </c>
    </row>
    <row r="3341" spans="3:10" hidden="1">
      <c r="C3341" s="273"/>
      <c r="F3341" s="458">
        <v>453</v>
      </c>
      <c r="G3341" s="454" t="s">
        <v>4194</v>
      </c>
      <c r="J3341" s="635">
        <f t="shared" si="109"/>
        <v>0</v>
      </c>
    </row>
    <row r="3342" spans="3:10" hidden="1">
      <c r="C3342" s="273"/>
      <c r="F3342" s="458">
        <v>454</v>
      </c>
      <c r="G3342" s="454" t="s">
        <v>3809</v>
      </c>
      <c r="J3342" s="635">
        <f t="shared" si="109"/>
        <v>0</v>
      </c>
    </row>
    <row r="3343" spans="3:10" hidden="1">
      <c r="C3343" s="273"/>
      <c r="F3343" s="458">
        <v>461</v>
      </c>
      <c r="G3343" s="454" t="s">
        <v>4175</v>
      </c>
      <c r="J3343" s="635">
        <f t="shared" si="109"/>
        <v>0</v>
      </c>
    </row>
    <row r="3344" spans="3:10" hidden="1">
      <c r="C3344" s="273"/>
      <c r="F3344" s="458">
        <v>462</v>
      </c>
      <c r="G3344" s="454" t="s">
        <v>3812</v>
      </c>
      <c r="J3344" s="635">
        <f t="shared" si="109"/>
        <v>0</v>
      </c>
    </row>
    <row r="3345" spans="3:10" hidden="1">
      <c r="C3345" s="273"/>
      <c r="F3345" s="458">
        <v>4631</v>
      </c>
      <c r="G3345" s="454" t="s">
        <v>3813</v>
      </c>
      <c r="J3345" s="635">
        <f t="shared" si="109"/>
        <v>0</v>
      </c>
    </row>
    <row r="3346" spans="3:10" hidden="1">
      <c r="C3346" s="273"/>
      <c r="F3346" s="458">
        <v>4632</v>
      </c>
      <c r="G3346" s="454" t="s">
        <v>3814</v>
      </c>
      <c r="J3346" s="635">
        <f t="shared" si="109"/>
        <v>0</v>
      </c>
    </row>
    <row r="3347" spans="3:10" hidden="1">
      <c r="C3347" s="273"/>
      <c r="F3347" s="458">
        <v>464</v>
      </c>
      <c r="G3347" s="454" t="s">
        <v>3815</v>
      </c>
      <c r="J3347" s="635">
        <f t="shared" si="109"/>
        <v>0</v>
      </c>
    </row>
    <row r="3348" spans="3:10" hidden="1">
      <c r="C3348" s="273"/>
      <c r="F3348" s="458">
        <v>465</v>
      </c>
      <c r="G3348" s="454" t="s">
        <v>4176</v>
      </c>
      <c r="J3348" s="635">
        <f t="shared" si="109"/>
        <v>0</v>
      </c>
    </row>
    <row r="3349" spans="3:10" hidden="1">
      <c r="C3349" s="273"/>
      <c r="F3349" s="458">
        <v>472</v>
      </c>
      <c r="G3349" s="454" t="s">
        <v>3819</v>
      </c>
      <c r="J3349" s="635">
        <f t="shared" si="109"/>
        <v>0</v>
      </c>
    </row>
    <row r="3350" spans="3:10" ht="15.75" thickBot="1">
      <c r="C3350" s="273"/>
      <c r="E3350" s="263">
        <v>66</v>
      </c>
      <c r="F3350" s="458">
        <v>481</v>
      </c>
      <c r="G3350" s="454" t="s">
        <v>4195</v>
      </c>
      <c r="H3350" s="634">
        <v>9000000</v>
      </c>
      <c r="J3350" s="635">
        <f t="shared" si="109"/>
        <v>9000000</v>
      </c>
    </row>
    <row r="3351" spans="3:10" ht="15.75" hidden="1" thickBot="1">
      <c r="C3351" s="273"/>
      <c r="F3351" s="458">
        <v>482</v>
      </c>
      <c r="G3351" s="454" t="s">
        <v>4196</v>
      </c>
      <c r="J3351" s="635">
        <f t="shared" si="109"/>
        <v>0</v>
      </c>
    </row>
    <row r="3352" spans="3:10" ht="15.75" hidden="1" thickBot="1">
      <c r="C3352" s="273"/>
      <c r="F3352" s="458">
        <v>483</v>
      </c>
      <c r="G3352" s="456" t="s">
        <v>4197</v>
      </c>
      <c r="J3352" s="635">
        <f t="shared" si="109"/>
        <v>0</v>
      </c>
    </row>
    <row r="3353" spans="3:10" ht="30.75" hidden="1" thickBot="1">
      <c r="C3353" s="273"/>
      <c r="F3353" s="458">
        <v>484</v>
      </c>
      <c r="G3353" s="454" t="s">
        <v>4198</v>
      </c>
      <c r="J3353" s="635">
        <f t="shared" si="109"/>
        <v>0</v>
      </c>
    </row>
    <row r="3354" spans="3:10" ht="30.75" hidden="1" thickBot="1">
      <c r="C3354" s="273"/>
      <c r="F3354" s="458">
        <v>485</v>
      </c>
      <c r="G3354" s="454" t="s">
        <v>4199</v>
      </c>
      <c r="J3354" s="635">
        <f t="shared" si="109"/>
        <v>0</v>
      </c>
    </row>
    <row r="3355" spans="3:10" ht="30.75" hidden="1" thickBot="1">
      <c r="C3355" s="273"/>
      <c r="F3355" s="458">
        <v>489</v>
      </c>
      <c r="G3355" s="454" t="s">
        <v>3827</v>
      </c>
      <c r="J3355" s="635">
        <f t="shared" si="109"/>
        <v>0</v>
      </c>
    </row>
    <row r="3356" spans="3:10" ht="15.75" hidden="1" thickBot="1">
      <c r="C3356" s="273"/>
      <c r="F3356" s="458">
        <v>494</v>
      </c>
      <c r="G3356" s="454" t="s">
        <v>4177</v>
      </c>
      <c r="J3356" s="635">
        <f t="shared" si="109"/>
        <v>0</v>
      </c>
    </row>
    <row r="3357" spans="3:10" ht="30.75" hidden="1" thickBot="1">
      <c r="C3357" s="273"/>
      <c r="F3357" s="458">
        <v>495</v>
      </c>
      <c r="G3357" s="454" t="s">
        <v>4178</v>
      </c>
      <c r="J3357" s="635">
        <f t="shared" si="109"/>
        <v>0</v>
      </c>
    </row>
    <row r="3358" spans="3:10" ht="30.75" hidden="1" thickBot="1">
      <c r="C3358" s="273"/>
      <c r="F3358" s="458">
        <v>496</v>
      </c>
      <c r="G3358" s="454" t="s">
        <v>4179</v>
      </c>
      <c r="J3358" s="635">
        <f t="shared" si="109"/>
        <v>0</v>
      </c>
    </row>
    <row r="3359" spans="3:10" ht="15.75" hidden="1" thickBot="1">
      <c r="C3359" s="273"/>
      <c r="F3359" s="458">
        <v>499</v>
      </c>
      <c r="G3359" s="454" t="s">
        <v>4180</v>
      </c>
      <c r="J3359" s="635">
        <f t="shared" si="109"/>
        <v>0</v>
      </c>
    </row>
    <row r="3360" spans="3:10" ht="15.75" hidden="1" thickBot="1">
      <c r="C3360" s="273"/>
      <c r="F3360" s="458">
        <v>511</v>
      </c>
      <c r="G3360" s="456" t="s">
        <v>4200</v>
      </c>
      <c r="J3360" s="635">
        <f t="shared" si="109"/>
        <v>0</v>
      </c>
    </row>
    <row r="3361" spans="3:10" ht="15.75" hidden="1" thickBot="1">
      <c r="C3361" s="273"/>
      <c r="F3361" s="458">
        <v>512</v>
      </c>
      <c r="G3361" s="456" t="s">
        <v>4201</v>
      </c>
      <c r="J3361" s="635">
        <f t="shared" si="109"/>
        <v>0</v>
      </c>
    </row>
    <row r="3362" spans="3:10" ht="15.75" hidden="1" thickBot="1">
      <c r="C3362" s="273"/>
      <c r="F3362" s="458">
        <v>513</v>
      </c>
      <c r="G3362" s="456" t="s">
        <v>4202</v>
      </c>
      <c r="J3362" s="635">
        <f t="shared" si="109"/>
        <v>0</v>
      </c>
    </row>
    <row r="3363" spans="3:10" ht="15.75" hidden="1" thickBot="1">
      <c r="C3363" s="273"/>
      <c r="F3363" s="458">
        <v>514</v>
      </c>
      <c r="G3363" s="454" t="s">
        <v>4203</v>
      </c>
      <c r="J3363" s="635">
        <f t="shared" si="109"/>
        <v>0</v>
      </c>
    </row>
    <row r="3364" spans="3:10" ht="15.75" hidden="1" thickBot="1">
      <c r="C3364" s="273"/>
      <c r="F3364" s="458">
        <v>515</v>
      </c>
      <c r="G3364" s="454" t="s">
        <v>3838</v>
      </c>
      <c r="J3364" s="635">
        <f t="shared" si="109"/>
        <v>0</v>
      </c>
    </row>
    <row r="3365" spans="3:10" ht="15.75" hidden="1" thickBot="1">
      <c r="C3365" s="273"/>
      <c r="F3365" s="458">
        <v>521</v>
      </c>
      <c r="G3365" s="454" t="s">
        <v>4204</v>
      </c>
      <c r="J3365" s="635">
        <f t="shared" si="109"/>
        <v>0</v>
      </c>
    </row>
    <row r="3366" spans="3:10" ht="15.75" hidden="1" thickBot="1">
      <c r="C3366" s="273"/>
      <c r="F3366" s="458">
        <v>522</v>
      </c>
      <c r="G3366" s="454" t="s">
        <v>4205</v>
      </c>
      <c r="J3366" s="635">
        <f t="shared" si="109"/>
        <v>0</v>
      </c>
    </row>
    <row r="3367" spans="3:10" ht="15.75" hidden="1" thickBot="1">
      <c r="C3367" s="273"/>
      <c r="F3367" s="458">
        <v>523</v>
      </c>
      <c r="G3367" s="454" t="s">
        <v>3843</v>
      </c>
      <c r="J3367" s="635">
        <f t="shared" si="109"/>
        <v>0</v>
      </c>
    </row>
    <row r="3368" spans="3:10" ht="15.75" hidden="1" thickBot="1">
      <c r="C3368" s="273"/>
      <c r="F3368" s="458">
        <v>531</v>
      </c>
      <c r="G3368" s="451" t="s">
        <v>4181</v>
      </c>
      <c r="J3368" s="635">
        <f t="shared" si="109"/>
        <v>0</v>
      </c>
    </row>
    <row r="3369" spans="3:10" ht="15.75" hidden="1" thickBot="1">
      <c r="C3369" s="273"/>
      <c r="F3369" s="458">
        <v>541</v>
      </c>
      <c r="G3369" s="454" t="s">
        <v>4206</v>
      </c>
      <c r="J3369" s="635">
        <f t="shared" si="109"/>
        <v>0</v>
      </c>
    </row>
    <row r="3370" spans="3:10" ht="15.75" hidden="1" thickBot="1">
      <c r="C3370" s="273"/>
      <c r="F3370" s="458">
        <v>542</v>
      </c>
      <c r="G3370" s="454" t="s">
        <v>4207</v>
      </c>
      <c r="J3370" s="635">
        <f t="shared" si="109"/>
        <v>0</v>
      </c>
    </row>
    <row r="3371" spans="3:10" ht="15.75" hidden="1" thickBot="1">
      <c r="C3371" s="273"/>
      <c r="F3371" s="458">
        <v>543</v>
      </c>
      <c r="G3371" s="454" t="s">
        <v>3848</v>
      </c>
      <c r="J3371" s="635">
        <f t="shared" si="109"/>
        <v>0</v>
      </c>
    </row>
    <row r="3372" spans="3:10" ht="30.75" hidden="1" thickBot="1">
      <c r="C3372" s="273"/>
      <c r="F3372" s="458">
        <v>551</v>
      </c>
      <c r="G3372" s="454" t="s">
        <v>4182</v>
      </c>
      <c r="J3372" s="635">
        <f t="shared" si="109"/>
        <v>0</v>
      </c>
    </row>
    <row r="3373" spans="3:10" ht="15.75" hidden="1" thickBot="1">
      <c r="C3373" s="273"/>
      <c r="F3373" s="459">
        <v>611</v>
      </c>
      <c r="G3373" s="457" t="s">
        <v>3854</v>
      </c>
      <c r="J3373" s="635">
        <f t="shared" si="109"/>
        <v>0</v>
      </c>
    </row>
    <row r="3374" spans="3:10" ht="15.75" hidden="1" thickBot="1">
      <c r="C3374" s="273"/>
      <c r="F3374" s="459">
        <v>620</v>
      </c>
      <c r="G3374" s="457" t="s">
        <v>88</v>
      </c>
      <c r="J3374" s="635">
        <f t="shared" si="109"/>
        <v>0</v>
      </c>
    </row>
    <row r="3375" spans="3:10">
      <c r="C3375" s="273"/>
      <c r="E3375" s="452"/>
      <c r="F3375" s="459"/>
      <c r="G3375" s="371" t="s">
        <v>4375</v>
      </c>
      <c r="H3375" s="636"/>
      <c r="I3375" s="662"/>
      <c r="J3375" s="637"/>
    </row>
    <row r="3376" spans="3:10" ht="15.75" thickBot="1">
      <c r="C3376" s="273"/>
      <c r="E3376" s="267"/>
      <c r="F3376" s="294" t="s">
        <v>234</v>
      </c>
      <c r="G3376" s="297" t="s">
        <v>235</v>
      </c>
      <c r="H3376" s="638">
        <f>SUM(H3315:H3374)</f>
        <v>9000000</v>
      </c>
      <c r="I3376" s="639"/>
      <c r="J3376" s="639">
        <f>SUM(H3376:I3376)</f>
        <v>9000000</v>
      </c>
    </row>
    <row r="3377" spans="3:10" ht="15.75" hidden="1" thickBot="1">
      <c r="C3377" s="273"/>
      <c r="F3377" s="294" t="s">
        <v>236</v>
      </c>
      <c r="G3377" s="297" t="s">
        <v>237</v>
      </c>
      <c r="J3377" s="639">
        <f t="shared" ref="J3377:J3391" si="110">SUM(H3377:I3377)</f>
        <v>0</v>
      </c>
    </row>
    <row r="3378" spans="3:10" ht="15.75" hidden="1" thickBot="1">
      <c r="C3378" s="273"/>
      <c r="F3378" s="294" t="s">
        <v>238</v>
      </c>
      <c r="G3378" s="297" t="s">
        <v>239</v>
      </c>
      <c r="J3378" s="639">
        <f t="shared" si="110"/>
        <v>0</v>
      </c>
    </row>
    <row r="3379" spans="3:10" ht="15.75" hidden="1" thickBot="1">
      <c r="C3379" s="273"/>
      <c r="F3379" s="294" t="s">
        <v>240</v>
      </c>
      <c r="G3379" s="297" t="s">
        <v>241</v>
      </c>
      <c r="J3379" s="639">
        <f t="shared" si="110"/>
        <v>0</v>
      </c>
    </row>
    <row r="3380" spans="3:10" ht="15.75" hidden="1" thickBot="1">
      <c r="C3380" s="273"/>
      <c r="F3380" s="294" t="s">
        <v>242</v>
      </c>
      <c r="G3380" s="297" t="s">
        <v>243</v>
      </c>
      <c r="J3380" s="639">
        <f t="shared" si="110"/>
        <v>0</v>
      </c>
    </row>
    <row r="3381" spans="3:10" ht="15.75" hidden="1" thickBot="1">
      <c r="C3381" s="273"/>
      <c r="F3381" s="294" t="s">
        <v>244</v>
      </c>
      <c r="G3381" s="297" t="s">
        <v>245</v>
      </c>
      <c r="J3381" s="639">
        <f t="shared" si="110"/>
        <v>0</v>
      </c>
    </row>
    <row r="3382" spans="3:10" ht="15.75" hidden="1" thickBot="1">
      <c r="C3382" s="273"/>
      <c r="F3382" s="294" t="s">
        <v>246</v>
      </c>
      <c r="G3382" s="683" t="s">
        <v>5121</v>
      </c>
      <c r="J3382" s="639">
        <f t="shared" si="110"/>
        <v>0</v>
      </c>
    </row>
    <row r="3383" spans="3:10" ht="15.75" hidden="1" thickBot="1">
      <c r="C3383" s="273"/>
      <c r="F3383" s="294" t="s">
        <v>247</v>
      </c>
      <c r="G3383" s="683" t="s">
        <v>5120</v>
      </c>
      <c r="J3383" s="639">
        <f t="shared" si="110"/>
        <v>0</v>
      </c>
    </row>
    <row r="3384" spans="3:10" ht="15.75" hidden="1" thickBot="1">
      <c r="C3384" s="273"/>
      <c r="F3384" s="294" t="s">
        <v>248</v>
      </c>
      <c r="G3384" s="297" t="s">
        <v>57</v>
      </c>
      <c r="J3384" s="639">
        <f t="shared" si="110"/>
        <v>0</v>
      </c>
    </row>
    <row r="3385" spans="3:10" ht="15.75" hidden="1" thickBot="1">
      <c r="C3385" s="273"/>
      <c r="F3385" s="294" t="s">
        <v>249</v>
      </c>
      <c r="G3385" s="297" t="s">
        <v>250</v>
      </c>
      <c r="J3385" s="639">
        <f t="shared" si="110"/>
        <v>0</v>
      </c>
    </row>
    <row r="3386" spans="3:10" ht="15.75" hidden="1" thickBot="1">
      <c r="C3386" s="273"/>
      <c r="F3386" s="294" t="s">
        <v>251</v>
      </c>
      <c r="G3386" s="297" t="s">
        <v>252</v>
      </c>
      <c r="J3386" s="639">
        <f t="shared" si="110"/>
        <v>0</v>
      </c>
    </row>
    <row r="3387" spans="3:10" ht="15.75" hidden="1" thickBot="1">
      <c r="C3387" s="273"/>
      <c r="F3387" s="294" t="s">
        <v>253</v>
      </c>
      <c r="G3387" s="297" t="s">
        <v>254</v>
      </c>
      <c r="J3387" s="639">
        <f t="shared" si="110"/>
        <v>0</v>
      </c>
    </row>
    <row r="3388" spans="3:10" ht="15.75" hidden="1" thickBot="1">
      <c r="C3388" s="273"/>
      <c r="F3388" s="294" t="s">
        <v>255</v>
      </c>
      <c r="G3388" s="297" t="s">
        <v>256</v>
      </c>
      <c r="J3388" s="639">
        <f t="shared" si="110"/>
        <v>0</v>
      </c>
    </row>
    <row r="3389" spans="3:10" ht="15.75" hidden="1" thickBot="1">
      <c r="C3389" s="273"/>
      <c r="F3389" s="294" t="s">
        <v>257</v>
      </c>
      <c r="G3389" s="297" t="s">
        <v>258</v>
      </c>
      <c r="J3389" s="639">
        <f t="shared" si="110"/>
        <v>0</v>
      </c>
    </row>
    <row r="3390" spans="3:10" ht="15.75" hidden="1" thickBot="1">
      <c r="C3390" s="273"/>
      <c r="F3390" s="294" t="s">
        <v>259</v>
      </c>
      <c r="G3390" s="297" t="s">
        <v>260</v>
      </c>
      <c r="J3390" s="639">
        <f t="shared" si="110"/>
        <v>0</v>
      </c>
    </row>
    <row r="3391" spans="3:10" ht="15.75" hidden="1" thickBot="1">
      <c r="C3391" s="273"/>
      <c r="F3391" s="294" t="s">
        <v>261</v>
      </c>
      <c r="G3391" s="297" t="s">
        <v>262</v>
      </c>
      <c r="H3391" s="638"/>
      <c r="I3391" s="639"/>
      <c r="J3391" s="639">
        <f t="shared" si="110"/>
        <v>0</v>
      </c>
    </row>
    <row r="3392" spans="3:10" ht="15.75" thickBot="1">
      <c r="C3392" s="273"/>
      <c r="G3392" s="274" t="s">
        <v>4317</v>
      </c>
      <c r="H3392" s="640">
        <f>SUM(H3376:H3391)</f>
        <v>9000000</v>
      </c>
      <c r="I3392" s="641">
        <f>SUM(I3377:I3391)</f>
        <v>0</v>
      </c>
      <c r="J3392" s="641">
        <f>SUM(J3376:J3391)</f>
        <v>9000000</v>
      </c>
    </row>
    <row r="3393" spans="3:10" collapsed="1">
      <c r="C3393" s="273"/>
      <c r="E3393" s="452"/>
      <c r="F3393" s="459"/>
      <c r="G3393" s="276" t="s">
        <v>4376</v>
      </c>
      <c r="H3393" s="642"/>
      <c r="I3393" s="663"/>
      <c r="J3393" s="643"/>
    </row>
    <row r="3394" spans="3:10" ht="15.75" thickBot="1">
      <c r="C3394" s="273"/>
      <c r="E3394" s="267"/>
      <c r="F3394" s="294" t="s">
        <v>234</v>
      </c>
      <c r="G3394" s="297" t="s">
        <v>235</v>
      </c>
      <c r="H3394" s="638">
        <f>SUM(H3315:H3374)</f>
        <v>9000000</v>
      </c>
      <c r="I3394" s="639"/>
      <c r="J3394" s="639">
        <f>SUM(H3394:I3394)</f>
        <v>9000000</v>
      </c>
    </row>
    <row r="3395" spans="3:10" ht="15.75" hidden="1" thickBot="1">
      <c r="C3395" s="273"/>
      <c r="F3395" s="294" t="s">
        <v>236</v>
      </c>
      <c r="G3395" s="297" t="s">
        <v>237</v>
      </c>
      <c r="J3395" s="639">
        <f t="shared" ref="J3395:J3409" si="111">SUM(H3395:I3395)</f>
        <v>0</v>
      </c>
    </row>
    <row r="3396" spans="3:10" ht="15.75" hidden="1" thickBot="1">
      <c r="C3396" s="273"/>
      <c r="F3396" s="294" t="s">
        <v>238</v>
      </c>
      <c r="G3396" s="297" t="s">
        <v>239</v>
      </c>
      <c r="J3396" s="639">
        <f t="shared" si="111"/>
        <v>0</v>
      </c>
    </row>
    <row r="3397" spans="3:10" ht="15.75" hidden="1" thickBot="1">
      <c r="C3397" s="273"/>
      <c r="F3397" s="294" t="s">
        <v>240</v>
      </c>
      <c r="G3397" s="297" t="s">
        <v>241</v>
      </c>
      <c r="J3397" s="639">
        <f t="shared" si="111"/>
        <v>0</v>
      </c>
    </row>
    <row r="3398" spans="3:10" ht="15.75" hidden="1" thickBot="1">
      <c r="C3398" s="273"/>
      <c r="F3398" s="294" t="s">
        <v>242</v>
      </c>
      <c r="G3398" s="297" t="s">
        <v>243</v>
      </c>
      <c r="J3398" s="639">
        <f t="shared" si="111"/>
        <v>0</v>
      </c>
    </row>
    <row r="3399" spans="3:10" ht="15.75" hidden="1" thickBot="1">
      <c r="C3399" s="273"/>
      <c r="F3399" s="294" t="s">
        <v>244</v>
      </c>
      <c r="G3399" s="297" t="s">
        <v>245</v>
      </c>
      <c r="J3399" s="639">
        <f t="shared" si="111"/>
        <v>0</v>
      </c>
    </row>
    <row r="3400" spans="3:10" ht="15.75" hidden="1" thickBot="1">
      <c r="C3400" s="273"/>
      <c r="F3400" s="294" t="s">
        <v>246</v>
      </c>
      <c r="G3400" s="683" t="s">
        <v>5121</v>
      </c>
      <c r="J3400" s="639">
        <f t="shared" si="111"/>
        <v>0</v>
      </c>
    </row>
    <row r="3401" spans="3:10" ht="15.75" hidden="1" thickBot="1">
      <c r="C3401" s="273"/>
      <c r="F3401" s="294" t="s">
        <v>247</v>
      </c>
      <c r="G3401" s="683" t="s">
        <v>5120</v>
      </c>
      <c r="J3401" s="639">
        <f t="shared" si="111"/>
        <v>0</v>
      </c>
    </row>
    <row r="3402" spans="3:10" ht="15.75" hidden="1" thickBot="1">
      <c r="C3402" s="273"/>
      <c r="F3402" s="294" t="s">
        <v>248</v>
      </c>
      <c r="G3402" s="297" t="s">
        <v>57</v>
      </c>
      <c r="J3402" s="639">
        <f t="shared" si="111"/>
        <v>0</v>
      </c>
    </row>
    <row r="3403" spans="3:10" ht="15.75" hidden="1" thickBot="1">
      <c r="C3403" s="273"/>
      <c r="F3403" s="294" t="s">
        <v>249</v>
      </c>
      <c r="G3403" s="297" t="s">
        <v>250</v>
      </c>
      <c r="J3403" s="639">
        <f t="shared" si="111"/>
        <v>0</v>
      </c>
    </row>
    <row r="3404" spans="3:10" ht="15.75" hidden="1" thickBot="1">
      <c r="C3404" s="273"/>
      <c r="F3404" s="294" t="s">
        <v>251</v>
      </c>
      <c r="G3404" s="297" t="s">
        <v>252</v>
      </c>
      <c r="J3404" s="639">
        <f t="shared" si="111"/>
        <v>0</v>
      </c>
    </row>
    <row r="3405" spans="3:10" ht="15.75" hidden="1" thickBot="1">
      <c r="C3405" s="273"/>
      <c r="F3405" s="294" t="s">
        <v>253</v>
      </c>
      <c r="G3405" s="297" t="s">
        <v>254</v>
      </c>
      <c r="J3405" s="639">
        <f t="shared" si="111"/>
        <v>0</v>
      </c>
    </row>
    <row r="3406" spans="3:10" ht="15.75" hidden="1" thickBot="1">
      <c r="C3406" s="273"/>
      <c r="F3406" s="294" t="s">
        <v>255</v>
      </c>
      <c r="G3406" s="297" t="s">
        <v>256</v>
      </c>
      <c r="J3406" s="639">
        <f t="shared" si="111"/>
        <v>0</v>
      </c>
    </row>
    <row r="3407" spans="3:10" ht="15.75" hidden="1" thickBot="1">
      <c r="C3407" s="273"/>
      <c r="F3407" s="294" t="s">
        <v>257</v>
      </c>
      <c r="G3407" s="297" t="s">
        <v>258</v>
      </c>
      <c r="J3407" s="639">
        <f t="shared" si="111"/>
        <v>0</v>
      </c>
    </row>
    <row r="3408" spans="3:10" ht="15.75" hidden="1" thickBot="1">
      <c r="C3408" s="273"/>
      <c r="F3408" s="294" t="s">
        <v>259</v>
      </c>
      <c r="G3408" s="297" t="s">
        <v>260</v>
      </c>
      <c r="J3408" s="639">
        <f t="shared" si="111"/>
        <v>0</v>
      </c>
    </row>
    <row r="3409" spans="1:25" ht="15.75" hidden="1" thickBot="1">
      <c r="C3409" s="273"/>
      <c r="F3409" s="294" t="s">
        <v>261</v>
      </c>
      <c r="G3409" s="297" t="s">
        <v>262</v>
      </c>
      <c r="H3409" s="638"/>
      <c r="I3409" s="639"/>
      <c r="J3409" s="639">
        <f t="shared" si="111"/>
        <v>0</v>
      </c>
    </row>
    <row r="3410" spans="1:25" ht="14.25" customHeight="1" collapsed="1" thickBot="1">
      <c r="C3410" s="273"/>
      <c r="G3410" s="274" t="s">
        <v>4377</v>
      </c>
      <c r="H3410" s="640">
        <f>SUM(H3394:H3409)</f>
        <v>9000000</v>
      </c>
      <c r="I3410" s="641">
        <f>SUM(I3395:I3409)</f>
        <v>0</v>
      </c>
      <c r="J3410" s="641">
        <f>SUM(J3394:J3409)</f>
        <v>9000000</v>
      </c>
    </row>
    <row r="3411" spans="1:25" hidden="1">
      <c r="C3411" s="273"/>
      <c r="G3411" s="453"/>
    </row>
    <row r="3412" spans="1:25" ht="28.5" hidden="1">
      <c r="C3412" s="273" t="s">
        <v>4134</v>
      </c>
      <c r="G3412" s="460" t="s">
        <v>4135</v>
      </c>
    </row>
    <row r="3413" spans="1:25" s="88" customFormat="1" hidden="1">
      <c r="A3413" s="455"/>
      <c r="B3413" s="301"/>
      <c r="C3413" s="310"/>
      <c r="D3413" s="379" t="s">
        <v>4013</v>
      </c>
      <c r="E3413" s="374"/>
      <c r="F3413" s="374"/>
      <c r="G3413" s="375" t="s">
        <v>206</v>
      </c>
      <c r="H3413" s="651"/>
      <c r="I3413" s="652"/>
      <c r="J3413" s="652"/>
      <c r="K3413" s="575"/>
      <c r="L3413" s="575"/>
      <c r="M3413" s="575"/>
      <c r="N3413" s="575"/>
      <c r="O3413" s="575"/>
      <c r="P3413" s="575"/>
      <c r="Q3413" s="575"/>
      <c r="R3413" s="575"/>
      <c r="S3413" s="575"/>
      <c r="T3413" s="575"/>
      <c r="U3413" s="575"/>
      <c r="V3413" s="575"/>
      <c r="W3413" s="575"/>
      <c r="X3413" s="575"/>
      <c r="Y3413" s="575"/>
    </row>
    <row r="3414" spans="1:25" hidden="1">
      <c r="C3414" s="273"/>
      <c r="F3414" s="458">
        <v>411</v>
      </c>
      <c r="G3414" s="454" t="s">
        <v>4173</v>
      </c>
      <c r="J3414" s="635">
        <f>SUM(H3414:I3414)</f>
        <v>0</v>
      </c>
    </row>
    <row r="3415" spans="1:25" hidden="1">
      <c r="C3415" s="273"/>
      <c r="F3415" s="458">
        <v>412</v>
      </c>
      <c r="G3415" s="451" t="s">
        <v>3770</v>
      </c>
      <c r="J3415" s="635">
        <f t="shared" ref="J3415:J3473" si="112">SUM(H3415:I3415)</f>
        <v>0</v>
      </c>
    </row>
    <row r="3416" spans="1:25" hidden="1">
      <c r="C3416" s="273"/>
      <c r="F3416" s="458">
        <v>413</v>
      </c>
      <c r="G3416" s="454" t="s">
        <v>4174</v>
      </c>
      <c r="J3416" s="635">
        <f t="shared" si="112"/>
        <v>0</v>
      </c>
    </row>
    <row r="3417" spans="1:25" hidden="1">
      <c r="C3417" s="273"/>
      <c r="F3417" s="458">
        <v>414</v>
      </c>
      <c r="G3417" s="454" t="s">
        <v>3773</v>
      </c>
      <c r="J3417" s="635">
        <f t="shared" si="112"/>
        <v>0</v>
      </c>
    </row>
    <row r="3418" spans="1:25" hidden="1">
      <c r="C3418" s="273"/>
      <c r="F3418" s="458">
        <v>415</v>
      </c>
      <c r="G3418" s="454" t="s">
        <v>4183</v>
      </c>
      <c r="J3418" s="635">
        <f t="shared" si="112"/>
        <v>0</v>
      </c>
    </row>
    <row r="3419" spans="1:25" hidden="1">
      <c r="C3419" s="273"/>
      <c r="F3419" s="458">
        <v>416</v>
      </c>
      <c r="G3419" s="454" t="s">
        <v>4184</v>
      </c>
      <c r="J3419" s="635">
        <f t="shared" si="112"/>
        <v>0</v>
      </c>
    </row>
    <row r="3420" spans="1:25" hidden="1">
      <c r="C3420" s="273"/>
      <c r="F3420" s="458">
        <v>417</v>
      </c>
      <c r="G3420" s="454" t="s">
        <v>4185</v>
      </c>
      <c r="J3420" s="635">
        <f t="shared" si="112"/>
        <v>0</v>
      </c>
    </row>
    <row r="3421" spans="1:25" hidden="1">
      <c r="C3421" s="273"/>
      <c r="F3421" s="458">
        <v>418</v>
      </c>
      <c r="G3421" s="454" t="s">
        <v>3779</v>
      </c>
      <c r="J3421" s="635">
        <f t="shared" si="112"/>
        <v>0</v>
      </c>
    </row>
    <row r="3422" spans="1:25" hidden="1">
      <c r="C3422" s="273"/>
      <c r="F3422" s="458">
        <v>421</v>
      </c>
      <c r="G3422" s="454" t="s">
        <v>3783</v>
      </c>
      <c r="J3422" s="635">
        <f t="shared" si="112"/>
        <v>0</v>
      </c>
    </row>
    <row r="3423" spans="1:25" hidden="1">
      <c r="C3423" s="273"/>
      <c r="F3423" s="458">
        <v>422</v>
      </c>
      <c r="G3423" s="454" t="s">
        <v>3784</v>
      </c>
      <c r="J3423" s="635">
        <f t="shared" si="112"/>
        <v>0</v>
      </c>
    </row>
    <row r="3424" spans="1:25" ht="15.75" hidden="1" thickBot="1">
      <c r="C3424" s="273"/>
      <c r="F3424" s="458">
        <v>423</v>
      </c>
      <c r="G3424" s="454" t="s">
        <v>3785</v>
      </c>
      <c r="J3424" s="635">
        <f t="shared" si="112"/>
        <v>0</v>
      </c>
    </row>
    <row r="3425" spans="3:10" ht="15.75" hidden="1" thickBot="1">
      <c r="C3425" s="273"/>
      <c r="F3425" s="458">
        <v>424</v>
      </c>
      <c r="G3425" s="454" t="s">
        <v>3787</v>
      </c>
      <c r="J3425" s="635">
        <f t="shared" si="112"/>
        <v>0</v>
      </c>
    </row>
    <row r="3426" spans="3:10" ht="15.75" hidden="1" thickBot="1">
      <c r="C3426" s="273"/>
      <c r="F3426" s="458">
        <v>425</v>
      </c>
      <c r="G3426" s="454" t="s">
        <v>4186</v>
      </c>
      <c r="J3426" s="635">
        <f t="shared" si="112"/>
        <v>0</v>
      </c>
    </row>
    <row r="3427" spans="3:10" ht="15.75" hidden="1" thickBot="1">
      <c r="C3427" s="273"/>
      <c r="F3427" s="458">
        <v>426</v>
      </c>
      <c r="G3427" s="454" t="s">
        <v>3791</v>
      </c>
      <c r="J3427" s="635">
        <f t="shared" si="112"/>
        <v>0</v>
      </c>
    </row>
    <row r="3428" spans="3:10" ht="15.75" hidden="1" thickBot="1">
      <c r="C3428" s="273"/>
      <c r="F3428" s="458">
        <v>431</v>
      </c>
      <c r="G3428" s="454" t="s">
        <v>4187</v>
      </c>
      <c r="J3428" s="635">
        <f t="shared" si="112"/>
        <v>0</v>
      </c>
    </row>
    <row r="3429" spans="3:10" ht="15.75" hidden="1" thickBot="1">
      <c r="C3429" s="273"/>
      <c r="F3429" s="458">
        <v>432</v>
      </c>
      <c r="G3429" s="454" t="s">
        <v>4188</v>
      </c>
      <c r="J3429" s="635">
        <f t="shared" si="112"/>
        <v>0</v>
      </c>
    </row>
    <row r="3430" spans="3:10" ht="15.75" hidden="1" thickBot="1">
      <c r="C3430" s="273"/>
      <c r="F3430" s="458">
        <v>433</v>
      </c>
      <c r="G3430" s="454" t="s">
        <v>4189</v>
      </c>
      <c r="J3430" s="635">
        <f t="shared" si="112"/>
        <v>0</v>
      </c>
    </row>
    <row r="3431" spans="3:10" ht="15.75" hidden="1" thickBot="1">
      <c r="C3431" s="273"/>
      <c r="F3431" s="458">
        <v>434</v>
      </c>
      <c r="G3431" s="454" t="s">
        <v>4190</v>
      </c>
      <c r="J3431" s="635">
        <f t="shared" si="112"/>
        <v>0</v>
      </c>
    </row>
    <row r="3432" spans="3:10" ht="15.75" hidden="1" thickBot="1">
      <c r="C3432" s="273"/>
      <c r="F3432" s="458">
        <v>435</v>
      </c>
      <c r="G3432" s="454" t="s">
        <v>3798</v>
      </c>
      <c r="J3432" s="635">
        <f t="shared" si="112"/>
        <v>0</v>
      </c>
    </row>
    <row r="3433" spans="3:10" ht="15.75" hidden="1" thickBot="1">
      <c r="C3433" s="273"/>
      <c r="F3433" s="458">
        <v>441</v>
      </c>
      <c r="G3433" s="454" t="s">
        <v>4191</v>
      </c>
      <c r="J3433" s="635">
        <f t="shared" si="112"/>
        <v>0</v>
      </c>
    </row>
    <row r="3434" spans="3:10" ht="15.75" hidden="1" thickBot="1">
      <c r="C3434" s="273"/>
      <c r="F3434" s="458">
        <v>442</v>
      </c>
      <c r="G3434" s="454" t="s">
        <v>4192</v>
      </c>
      <c r="J3434" s="635">
        <f t="shared" si="112"/>
        <v>0</v>
      </c>
    </row>
    <row r="3435" spans="3:10" ht="15.75" hidden="1" thickBot="1">
      <c r="C3435" s="273"/>
      <c r="F3435" s="458">
        <v>443</v>
      </c>
      <c r="G3435" s="454" t="s">
        <v>3803</v>
      </c>
      <c r="J3435" s="635">
        <f t="shared" si="112"/>
        <v>0</v>
      </c>
    </row>
    <row r="3436" spans="3:10" ht="15.75" hidden="1" thickBot="1">
      <c r="C3436" s="273"/>
      <c r="F3436" s="458">
        <v>444</v>
      </c>
      <c r="G3436" s="454" t="s">
        <v>3804</v>
      </c>
      <c r="J3436" s="635">
        <f t="shared" si="112"/>
        <v>0</v>
      </c>
    </row>
    <row r="3437" spans="3:10" ht="30.75" hidden="1" thickBot="1">
      <c r="C3437" s="273"/>
      <c r="F3437" s="458">
        <v>4511</v>
      </c>
      <c r="G3437" s="268" t="s">
        <v>1690</v>
      </c>
      <c r="J3437" s="635">
        <f t="shared" si="112"/>
        <v>0</v>
      </c>
    </row>
    <row r="3438" spans="3:10" ht="30.75" hidden="1" thickBot="1">
      <c r="C3438" s="273"/>
      <c r="F3438" s="458">
        <v>4512</v>
      </c>
      <c r="G3438" s="268" t="s">
        <v>1699</v>
      </c>
      <c r="J3438" s="635">
        <f t="shared" si="112"/>
        <v>0</v>
      </c>
    </row>
    <row r="3439" spans="3:10" ht="15.75" hidden="1" thickBot="1">
      <c r="C3439" s="273"/>
      <c r="F3439" s="458">
        <v>452</v>
      </c>
      <c r="G3439" s="454" t="s">
        <v>4193</v>
      </c>
      <c r="J3439" s="635">
        <f t="shared" si="112"/>
        <v>0</v>
      </c>
    </row>
    <row r="3440" spans="3:10" ht="15.75" hidden="1" thickBot="1">
      <c r="C3440" s="273"/>
      <c r="F3440" s="458">
        <v>453</v>
      </c>
      <c r="G3440" s="454" t="s">
        <v>4194</v>
      </c>
      <c r="J3440" s="635">
        <f t="shared" si="112"/>
        <v>0</v>
      </c>
    </row>
    <row r="3441" spans="3:10" ht="15.75" hidden="1" thickBot="1">
      <c r="C3441" s="273"/>
      <c r="F3441" s="458">
        <v>454</v>
      </c>
      <c r="G3441" s="454" t="s">
        <v>3809</v>
      </c>
      <c r="J3441" s="635">
        <f t="shared" si="112"/>
        <v>0</v>
      </c>
    </row>
    <row r="3442" spans="3:10" ht="15.75" hidden="1" thickBot="1">
      <c r="C3442" s="273"/>
      <c r="F3442" s="458">
        <v>461</v>
      </c>
      <c r="G3442" s="454" t="s">
        <v>4175</v>
      </c>
      <c r="J3442" s="635">
        <f t="shared" si="112"/>
        <v>0</v>
      </c>
    </row>
    <row r="3443" spans="3:10" ht="15.75" hidden="1" thickBot="1">
      <c r="C3443" s="273"/>
      <c r="F3443" s="458">
        <v>462</v>
      </c>
      <c r="G3443" s="454" t="s">
        <v>3812</v>
      </c>
      <c r="J3443" s="635">
        <f t="shared" si="112"/>
        <v>0</v>
      </c>
    </row>
    <row r="3444" spans="3:10" ht="15.75" hidden="1" thickBot="1">
      <c r="C3444" s="273"/>
      <c r="F3444" s="458">
        <v>4631</v>
      </c>
      <c r="G3444" s="454" t="s">
        <v>3813</v>
      </c>
      <c r="J3444" s="635">
        <f t="shared" si="112"/>
        <v>0</v>
      </c>
    </row>
    <row r="3445" spans="3:10" ht="15.75" hidden="1" thickBot="1">
      <c r="C3445" s="273"/>
      <c r="F3445" s="458">
        <v>4632</v>
      </c>
      <c r="G3445" s="454" t="s">
        <v>3814</v>
      </c>
      <c r="J3445" s="635">
        <f t="shared" si="112"/>
        <v>0</v>
      </c>
    </row>
    <row r="3446" spans="3:10" ht="15.75" hidden="1" thickBot="1">
      <c r="C3446" s="273"/>
      <c r="F3446" s="458">
        <v>464</v>
      </c>
      <c r="G3446" s="454" t="s">
        <v>3815</v>
      </c>
      <c r="J3446" s="635">
        <f t="shared" si="112"/>
        <v>0</v>
      </c>
    </row>
    <row r="3447" spans="3:10" ht="15.75" hidden="1" thickBot="1">
      <c r="C3447" s="273"/>
      <c r="F3447" s="458">
        <v>465</v>
      </c>
      <c r="G3447" s="454" t="s">
        <v>4176</v>
      </c>
      <c r="J3447" s="635">
        <f t="shared" si="112"/>
        <v>0</v>
      </c>
    </row>
    <row r="3448" spans="3:10" ht="15.75" hidden="1" thickBot="1">
      <c r="C3448" s="273"/>
      <c r="F3448" s="458">
        <v>472</v>
      </c>
      <c r="G3448" s="454" t="s">
        <v>3819</v>
      </c>
      <c r="J3448" s="635">
        <f t="shared" si="112"/>
        <v>0</v>
      </c>
    </row>
    <row r="3449" spans="3:10" ht="15.75" hidden="1" thickBot="1">
      <c r="C3449" s="273"/>
      <c r="F3449" s="458">
        <v>481</v>
      </c>
      <c r="G3449" s="454" t="s">
        <v>4195</v>
      </c>
      <c r="J3449" s="635">
        <f t="shared" si="112"/>
        <v>0</v>
      </c>
    </row>
    <row r="3450" spans="3:10" ht="15.75" hidden="1" thickBot="1">
      <c r="C3450" s="273"/>
      <c r="F3450" s="458">
        <v>482</v>
      </c>
      <c r="G3450" s="454" t="s">
        <v>4196</v>
      </c>
      <c r="J3450" s="635">
        <f t="shared" si="112"/>
        <v>0</v>
      </c>
    </row>
    <row r="3451" spans="3:10" ht="15.75" hidden="1" thickBot="1">
      <c r="C3451" s="273"/>
      <c r="F3451" s="458">
        <v>483</v>
      </c>
      <c r="G3451" s="456" t="s">
        <v>4197</v>
      </c>
      <c r="J3451" s="635">
        <f t="shared" si="112"/>
        <v>0</v>
      </c>
    </row>
    <row r="3452" spans="3:10" ht="30.75" hidden="1" thickBot="1">
      <c r="C3452" s="273"/>
      <c r="F3452" s="458">
        <v>484</v>
      </c>
      <c r="G3452" s="454" t="s">
        <v>4198</v>
      </c>
      <c r="J3452" s="635">
        <f t="shared" si="112"/>
        <v>0</v>
      </c>
    </row>
    <row r="3453" spans="3:10" ht="30.75" hidden="1" thickBot="1">
      <c r="C3453" s="273"/>
      <c r="F3453" s="458">
        <v>485</v>
      </c>
      <c r="G3453" s="454" t="s">
        <v>4199</v>
      </c>
      <c r="J3453" s="635">
        <f t="shared" si="112"/>
        <v>0</v>
      </c>
    </row>
    <row r="3454" spans="3:10" ht="30.75" hidden="1" thickBot="1">
      <c r="C3454" s="273"/>
      <c r="F3454" s="458">
        <v>489</v>
      </c>
      <c r="G3454" s="454" t="s">
        <v>3827</v>
      </c>
      <c r="J3454" s="635">
        <f t="shared" si="112"/>
        <v>0</v>
      </c>
    </row>
    <row r="3455" spans="3:10" ht="15.75" hidden="1" thickBot="1">
      <c r="C3455" s="273"/>
      <c r="F3455" s="458">
        <v>494</v>
      </c>
      <c r="G3455" s="454" t="s">
        <v>4177</v>
      </c>
      <c r="J3455" s="635">
        <f t="shared" si="112"/>
        <v>0</v>
      </c>
    </row>
    <row r="3456" spans="3:10" ht="30.75" hidden="1" thickBot="1">
      <c r="C3456" s="273"/>
      <c r="F3456" s="458">
        <v>495</v>
      </c>
      <c r="G3456" s="454" t="s">
        <v>4178</v>
      </c>
      <c r="J3456" s="635">
        <f t="shared" si="112"/>
        <v>0</v>
      </c>
    </row>
    <row r="3457" spans="3:10" ht="30.75" hidden="1" thickBot="1">
      <c r="C3457" s="273"/>
      <c r="F3457" s="458">
        <v>496</v>
      </c>
      <c r="G3457" s="454" t="s">
        <v>4179</v>
      </c>
      <c r="J3457" s="635">
        <f t="shared" si="112"/>
        <v>0</v>
      </c>
    </row>
    <row r="3458" spans="3:10" ht="15.75" hidden="1" thickBot="1">
      <c r="C3458" s="273"/>
      <c r="F3458" s="458">
        <v>499</v>
      </c>
      <c r="G3458" s="454" t="s">
        <v>4180</v>
      </c>
      <c r="J3458" s="635">
        <f t="shared" si="112"/>
        <v>0</v>
      </c>
    </row>
    <row r="3459" spans="3:10" ht="15.75" hidden="1" thickBot="1">
      <c r="C3459" s="273"/>
      <c r="F3459" s="458">
        <v>511</v>
      </c>
      <c r="G3459" s="456" t="s">
        <v>4200</v>
      </c>
      <c r="J3459" s="635">
        <f t="shared" si="112"/>
        <v>0</v>
      </c>
    </row>
    <row r="3460" spans="3:10" ht="15.75" hidden="1" thickBot="1">
      <c r="C3460" s="273"/>
      <c r="F3460" s="458">
        <v>512</v>
      </c>
      <c r="G3460" s="456" t="s">
        <v>4201</v>
      </c>
      <c r="J3460" s="635">
        <f t="shared" si="112"/>
        <v>0</v>
      </c>
    </row>
    <row r="3461" spans="3:10" ht="15.75" hidden="1" thickBot="1">
      <c r="C3461" s="273"/>
      <c r="F3461" s="458">
        <v>513</v>
      </c>
      <c r="G3461" s="456" t="s">
        <v>4202</v>
      </c>
      <c r="J3461" s="635">
        <f t="shared" si="112"/>
        <v>0</v>
      </c>
    </row>
    <row r="3462" spans="3:10" ht="15.75" hidden="1" thickBot="1">
      <c r="C3462" s="273"/>
      <c r="F3462" s="458">
        <v>514</v>
      </c>
      <c r="G3462" s="454" t="s">
        <v>4203</v>
      </c>
      <c r="J3462" s="635">
        <f t="shared" si="112"/>
        <v>0</v>
      </c>
    </row>
    <row r="3463" spans="3:10" ht="15.75" hidden="1" thickBot="1">
      <c r="C3463" s="273"/>
      <c r="F3463" s="458">
        <v>515</v>
      </c>
      <c r="G3463" s="454" t="s">
        <v>3838</v>
      </c>
      <c r="J3463" s="635">
        <f t="shared" si="112"/>
        <v>0</v>
      </c>
    </row>
    <row r="3464" spans="3:10" ht="15.75" hidden="1" thickBot="1">
      <c r="C3464" s="273"/>
      <c r="F3464" s="458">
        <v>521</v>
      </c>
      <c r="G3464" s="454" t="s">
        <v>4204</v>
      </c>
      <c r="J3464" s="635">
        <f t="shared" si="112"/>
        <v>0</v>
      </c>
    </row>
    <row r="3465" spans="3:10" ht="15.75" hidden="1" thickBot="1">
      <c r="C3465" s="273"/>
      <c r="F3465" s="458">
        <v>522</v>
      </c>
      <c r="G3465" s="454" t="s">
        <v>4205</v>
      </c>
      <c r="J3465" s="635">
        <f t="shared" si="112"/>
        <v>0</v>
      </c>
    </row>
    <row r="3466" spans="3:10" ht="15.75" hidden="1" thickBot="1">
      <c r="C3466" s="273"/>
      <c r="F3466" s="458">
        <v>523</v>
      </c>
      <c r="G3466" s="454" t="s">
        <v>3843</v>
      </c>
      <c r="J3466" s="635">
        <f t="shared" si="112"/>
        <v>0</v>
      </c>
    </row>
    <row r="3467" spans="3:10" ht="15.75" hidden="1" thickBot="1">
      <c r="C3467" s="273"/>
      <c r="F3467" s="458">
        <v>531</v>
      </c>
      <c r="G3467" s="451" t="s">
        <v>4181</v>
      </c>
      <c r="J3467" s="635">
        <f t="shared" si="112"/>
        <v>0</v>
      </c>
    </row>
    <row r="3468" spans="3:10" ht="15.75" hidden="1" thickBot="1">
      <c r="C3468" s="273"/>
      <c r="F3468" s="458">
        <v>541</v>
      </c>
      <c r="G3468" s="454" t="s">
        <v>4206</v>
      </c>
      <c r="J3468" s="635">
        <f t="shared" si="112"/>
        <v>0</v>
      </c>
    </row>
    <row r="3469" spans="3:10" ht="15.75" hidden="1" thickBot="1">
      <c r="C3469" s="273"/>
      <c r="F3469" s="458">
        <v>542</v>
      </c>
      <c r="G3469" s="454" t="s">
        <v>4207</v>
      </c>
      <c r="J3469" s="635">
        <f t="shared" si="112"/>
        <v>0</v>
      </c>
    </row>
    <row r="3470" spans="3:10" ht="15.75" hidden="1" thickBot="1">
      <c r="C3470" s="273"/>
      <c r="F3470" s="458">
        <v>543</v>
      </c>
      <c r="G3470" s="454" t="s">
        <v>3848</v>
      </c>
      <c r="J3470" s="635">
        <f t="shared" si="112"/>
        <v>0</v>
      </c>
    </row>
    <row r="3471" spans="3:10" ht="30.75" hidden="1" thickBot="1">
      <c r="C3471" s="273"/>
      <c r="F3471" s="458">
        <v>551</v>
      </c>
      <c r="G3471" s="454" t="s">
        <v>4182</v>
      </c>
      <c r="J3471" s="635">
        <f t="shared" si="112"/>
        <v>0</v>
      </c>
    </row>
    <row r="3472" spans="3:10" ht="15.75" hidden="1" thickBot="1">
      <c r="C3472" s="273"/>
      <c r="F3472" s="459">
        <v>611</v>
      </c>
      <c r="G3472" s="457" t="s">
        <v>3854</v>
      </c>
      <c r="J3472" s="635">
        <f t="shared" si="112"/>
        <v>0</v>
      </c>
    </row>
    <row r="3473" spans="3:10" ht="15.75" hidden="1" thickBot="1">
      <c r="C3473" s="273"/>
      <c r="F3473" s="459">
        <v>620</v>
      </c>
      <c r="G3473" s="457" t="s">
        <v>88</v>
      </c>
      <c r="J3473" s="635">
        <f t="shared" si="112"/>
        <v>0</v>
      </c>
    </row>
    <row r="3474" spans="3:10" hidden="1">
      <c r="C3474" s="273"/>
      <c r="E3474" s="452"/>
      <c r="F3474" s="459"/>
      <c r="G3474" s="371" t="s">
        <v>4375</v>
      </c>
      <c r="H3474" s="636"/>
      <c r="I3474" s="662"/>
      <c r="J3474" s="637"/>
    </row>
    <row r="3475" spans="3:10" ht="15.75" hidden="1" thickBot="1">
      <c r="C3475" s="273"/>
      <c r="E3475" s="267"/>
      <c r="F3475" s="294" t="s">
        <v>234</v>
      </c>
      <c r="G3475" s="297" t="s">
        <v>235</v>
      </c>
      <c r="H3475" s="638">
        <f>SUM(H3414:H3473)</f>
        <v>0</v>
      </c>
      <c r="I3475" s="639"/>
      <c r="J3475" s="639">
        <f>SUM(H3475:I3475)</f>
        <v>0</v>
      </c>
    </row>
    <row r="3476" spans="3:10" ht="15.75" hidden="1" thickBot="1">
      <c r="C3476" s="273"/>
      <c r="F3476" s="294" t="s">
        <v>236</v>
      </c>
      <c r="G3476" s="297" t="s">
        <v>237</v>
      </c>
      <c r="J3476" s="639">
        <f t="shared" ref="J3476:J3490" si="113">SUM(H3476:I3476)</f>
        <v>0</v>
      </c>
    </row>
    <row r="3477" spans="3:10" ht="15.75" hidden="1" thickBot="1">
      <c r="C3477" s="273"/>
      <c r="F3477" s="294" t="s">
        <v>238</v>
      </c>
      <c r="G3477" s="297" t="s">
        <v>239</v>
      </c>
      <c r="J3477" s="639">
        <f t="shared" si="113"/>
        <v>0</v>
      </c>
    </row>
    <row r="3478" spans="3:10" ht="15.75" hidden="1" thickBot="1">
      <c r="C3478" s="273"/>
      <c r="F3478" s="294" t="s">
        <v>240</v>
      </c>
      <c r="G3478" s="297" t="s">
        <v>241</v>
      </c>
      <c r="J3478" s="639">
        <f t="shared" si="113"/>
        <v>0</v>
      </c>
    </row>
    <row r="3479" spans="3:10" ht="15.75" hidden="1" thickBot="1">
      <c r="C3479" s="273"/>
      <c r="F3479" s="294" t="s">
        <v>242</v>
      </c>
      <c r="G3479" s="297" t="s">
        <v>243</v>
      </c>
      <c r="J3479" s="639">
        <f t="shared" si="113"/>
        <v>0</v>
      </c>
    </row>
    <row r="3480" spans="3:10" ht="15.75" hidden="1" thickBot="1">
      <c r="C3480" s="273"/>
      <c r="F3480" s="294" t="s">
        <v>244</v>
      </c>
      <c r="G3480" s="297" t="s">
        <v>245</v>
      </c>
      <c r="J3480" s="639">
        <f t="shared" si="113"/>
        <v>0</v>
      </c>
    </row>
    <row r="3481" spans="3:10" ht="15.75" hidden="1" thickBot="1">
      <c r="C3481" s="273"/>
      <c r="F3481" s="294" t="s">
        <v>246</v>
      </c>
      <c r="G3481" s="683" t="s">
        <v>5121</v>
      </c>
      <c r="J3481" s="639">
        <f t="shared" si="113"/>
        <v>0</v>
      </c>
    </row>
    <row r="3482" spans="3:10" ht="15.75" hidden="1" thickBot="1">
      <c r="C3482" s="273"/>
      <c r="F3482" s="294" t="s">
        <v>247</v>
      </c>
      <c r="G3482" s="683" t="s">
        <v>5120</v>
      </c>
      <c r="J3482" s="639">
        <f t="shared" si="113"/>
        <v>0</v>
      </c>
    </row>
    <row r="3483" spans="3:10" ht="15.75" hidden="1" thickBot="1">
      <c r="C3483" s="273"/>
      <c r="F3483" s="294" t="s">
        <v>248</v>
      </c>
      <c r="G3483" s="297" t="s">
        <v>57</v>
      </c>
      <c r="J3483" s="639">
        <f t="shared" si="113"/>
        <v>0</v>
      </c>
    </row>
    <row r="3484" spans="3:10" ht="15.75" hidden="1" thickBot="1">
      <c r="C3484" s="273"/>
      <c r="F3484" s="294" t="s">
        <v>249</v>
      </c>
      <c r="G3484" s="297" t="s">
        <v>250</v>
      </c>
      <c r="J3484" s="639">
        <f t="shared" si="113"/>
        <v>0</v>
      </c>
    </row>
    <row r="3485" spans="3:10" ht="15.75" hidden="1" thickBot="1">
      <c r="C3485" s="273"/>
      <c r="F3485" s="294" t="s">
        <v>251</v>
      </c>
      <c r="G3485" s="297" t="s">
        <v>252</v>
      </c>
      <c r="J3485" s="639">
        <f t="shared" si="113"/>
        <v>0</v>
      </c>
    </row>
    <row r="3486" spans="3:10" ht="15.75" hidden="1" thickBot="1">
      <c r="C3486" s="273"/>
      <c r="F3486" s="294" t="s">
        <v>253</v>
      </c>
      <c r="G3486" s="297" t="s">
        <v>254</v>
      </c>
      <c r="J3486" s="639">
        <f t="shared" si="113"/>
        <v>0</v>
      </c>
    </row>
    <row r="3487" spans="3:10" ht="15.75" hidden="1" thickBot="1">
      <c r="C3487" s="273"/>
      <c r="F3487" s="294" t="s">
        <v>255</v>
      </c>
      <c r="G3487" s="297" t="s">
        <v>256</v>
      </c>
      <c r="J3487" s="639">
        <f t="shared" si="113"/>
        <v>0</v>
      </c>
    </row>
    <row r="3488" spans="3:10" ht="15.75" hidden="1" thickBot="1">
      <c r="C3488" s="273"/>
      <c r="F3488" s="294" t="s">
        <v>257</v>
      </c>
      <c r="G3488" s="297" t="s">
        <v>258</v>
      </c>
      <c r="J3488" s="639">
        <f t="shared" si="113"/>
        <v>0</v>
      </c>
    </row>
    <row r="3489" spans="3:10" ht="15.75" hidden="1" thickBot="1">
      <c r="C3489" s="273"/>
      <c r="F3489" s="294" t="s">
        <v>259</v>
      </c>
      <c r="G3489" s="297" t="s">
        <v>260</v>
      </c>
      <c r="J3489" s="639">
        <f t="shared" si="113"/>
        <v>0</v>
      </c>
    </row>
    <row r="3490" spans="3:10" ht="15.75" hidden="1" thickBot="1">
      <c r="C3490" s="273"/>
      <c r="F3490" s="294" t="s">
        <v>261</v>
      </c>
      <c r="G3490" s="297" t="s">
        <v>262</v>
      </c>
      <c r="H3490" s="638"/>
      <c r="I3490" s="639"/>
      <c r="J3490" s="639">
        <f t="shared" si="113"/>
        <v>0</v>
      </c>
    </row>
    <row r="3491" spans="3:10" ht="15.75" hidden="1" thickBot="1">
      <c r="C3491" s="273"/>
      <c r="G3491" s="274" t="s">
        <v>4317</v>
      </c>
      <c r="H3491" s="640">
        <f>SUM(H3475:H3490)</f>
        <v>0</v>
      </c>
      <c r="I3491" s="641">
        <f>SUM(I3476:I3490)</f>
        <v>0</v>
      </c>
      <c r="J3491" s="641">
        <f>SUM(J3475:J3490)</f>
        <v>0</v>
      </c>
    </row>
    <row r="3492" spans="3:10" hidden="1" collapsed="1">
      <c r="C3492" s="273"/>
      <c r="E3492" s="452"/>
      <c r="F3492" s="459"/>
      <c r="G3492" s="276" t="s">
        <v>4378</v>
      </c>
      <c r="H3492" s="642"/>
      <c r="I3492" s="663"/>
      <c r="J3492" s="643"/>
    </row>
    <row r="3493" spans="3:10" ht="15.75" hidden="1" thickBot="1">
      <c r="C3493" s="273"/>
      <c r="E3493" s="267"/>
      <c r="F3493" s="294" t="s">
        <v>234</v>
      </c>
      <c r="G3493" s="297" t="s">
        <v>235</v>
      </c>
      <c r="H3493" s="638">
        <f>SUM(H3414:H3473)</f>
        <v>0</v>
      </c>
      <c r="I3493" s="639"/>
      <c r="J3493" s="639">
        <f>SUM(H3493:I3493)</f>
        <v>0</v>
      </c>
    </row>
    <row r="3494" spans="3:10" ht="15.75" hidden="1" thickBot="1">
      <c r="C3494" s="273"/>
      <c r="F3494" s="294" t="s">
        <v>236</v>
      </c>
      <c r="G3494" s="297" t="s">
        <v>237</v>
      </c>
      <c r="J3494" s="639">
        <f t="shared" ref="J3494:J3508" si="114">SUM(H3494:I3494)</f>
        <v>0</v>
      </c>
    </row>
    <row r="3495" spans="3:10" ht="15.75" hidden="1" thickBot="1">
      <c r="C3495" s="273"/>
      <c r="F3495" s="294" t="s">
        <v>238</v>
      </c>
      <c r="G3495" s="297" t="s">
        <v>239</v>
      </c>
      <c r="J3495" s="639">
        <f t="shared" si="114"/>
        <v>0</v>
      </c>
    </row>
    <row r="3496" spans="3:10" ht="15.75" hidden="1" thickBot="1">
      <c r="C3496" s="273"/>
      <c r="F3496" s="294" t="s">
        <v>240</v>
      </c>
      <c r="G3496" s="297" t="s">
        <v>241</v>
      </c>
      <c r="J3496" s="639">
        <f t="shared" si="114"/>
        <v>0</v>
      </c>
    </row>
    <row r="3497" spans="3:10" ht="15.75" hidden="1" thickBot="1">
      <c r="C3497" s="273"/>
      <c r="F3497" s="294" t="s">
        <v>242</v>
      </c>
      <c r="G3497" s="297" t="s">
        <v>243</v>
      </c>
      <c r="J3497" s="639">
        <f t="shared" si="114"/>
        <v>0</v>
      </c>
    </row>
    <row r="3498" spans="3:10" ht="15.75" hidden="1" thickBot="1">
      <c r="C3498" s="273"/>
      <c r="F3498" s="294" t="s">
        <v>244</v>
      </c>
      <c r="G3498" s="297" t="s">
        <v>245</v>
      </c>
      <c r="J3498" s="639">
        <f t="shared" si="114"/>
        <v>0</v>
      </c>
    </row>
    <row r="3499" spans="3:10" ht="15.75" hidden="1" thickBot="1">
      <c r="C3499" s="273"/>
      <c r="F3499" s="294" t="s">
        <v>246</v>
      </c>
      <c r="G3499" s="683" t="s">
        <v>5121</v>
      </c>
      <c r="J3499" s="639">
        <f t="shared" si="114"/>
        <v>0</v>
      </c>
    </row>
    <row r="3500" spans="3:10" ht="15.75" hidden="1" thickBot="1">
      <c r="C3500" s="273"/>
      <c r="F3500" s="294" t="s">
        <v>247</v>
      </c>
      <c r="G3500" s="683" t="s">
        <v>5120</v>
      </c>
      <c r="J3500" s="639">
        <f t="shared" si="114"/>
        <v>0</v>
      </c>
    </row>
    <row r="3501" spans="3:10" ht="15.75" hidden="1" thickBot="1">
      <c r="C3501" s="273"/>
      <c r="F3501" s="294" t="s">
        <v>248</v>
      </c>
      <c r="G3501" s="297" t="s">
        <v>57</v>
      </c>
      <c r="J3501" s="639">
        <f t="shared" si="114"/>
        <v>0</v>
      </c>
    </row>
    <row r="3502" spans="3:10" ht="15.75" hidden="1" thickBot="1">
      <c r="C3502" s="273"/>
      <c r="F3502" s="294" t="s">
        <v>249</v>
      </c>
      <c r="G3502" s="297" t="s">
        <v>250</v>
      </c>
      <c r="J3502" s="639">
        <f t="shared" si="114"/>
        <v>0</v>
      </c>
    </row>
    <row r="3503" spans="3:10" ht="15.75" hidden="1" thickBot="1">
      <c r="C3503" s="273"/>
      <c r="F3503" s="294" t="s">
        <v>251</v>
      </c>
      <c r="G3503" s="297" t="s">
        <v>252</v>
      </c>
      <c r="J3503" s="639">
        <f t="shared" si="114"/>
        <v>0</v>
      </c>
    </row>
    <row r="3504" spans="3:10" ht="15.75" hidden="1" thickBot="1">
      <c r="C3504" s="273"/>
      <c r="F3504" s="294" t="s">
        <v>253</v>
      </c>
      <c r="G3504" s="297" t="s">
        <v>254</v>
      </c>
      <c r="J3504" s="639">
        <f t="shared" si="114"/>
        <v>0</v>
      </c>
    </row>
    <row r="3505" spans="1:25" ht="15.75" hidden="1" thickBot="1">
      <c r="C3505" s="273"/>
      <c r="F3505" s="294" t="s">
        <v>255</v>
      </c>
      <c r="G3505" s="297" t="s">
        <v>256</v>
      </c>
      <c r="J3505" s="639">
        <f t="shared" si="114"/>
        <v>0</v>
      </c>
    </row>
    <row r="3506" spans="1:25" ht="15.75" hidden="1" thickBot="1">
      <c r="C3506" s="273"/>
      <c r="F3506" s="294" t="s">
        <v>257</v>
      </c>
      <c r="G3506" s="297" t="s">
        <v>258</v>
      </c>
      <c r="J3506" s="639">
        <f t="shared" si="114"/>
        <v>0</v>
      </c>
    </row>
    <row r="3507" spans="1:25" ht="15.75" hidden="1" thickBot="1">
      <c r="C3507" s="273"/>
      <c r="F3507" s="294" t="s">
        <v>259</v>
      </c>
      <c r="G3507" s="297" t="s">
        <v>260</v>
      </c>
      <c r="J3507" s="639">
        <f t="shared" si="114"/>
        <v>0</v>
      </c>
    </row>
    <row r="3508" spans="1:25" ht="15.75" hidden="1" thickBot="1">
      <c r="C3508" s="273"/>
      <c r="F3508" s="294" t="s">
        <v>261</v>
      </c>
      <c r="G3508" s="297" t="s">
        <v>262</v>
      </c>
      <c r="H3508" s="638"/>
      <c r="I3508" s="639"/>
      <c r="J3508" s="639">
        <f t="shared" si="114"/>
        <v>0</v>
      </c>
    </row>
    <row r="3509" spans="1:25" ht="15.75" hidden="1" collapsed="1" thickBot="1">
      <c r="C3509" s="273"/>
      <c r="G3509" s="274" t="s">
        <v>4379</v>
      </c>
      <c r="H3509" s="640">
        <f>SUM(H3493:H3508)</f>
        <v>0</v>
      </c>
      <c r="I3509" s="641">
        <f>SUM(I3494:I3508)</f>
        <v>0</v>
      </c>
      <c r="J3509" s="641">
        <f>SUM(J3493:J3508)</f>
        <v>0</v>
      </c>
    </row>
    <row r="3510" spans="1:25" hidden="1">
      <c r="C3510" s="273"/>
      <c r="G3510" s="453"/>
    </row>
    <row r="3511" spans="1:25" hidden="1">
      <c r="C3511" s="273" t="s">
        <v>4136</v>
      </c>
      <c r="G3511" s="463" t="s">
        <v>4137</v>
      </c>
    </row>
    <row r="3512" spans="1:25" s="88" customFormat="1" hidden="1">
      <c r="A3512" s="465"/>
      <c r="B3512" s="301"/>
      <c r="C3512" s="310"/>
      <c r="D3512" s="379" t="s">
        <v>4013</v>
      </c>
      <c r="E3512" s="374"/>
      <c r="F3512" s="374"/>
      <c r="G3512" s="375" t="s">
        <v>206</v>
      </c>
      <c r="H3512" s="651"/>
      <c r="I3512" s="652"/>
      <c r="J3512" s="652"/>
      <c r="K3512" s="575"/>
      <c r="L3512" s="575"/>
      <c r="M3512" s="575"/>
      <c r="N3512" s="575"/>
      <c r="O3512" s="575"/>
      <c r="P3512" s="575"/>
      <c r="Q3512" s="575"/>
      <c r="R3512" s="575"/>
      <c r="S3512" s="575"/>
      <c r="T3512" s="575"/>
      <c r="U3512" s="575"/>
      <c r="V3512" s="575"/>
      <c r="W3512" s="575"/>
      <c r="X3512" s="575"/>
      <c r="Y3512" s="575"/>
    </row>
    <row r="3513" spans="1:25" hidden="1">
      <c r="F3513" s="468">
        <v>411</v>
      </c>
      <c r="G3513" s="464" t="s">
        <v>4173</v>
      </c>
      <c r="J3513" s="635">
        <f>SUM(H3513:I3513)</f>
        <v>0</v>
      </c>
    </row>
    <row r="3514" spans="1:25" hidden="1">
      <c r="F3514" s="468">
        <v>412</v>
      </c>
      <c r="G3514" s="461" t="s">
        <v>3770</v>
      </c>
      <c r="J3514" s="635">
        <f t="shared" ref="J3514:J3572" si="115">SUM(H3514:I3514)</f>
        <v>0</v>
      </c>
    </row>
    <row r="3515" spans="1:25" hidden="1">
      <c r="F3515" s="468">
        <v>413</v>
      </c>
      <c r="G3515" s="464" t="s">
        <v>4174</v>
      </c>
      <c r="J3515" s="635">
        <f t="shared" si="115"/>
        <v>0</v>
      </c>
    </row>
    <row r="3516" spans="1:25" hidden="1">
      <c r="F3516" s="468">
        <v>414</v>
      </c>
      <c r="G3516" s="464" t="s">
        <v>3773</v>
      </c>
      <c r="J3516" s="635">
        <f t="shared" si="115"/>
        <v>0</v>
      </c>
    </row>
    <row r="3517" spans="1:25" hidden="1">
      <c r="F3517" s="468">
        <v>415</v>
      </c>
      <c r="G3517" s="464" t="s">
        <v>4183</v>
      </c>
      <c r="J3517" s="635">
        <f t="shared" si="115"/>
        <v>0</v>
      </c>
    </row>
    <row r="3518" spans="1:25" hidden="1">
      <c r="F3518" s="468">
        <v>416</v>
      </c>
      <c r="G3518" s="464" t="s">
        <v>4184</v>
      </c>
      <c r="J3518" s="635">
        <f t="shared" si="115"/>
        <v>0</v>
      </c>
    </row>
    <row r="3519" spans="1:25" hidden="1">
      <c r="F3519" s="468">
        <v>417</v>
      </c>
      <c r="G3519" s="464" t="s">
        <v>4185</v>
      </c>
      <c r="J3519" s="635">
        <f t="shared" si="115"/>
        <v>0</v>
      </c>
    </row>
    <row r="3520" spans="1:25" hidden="1">
      <c r="F3520" s="468">
        <v>418</v>
      </c>
      <c r="G3520" s="464" t="s">
        <v>3779</v>
      </c>
      <c r="J3520" s="635">
        <f t="shared" si="115"/>
        <v>0</v>
      </c>
    </row>
    <row r="3521" spans="6:10" hidden="1">
      <c r="F3521" s="468">
        <v>421</v>
      </c>
      <c r="G3521" s="464" t="s">
        <v>3783</v>
      </c>
      <c r="J3521" s="635">
        <f t="shared" si="115"/>
        <v>0</v>
      </c>
    </row>
    <row r="3522" spans="6:10" hidden="1">
      <c r="F3522" s="468">
        <v>422</v>
      </c>
      <c r="G3522" s="464" t="s">
        <v>3784</v>
      </c>
      <c r="J3522" s="635">
        <f t="shared" si="115"/>
        <v>0</v>
      </c>
    </row>
    <row r="3523" spans="6:10" hidden="1">
      <c r="F3523" s="468">
        <v>423</v>
      </c>
      <c r="G3523" s="464" t="s">
        <v>3785</v>
      </c>
      <c r="J3523" s="635">
        <f t="shared" si="115"/>
        <v>0</v>
      </c>
    </row>
    <row r="3524" spans="6:10" hidden="1">
      <c r="F3524" s="468">
        <v>424</v>
      </c>
      <c r="G3524" s="464" t="s">
        <v>3787</v>
      </c>
      <c r="J3524" s="635">
        <f t="shared" si="115"/>
        <v>0</v>
      </c>
    </row>
    <row r="3525" spans="6:10" hidden="1">
      <c r="F3525" s="468">
        <v>425</v>
      </c>
      <c r="G3525" s="464" t="s">
        <v>4186</v>
      </c>
      <c r="J3525" s="635">
        <f t="shared" si="115"/>
        <v>0</v>
      </c>
    </row>
    <row r="3526" spans="6:10" hidden="1">
      <c r="F3526" s="468">
        <v>426</v>
      </c>
      <c r="G3526" s="464" t="s">
        <v>3791</v>
      </c>
      <c r="J3526" s="635">
        <f t="shared" si="115"/>
        <v>0</v>
      </c>
    </row>
    <row r="3527" spans="6:10" hidden="1">
      <c r="F3527" s="468">
        <v>431</v>
      </c>
      <c r="G3527" s="464" t="s">
        <v>4187</v>
      </c>
      <c r="J3527" s="635">
        <f t="shared" si="115"/>
        <v>0</v>
      </c>
    </row>
    <row r="3528" spans="6:10" hidden="1">
      <c r="F3528" s="468">
        <v>432</v>
      </c>
      <c r="G3528" s="464" t="s">
        <v>4188</v>
      </c>
      <c r="J3528" s="635">
        <f t="shared" si="115"/>
        <v>0</v>
      </c>
    </row>
    <row r="3529" spans="6:10" hidden="1">
      <c r="F3529" s="468">
        <v>433</v>
      </c>
      <c r="G3529" s="464" t="s">
        <v>4189</v>
      </c>
      <c r="J3529" s="635">
        <f t="shared" si="115"/>
        <v>0</v>
      </c>
    </row>
    <row r="3530" spans="6:10" hidden="1">
      <c r="F3530" s="468">
        <v>434</v>
      </c>
      <c r="G3530" s="464" t="s">
        <v>4190</v>
      </c>
      <c r="J3530" s="635">
        <f t="shared" si="115"/>
        <v>0</v>
      </c>
    </row>
    <row r="3531" spans="6:10" hidden="1">
      <c r="F3531" s="468">
        <v>435</v>
      </c>
      <c r="G3531" s="464" t="s">
        <v>3798</v>
      </c>
      <c r="J3531" s="635">
        <f t="shared" si="115"/>
        <v>0</v>
      </c>
    </row>
    <row r="3532" spans="6:10" hidden="1">
      <c r="F3532" s="468">
        <v>441</v>
      </c>
      <c r="G3532" s="464" t="s">
        <v>4191</v>
      </c>
      <c r="J3532" s="635">
        <f t="shared" si="115"/>
        <v>0</v>
      </c>
    </row>
    <row r="3533" spans="6:10" hidden="1">
      <c r="F3533" s="468">
        <v>442</v>
      </c>
      <c r="G3533" s="464" t="s">
        <v>4192</v>
      </c>
      <c r="J3533" s="635">
        <f t="shared" si="115"/>
        <v>0</v>
      </c>
    </row>
    <row r="3534" spans="6:10" hidden="1">
      <c r="F3534" s="468">
        <v>443</v>
      </c>
      <c r="G3534" s="464" t="s">
        <v>3803</v>
      </c>
      <c r="J3534" s="635">
        <f t="shared" si="115"/>
        <v>0</v>
      </c>
    </row>
    <row r="3535" spans="6:10" hidden="1">
      <c r="F3535" s="468">
        <v>444</v>
      </c>
      <c r="G3535" s="464" t="s">
        <v>3804</v>
      </c>
      <c r="J3535" s="635">
        <f t="shared" si="115"/>
        <v>0</v>
      </c>
    </row>
    <row r="3536" spans="6:10" ht="30" hidden="1">
      <c r="F3536" s="468">
        <v>4511</v>
      </c>
      <c r="G3536" s="268" t="s">
        <v>1690</v>
      </c>
      <c r="J3536" s="635">
        <f t="shared" si="115"/>
        <v>0</v>
      </c>
    </row>
    <row r="3537" spans="6:10" ht="30" hidden="1">
      <c r="F3537" s="468">
        <v>4512</v>
      </c>
      <c r="G3537" s="268" t="s">
        <v>1699</v>
      </c>
      <c r="J3537" s="635">
        <f t="shared" si="115"/>
        <v>0</v>
      </c>
    </row>
    <row r="3538" spans="6:10" hidden="1">
      <c r="F3538" s="468">
        <v>452</v>
      </c>
      <c r="G3538" s="464" t="s">
        <v>4193</v>
      </c>
      <c r="J3538" s="635">
        <f t="shared" si="115"/>
        <v>0</v>
      </c>
    </row>
    <row r="3539" spans="6:10" hidden="1">
      <c r="F3539" s="468">
        <v>453</v>
      </c>
      <c r="G3539" s="464" t="s">
        <v>4194</v>
      </c>
      <c r="J3539" s="635">
        <f t="shared" si="115"/>
        <v>0</v>
      </c>
    </row>
    <row r="3540" spans="6:10" hidden="1">
      <c r="F3540" s="468">
        <v>454</v>
      </c>
      <c r="G3540" s="464" t="s">
        <v>3809</v>
      </c>
      <c r="J3540" s="635">
        <f t="shared" si="115"/>
        <v>0</v>
      </c>
    </row>
    <row r="3541" spans="6:10" hidden="1">
      <c r="F3541" s="468">
        <v>461</v>
      </c>
      <c r="G3541" s="464" t="s">
        <v>4175</v>
      </c>
      <c r="J3541" s="635">
        <f t="shared" si="115"/>
        <v>0</v>
      </c>
    </row>
    <row r="3542" spans="6:10" hidden="1">
      <c r="F3542" s="468">
        <v>462</v>
      </c>
      <c r="G3542" s="464" t="s">
        <v>3812</v>
      </c>
      <c r="J3542" s="635">
        <f t="shared" si="115"/>
        <v>0</v>
      </c>
    </row>
    <row r="3543" spans="6:10" hidden="1">
      <c r="F3543" s="468">
        <v>4631</v>
      </c>
      <c r="G3543" s="464" t="s">
        <v>3813</v>
      </c>
      <c r="J3543" s="635">
        <f t="shared" si="115"/>
        <v>0</v>
      </c>
    </row>
    <row r="3544" spans="6:10" hidden="1">
      <c r="F3544" s="468">
        <v>4632</v>
      </c>
      <c r="G3544" s="464" t="s">
        <v>3814</v>
      </c>
      <c r="J3544" s="635">
        <f t="shared" si="115"/>
        <v>0</v>
      </c>
    </row>
    <row r="3545" spans="6:10" hidden="1">
      <c r="F3545" s="468">
        <v>464</v>
      </c>
      <c r="G3545" s="464" t="s">
        <v>3815</v>
      </c>
      <c r="J3545" s="635">
        <f t="shared" si="115"/>
        <v>0</v>
      </c>
    </row>
    <row r="3546" spans="6:10" hidden="1">
      <c r="F3546" s="468">
        <v>465</v>
      </c>
      <c r="G3546" s="464" t="s">
        <v>4176</v>
      </c>
      <c r="J3546" s="635">
        <f t="shared" si="115"/>
        <v>0</v>
      </c>
    </row>
    <row r="3547" spans="6:10" hidden="1">
      <c r="F3547" s="468">
        <v>472</v>
      </c>
      <c r="G3547" s="464" t="s">
        <v>3819</v>
      </c>
      <c r="J3547" s="635">
        <f t="shared" si="115"/>
        <v>0</v>
      </c>
    </row>
    <row r="3548" spans="6:10" hidden="1">
      <c r="F3548" s="468">
        <v>481</v>
      </c>
      <c r="G3548" s="464" t="s">
        <v>4195</v>
      </c>
      <c r="J3548" s="635">
        <f t="shared" si="115"/>
        <v>0</v>
      </c>
    </row>
    <row r="3549" spans="6:10" hidden="1">
      <c r="F3549" s="468">
        <v>482</v>
      </c>
      <c r="G3549" s="464" t="s">
        <v>4196</v>
      </c>
      <c r="J3549" s="635">
        <f t="shared" si="115"/>
        <v>0</v>
      </c>
    </row>
    <row r="3550" spans="6:10" hidden="1">
      <c r="F3550" s="468">
        <v>483</v>
      </c>
      <c r="G3550" s="466" t="s">
        <v>4197</v>
      </c>
      <c r="J3550" s="635">
        <f t="shared" si="115"/>
        <v>0</v>
      </c>
    </row>
    <row r="3551" spans="6:10" ht="30" hidden="1">
      <c r="F3551" s="468">
        <v>484</v>
      </c>
      <c r="G3551" s="464" t="s">
        <v>4198</v>
      </c>
      <c r="J3551" s="635">
        <f t="shared" si="115"/>
        <v>0</v>
      </c>
    </row>
    <row r="3552" spans="6:10" ht="30" hidden="1">
      <c r="F3552" s="468">
        <v>485</v>
      </c>
      <c r="G3552" s="464" t="s">
        <v>4199</v>
      </c>
      <c r="J3552" s="635">
        <f t="shared" si="115"/>
        <v>0</v>
      </c>
    </row>
    <row r="3553" spans="6:10" ht="30" hidden="1">
      <c r="F3553" s="468">
        <v>489</v>
      </c>
      <c r="G3553" s="464" t="s">
        <v>3827</v>
      </c>
      <c r="J3553" s="635">
        <f t="shared" si="115"/>
        <v>0</v>
      </c>
    </row>
    <row r="3554" spans="6:10" hidden="1">
      <c r="F3554" s="468">
        <v>494</v>
      </c>
      <c r="G3554" s="464" t="s">
        <v>4177</v>
      </c>
      <c r="J3554" s="635">
        <f t="shared" si="115"/>
        <v>0</v>
      </c>
    </row>
    <row r="3555" spans="6:10" ht="30" hidden="1">
      <c r="F3555" s="468">
        <v>495</v>
      </c>
      <c r="G3555" s="464" t="s">
        <v>4178</v>
      </c>
      <c r="J3555" s="635">
        <f t="shared" si="115"/>
        <v>0</v>
      </c>
    </row>
    <row r="3556" spans="6:10" ht="30" hidden="1">
      <c r="F3556" s="468">
        <v>496</v>
      </c>
      <c r="G3556" s="464" t="s">
        <v>4179</v>
      </c>
      <c r="J3556" s="635">
        <f t="shared" si="115"/>
        <v>0</v>
      </c>
    </row>
    <row r="3557" spans="6:10" hidden="1">
      <c r="F3557" s="468">
        <v>499</v>
      </c>
      <c r="G3557" s="464" t="s">
        <v>4180</v>
      </c>
      <c r="J3557" s="635">
        <f t="shared" si="115"/>
        <v>0</v>
      </c>
    </row>
    <row r="3558" spans="6:10" hidden="1">
      <c r="F3558" s="468">
        <v>511</v>
      </c>
      <c r="G3558" s="466" t="s">
        <v>4200</v>
      </c>
      <c r="J3558" s="635">
        <f t="shared" si="115"/>
        <v>0</v>
      </c>
    </row>
    <row r="3559" spans="6:10" hidden="1">
      <c r="F3559" s="468">
        <v>512</v>
      </c>
      <c r="G3559" s="466" t="s">
        <v>4201</v>
      </c>
      <c r="J3559" s="635">
        <f t="shared" si="115"/>
        <v>0</v>
      </c>
    </row>
    <row r="3560" spans="6:10" hidden="1">
      <c r="F3560" s="468">
        <v>513</v>
      </c>
      <c r="G3560" s="466" t="s">
        <v>4202</v>
      </c>
      <c r="J3560" s="635">
        <f t="shared" si="115"/>
        <v>0</v>
      </c>
    </row>
    <row r="3561" spans="6:10" hidden="1">
      <c r="F3561" s="468">
        <v>514</v>
      </c>
      <c r="G3561" s="464" t="s">
        <v>4203</v>
      </c>
      <c r="J3561" s="635">
        <f t="shared" si="115"/>
        <v>0</v>
      </c>
    </row>
    <row r="3562" spans="6:10" hidden="1">
      <c r="F3562" s="468">
        <v>515</v>
      </c>
      <c r="G3562" s="464" t="s">
        <v>3838</v>
      </c>
      <c r="J3562" s="635">
        <f t="shared" si="115"/>
        <v>0</v>
      </c>
    </row>
    <row r="3563" spans="6:10" hidden="1">
      <c r="F3563" s="468">
        <v>521</v>
      </c>
      <c r="G3563" s="464" t="s">
        <v>4204</v>
      </c>
      <c r="J3563" s="635">
        <f t="shared" si="115"/>
        <v>0</v>
      </c>
    </row>
    <row r="3564" spans="6:10" hidden="1">
      <c r="F3564" s="468">
        <v>522</v>
      </c>
      <c r="G3564" s="464" t="s">
        <v>4205</v>
      </c>
      <c r="J3564" s="635">
        <f t="shared" si="115"/>
        <v>0</v>
      </c>
    </row>
    <row r="3565" spans="6:10" hidden="1">
      <c r="F3565" s="468">
        <v>523</v>
      </c>
      <c r="G3565" s="464" t="s">
        <v>3843</v>
      </c>
      <c r="J3565" s="635">
        <f t="shared" si="115"/>
        <v>0</v>
      </c>
    </row>
    <row r="3566" spans="6:10" hidden="1">
      <c r="F3566" s="468">
        <v>531</v>
      </c>
      <c r="G3566" s="461" t="s">
        <v>4181</v>
      </c>
      <c r="J3566" s="635">
        <f t="shared" si="115"/>
        <v>0</v>
      </c>
    </row>
    <row r="3567" spans="6:10" hidden="1">
      <c r="F3567" s="468">
        <v>541</v>
      </c>
      <c r="G3567" s="464" t="s">
        <v>4206</v>
      </c>
      <c r="J3567" s="635">
        <f t="shared" si="115"/>
        <v>0</v>
      </c>
    </row>
    <row r="3568" spans="6:10" hidden="1">
      <c r="F3568" s="468">
        <v>542</v>
      </c>
      <c r="G3568" s="464" t="s">
        <v>4207</v>
      </c>
      <c r="J3568" s="635">
        <f t="shared" si="115"/>
        <v>0</v>
      </c>
    </row>
    <row r="3569" spans="5:10" hidden="1">
      <c r="F3569" s="468">
        <v>543</v>
      </c>
      <c r="G3569" s="464" t="s">
        <v>3848</v>
      </c>
      <c r="J3569" s="635">
        <f t="shared" si="115"/>
        <v>0</v>
      </c>
    </row>
    <row r="3570" spans="5:10" ht="30" hidden="1">
      <c r="F3570" s="468">
        <v>551</v>
      </c>
      <c r="G3570" s="464" t="s">
        <v>4182</v>
      </c>
      <c r="J3570" s="635">
        <f t="shared" si="115"/>
        <v>0</v>
      </c>
    </row>
    <row r="3571" spans="5:10" hidden="1">
      <c r="F3571" s="469">
        <v>611</v>
      </c>
      <c r="G3571" s="467" t="s">
        <v>3854</v>
      </c>
      <c r="J3571" s="635">
        <f t="shared" si="115"/>
        <v>0</v>
      </c>
    </row>
    <row r="3572" spans="5:10" hidden="1">
      <c r="F3572" s="469">
        <v>620</v>
      </c>
      <c r="G3572" s="467" t="s">
        <v>88</v>
      </c>
      <c r="J3572" s="635">
        <f t="shared" si="115"/>
        <v>0</v>
      </c>
    </row>
    <row r="3573" spans="5:10" hidden="1">
      <c r="E3573" s="462"/>
      <c r="F3573" s="469"/>
      <c r="G3573" s="371" t="s">
        <v>4375</v>
      </c>
      <c r="H3573" s="636"/>
      <c r="I3573" s="662"/>
      <c r="J3573" s="637"/>
    </row>
    <row r="3574" spans="5:10" hidden="1">
      <c r="E3574" s="267"/>
      <c r="F3574" s="294" t="s">
        <v>234</v>
      </c>
      <c r="G3574" s="297" t="s">
        <v>235</v>
      </c>
      <c r="H3574" s="638">
        <f>SUM(H3513:H3572)</f>
        <v>0</v>
      </c>
      <c r="I3574" s="639"/>
      <c r="J3574" s="639">
        <f>SUM(H3574:I3574)</f>
        <v>0</v>
      </c>
    </row>
    <row r="3575" spans="5:10" hidden="1">
      <c r="F3575" s="294" t="s">
        <v>236</v>
      </c>
      <c r="G3575" s="297" t="s">
        <v>237</v>
      </c>
      <c r="J3575" s="639">
        <f t="shared" ref="J3575:J3589" si="116">SUM(H3575:I3575)</f>
        <v>0</v>
      </c>
    </row>
    <row r="3576" spans="5:10" hidden="1">
      <c r="F3576" s="294" t="s">
        <v>238</v>
      </c>
      <c r="G3576" s="297" t="s">
        <v>239</v>
      </c>
      <c r="J3576" s="639">
        <f t="shared" si="116"/>
        <v>0</v>
      </c>
    </row>
    <row r="3577" spans="5:10" hidden="1">
      <c r="F3577" s="294" t="s">
        <v>240</v>
      </c>
      <c r="G3577" s="297" t="s">
        <v>241</v>
      </c>
      <c r="J3577" s="639">
        <f t="shared" si="116"/>
        <v>0</v>
      </c>
    </row>
    <row r="3578" spans="5:10" hidden="1">
      <c r="F3578" s="294" t="s">
        <v>242</v>
      </c>
      <c r="G3578" s="297" t="s">
        <v>243</v>
      </c>
      <c r="J3578" s="639">
        <f t="shared" si="116"/>
        <v>0</v>
      </c>
    </row>
    <row r="3579" spans="5:10" hidden="1">
      <c r="F3579" s="294" t="s">
        <v>244</v>
      </c>
      <c r="G3579" s="297" t="s">
        <v>245</v>
      </c>
      <c r="J3579" s="639">
        <f t="shared" si="116"/>
        <v>0</v>
      </c>
    </row>
    <row r="3580" spans="5:10" hidden="1">
      <c r="F3580" s="294" t="s">
        <v>246</v>
      </c>
      <c r="G3580" s="683" t="s">
        <v>5121</v>
      </c>
      <c r="J3580" s="639">
        <f t="shared" si="116"/>
        <v>0</v>
      </c>
    </row>
    <row r="3581" spans="5:10" hidden="1">
      <c r="F3581" s="294" t="s">
        <v>247</v>
      </c>
      <c r="G3581" s="683" t="s">
        <v>5120</v>
      </c>
      <c r="J3581" s="639">
        <f t="shared" si="116"/>
        <v>0</v>
      </c>
    </row>
    <row r="3582" spans="5:10" hidden="1">
      <c r="F3582" s="294" t="s">
        <v>248</v>
      </c>
      <c r="G3582" s="297" t="s">
        <v>57</v>
      </c>
      <c r="J3582" s="639">
        <f t="shared" si="116"/>
        <v>0</v>
      </c>
    </row>
    <row r="3583" spans="5:10" hidden="1">
      <c r="F3583" s="294" t="s">
        <v>249</v>
      </c>
      <c r="G3583" s="297" t="s">
        <v>250</v>
      </c>
      <c r="J3583" s="639">
        <f t="shared" si="116"/>
        <v>0</v>
      </c>
    </row>
    <row r="3584" spans="5:10" hidden="1">
      <c r="F3584" s="294" t="s">
        <v>251</v>
      </c>
      <c r="G3584" s="297" t="s">
        <v>252</v>
      </c>
      <c r="J3584" s="639">
        <f t="shared" si="116"/>
        <v>0</v>
      </c>
    </row>
    <row r="3585" spans="5:10" hidden="1">
      <c r="F3585" s="294" t="s">
        <v>253</v>
      </c>
      <c r="G3585" s="297" t="s">
        <v>254</v>
      </c>
      <c r="J3585" s="639">
        <f t="shared" si="116"/>
        <v>0</v>
      </c>
    </row>
    <row r="3586" spans="5:10" hidden="1">
      <c r="F3586" s="294" t="s">
        <v>255</v>
      </c>
      <c r="G3586" s="297" t="s">
        <v>256</v>
      </c>
      <c r="J3586" s="639">
        <f t="shared" si="116"/>
        <v>0</v>
      </c>
    </row>
    <row r="3587" spans="5:10" hidden="1">
      <c r="F3587" s="294" t="s">
        <v>257</v>
      </c>
      <c r="G3587" s="297" t="s">
        <v>258</v>
      </c>
      <c r="J3587" s="639">
        <f t="shared" si="116"/>
        <v>0</v>
      </c>
    </row>
    <row r="3588" spans="5:10" hidden="1">
      <c r="F3588" s="294" t="s">
        <v>259</v>
      </c>
      <c r="G3588" s="297" t="s">
        <v>260</v>
      </c>
      <c r="J3588" s="639">
        <f t="shared" si="116"/>
        <v>0</v>
      </c>
    </row>
    <row r="3589" spans="5:10" hidden="1">
      <c r="F3589" s="294" t="s">
        <v>261</v>
      </c>
      <c r="G3589" s="297" t="s">
        <v>262</v>
      </c>
      <c r="H3589" s="638"/>
      <c r="I3589" s="639"/>
      <c r="J3589" s="639">
        <f t="shared" si="116"/>
        <v>0</v>
      </c>
    </row>
    <row r="3590" spans="5:10" ht="15.75" hidden="1" thickBot="1">
      <c r="G3590" s="274" t="s">
        <v>4317</v>
      </c>
      <c r="H3590" s="640">
        <f>SUM(H3574:H3589)</f>
        <v>0</v>
      </c>
      <c r="I3590" s="641">
        <f>SUM(I3575:I3589)</f>
        <v>0</v>
      </c>
      <c r="J3590" s="641">
        <f>SUM(J3574:J3589)</f>
        <v>0</v>
      </c>
    </row>
    <row r="3591" spans="5:10" hidden="1" collapsed="1">
      <c r="E3591" s="462"/>
      <c r="F3591" s="469"/>
      <c r="G3591" s="276" t="s">
        <v>4380</v>
      </c>
      <c r="H3591" s="642"/>
      <c r="I3591" s="663"/>
      <c r="J3591" s="643"/>
    </row>
    <row r="3592" spans="5:10" hidden="1">
      <c r="E3592" s="267"/>
      <c r="F3592" s="294" t="s">
        <v>234</v>
      </c>
      <c r="G3592" s="297" t="s">
        <v>235</v>
      </c>
      <c r="H3592" s="638">
        <f>SUM(H3513:H3572)</f>
        <v>0</v>
      </c>
      <c r="I3592" s="639"/>
      <c r="J3592" s="639">
        <f>SUM(H3592:I3592)</f>
        <v>0</v>
      </c>
    </row>
    <row r="3593" spans="5:10" hidden="1">
      <c r="F3593" s="294" t="s">
        <v>236</v>
      </c>
      <c r="G3593" s="297" t="s">
        <v>237</v>
      </c>
      <c r="J3593" s="639">
        <f t="shared" ref="J3593:J3607" si="117">SUM(H3593:I3593)</f>
        <v>0</v>
      </c>
    </row>
    <row r="3594" spans="5:10" hidden="1">
      <c r="F3594" s="294" t="s">
        <v>238</v>
      </c>
      <c r="G3594" s="297" t="s">
        <v>239</v>
      </c>
      <c r="J3594" s="639">
        <f t="shared" si="117"/>
        <v>0</v>
      </c>
    </row>
    <row r="3595" spans="5:10" hidden="1">
      <c r="F3595" s="294" t="s">
        <v>240</v>
      </c>
      <c r="G3595" s="297" t="s">
        <v>241</v>
      </c>
      <c r="J3595" s="639">
        <f t="shared" si="117"/>
        <v>0</v>
      </c>
    </row>
    <row r="3596" spans="5:10" hidden="1">
      <c r="F3596" s="294" t="s">
        <v>242</v>
      </c>
      <c r="G3596" s="297" t="s">
        <v>243</v>
      </c>
      <c r="J3596" s="639">
        <f t="shared" si="117"/>
        <v>0</v>
      </c>
    </row>
    <row r="3597" spans="5:10" hidden="1">
      <c r="F3597" s="294" t="s">
        <v>244</v>
      </c>
      <c r="G3597" s="297" t="s">
        <v>245</v>
      </c>
      <c r="J3597" s="639">
        <f t="shared" si="117"/>
        <v>0</v>
      </c>
    </row>
    <row r="3598" spans="5:10" hidden="1">
      <c r="F3598" s="294" t="s">
        <v>246</v>
      </c>
      <c r="G3598" s="683" t="s">
        <v>5121</v>
      </c>
      <c r="J3598" s="639">
        <f t="shared" si="117"/>
        <v>0</v>
      </c>
    </row>
    <row r="3599" spans="5:10" hidden="1">
      <c r="F3599" s="294" t="s">
        <v>247</v>
      </c>
      <c r="G3599" s="683" t="s">
        <v>5120</v>
      </c>
      <c r="J3599" s="639">
        <f t="shared" si="117"/>
        <v>0</v>
      </c>
    </row>
    <row r="3600" spans="5:10" hidden="1">
      <c r="F3600" s="294" t="s">
        <v>248</v>
      </c>
      <c r="G3600" s="297" t="s">
        <v>57</v>
      </c>
      <c r="J3600" s="639">
        <f t="shared" si="117"/>
        <v>0</v>
      </c>
    </row>
    <row r="3601" spans="1:25" hidden="1">
      <c r="F3601" s="294" t="s">
        <v>249</v>
      </c>
      <c r="G3601" s="297" t="s">
        <v>250</v>
      </c>
      <c r="J3601" s="639">
        <f t="shared" si="117"/>
        <v>0</v>
      </c>
    </row>
    <row r="3602" spans="1:25" hidden="1">
      <c r="F3602" s="294" t="s">
        <v>251</v>
      </c>
      <c r="G3602" s="297" t="s">
        <v>252</v>
      </c>
      <c r="J3602" s="639">
        <f t="shared" si="117"/>
        <v>0</v>
      </c>
    </row>
    <row r="3603" spans="1:25" hidden="1">
      <c r="F3603" s="294" t="s">
        <v>253</v>
      </c>
      <c r="G3603" s="297" t="s">
        <v>254</v>
      </c>
      <c r="J3603" s="639">
        <f t="shared" si="117"/>
        <v>0</v>
      </c>
    </row>
    <row r="3604" spans="1:25" hidden="1">
      <c r="F3604" s="294" t="s">
        <v>255</v>
      </c>
      <c r="G3604" s="297" t="s">
        <v>256</v>
      </c>
      <c r="J3604" s="639">
        <f t="shared" si="117"/>
        <v>0</v>
      </c>
    </row>
    <row r="3605" spans="1:25" hidden="1">
      <c r="F3605" s="294" t="s">
        <v>257</v>
      </c>
      <c r="G3605" s="297" t="s">
        <v>258</v>
      </c>
      <c r="J3605" s="639">
        <f t="shared" si="117"/>
        <v>0</v>
      </c>
    </row>
    <row r="3606" spans="1:25" hidden="1">
      <c r="F3606" s="294" t="s">
        <v>259</v>
      </c>
      <c r="G3606" s="297" t="s">
        <v>260</v>
      </c>
      <c r="J3606" s="639">
        <f t="shared" si="117"/>
        <v>0</v>
      </c>
    </row>
    <row r="3607" spans="1:25" hidden="1">
      <c r="F3607" s="294" t="s">
        <v>261</v>
      </c>
      <c r="G3607" s="297" t="s">
        <v>262</v>
      </c>
      <c r="H3607" s="638"/>
      <c r="I3607" s="639"/>
      <c r="J3607" s="639">
        <f t="shared" si="117"/>
        <v>0</v>
      </c>
    </row>
    <row r="3608" spans="1:25" ht="15.75" hidden="1" collapsed="1" thickBot="1">
      <c r="G3608" s="274" t="s">
        <v>4381</v>
      </c>
      <c r="H3608" s="640">
        <f>SUM(H3592:H3607)</f>
        <v>0</v>
      </c>
      <c r="I3608" s="641">
        <f>SUM(I3593:I3607)</f>
        <v>0</v>
      </c>
      <c r="J3608" s="641">
        <f>SUM(J3592:J3607)</f>
        <v>0</v>
      </c>
    </row>
    <row r="3609" spans="1:25" hidden="1">
      <c r="G3609" s="453"/>
    </row>
    <row r="3610" spans="1:25" s="88" customFormat="1">
      <c r="A3610" s="465"/>
      <c r="B3610" s="301"/>
      <c r="C3610" s="361"/>
      <c r="D3610" s="296"/>
      <c r="E3610" s="296"/>
      <c r="F3610" s="469"/>
      <c r="G3610" s="295" t="s">
        <v>4318</v>
      </c>
      <c r="H3610" s="646"/>
      <c r="I3610" s="664"/>
      <c r="J3610" s="647"/>
      <c r="K3610" s="575"/>
      <c r="L3610" s="575"/>
      <c r="M3610" s="575"/>
      <c r="N3610" s="575"/>
      <c r="O3610" s="575"/>
      <c r="P3610" s="575"/>
      <c r="Q3610" s="575"/>
      <c r="R3610" s="575"/>
      <c r="S3610" s="575"/>
      <c r="T3610" s="575"/>
      <c r="U3610" s="575"/>
      <c r="V3610" s="575"/>
      <c r="W3610" s="575"/>
      <c r="X3610" s="575"/>
      <c r="Y3610" s="575"/>
    </row>
    <row r="3611" spans="1:25" s="88" customFormat="1" ht="15.75" thickBot="1">
      <c r="A3611" s="465"/>
      <c r="B3611" s="301"/>
      <c r="C3611" s="361"/>
      <c r="D3611" s="296"/>
      <c r="E3611" s="296"/>
      <c r="F3611" s="294" t="s">
        <v>234</v>
      </c>
      <c r="G3611" s="297" t="s">
        <v>235</v>
      </c>
      <c r="H3611" s="638">
        <f>SUM(H3592,H3493,H3394)</f>
        <v>9000000</v>
      </c>
      <c r="I3611" s="639"/>
      <c r="J3611" s="639">
        <f>SUM(H3611:I3611)</f>
        <v>9000000</v>
      </c>
      <c r="K3611" s="575"/>
      <c r="L3611" s="575"/>
      <c r="M3611" s="575"/>
      <c r="N3611" s="575"/>
      <c r="O3611" s="575"/>
      <c r="P3611" s="575"/>
      <c r="Q3611" s="575"/>
      <c r="R3611" s="575"/>
      <c r="S3611" s="575"/>
      <c r="T3611" s="575"/>
      <c r="U3611" s="575"/>
      <c r="V3611" s="575"/>
      <c r="W3611" s="575"/>
      <c r="X3611" s="575"/>
      <c r="Y3611" s="575"/>
    </row>
    <row r="3612" spans="1:25" s="88" customFormat="1" ht="15.75" hidden="1" thickBot="1">
      <c r="A3612" s="465"/>
      <c r="B3612" s="301"/>
      <c r="C3612" s="361"/>
      <c r="D3612" s="296"/>
      <c r="E3612" s="296"/>
      <c r="F3612" s="294" t="s">
        <v>236</v>
      </c>
      <c r="G3612" s="297" t="s">
        <v>237</v>
      </c>
      <c r="H3612" s="634"/>
      <c r="I3612" s="635"/>
      <c r="J3612" s="639">
        <f t="shared" ref="J3612:J3626" si="118">SUM(H3612:I3612)</f>
        <v>0</v>
      </c>
      <c r="K3612" s="575"/>
      <c r="L3612" s="575"/>
      <c r="M3612" s="575"/>
      <c r="N3612" s="575"/>
      <c r="O3612" s="575"/>
      <c r="P3612" s="575"/>
      <c r="Q3612" s="575"/>
      <c r="R3612" s="575"/>
      <c r="S3612" s="575"/>
      <c r="T3612" s="575"/>
      <c r="U3612" s="575"/>
      <c r="V3612" s="575"/>
      <c r="W3612" s="575"/>
      <c r="X3612" s="575"/>
      <c r="Y3612" s="575"/>
    </row>
    <row r="3613" spans="1:25" s="88" customFormat="1" ht="15.75" hidden="1" thickBot="1">
      <c r="A3613" s="465"/>
      <c r="B3613" s="301"/>
      <c r="C3613" s="361"/>
      <c r="D3613" s="296"/>
      <c r="E3613" s="296"/>
      <c r="F3613" s="294" t="s">
        <v>238</v>
      </c>
      <c r="G3613" s="297" t="s">
        <v>239</v>
      </c>
      <c r="H3613" s="634"/>
      <c r="I3613" s="635"/>
      <c r="J3613" s="639">
        <f t="shared" si="118"/>
        <v>0</v>
      </c>
      <c r="K3613" s="575"/>
      <c r="L3613" s="575"/>
      <c r="M3613" s="575"/>
      <c r="N3613" s="575"/>
      <c r="O3613" s="575"/>
      <c r="P3613" s="575"/>
      <c r="Q3613" s="575"/>
      <c r="R3613" s="575"/>
      <c r="S3613" s="575"/>
      <c r="T3613" s="575"/>
      <c r="U3613" s="575"/>
      <c r="V3613" s="575"/>
      <c r="W3613" s="575"/>
      <c r="X3613" s="575"/>
      <c r="Y3613" s="575"/>
    </row>
    <row r="3614" spans="1:25" s="88" customFormat="1" ht="15.75" hidden="1" thickBot="1">
      <c r="A3614" s="465"/>
      <c r="B3614" s="301"/>
      <c r="C3614" s="361"/>
      <c r="D3614" s="296"/>
      <c r="E3614" s="296"/>
      <c r="F3614" s="294" t="s">
        <v>240</v>
      </c>
      <c r="G3614" s="297" t="s">
        <v>241</v>
      </c>
      <c r="H3614" s="634"/>
      <c r="I3614" s="635"/>
      <c r="J3614" s="639">
        <f t="shared" si="118"/>
        <v>0</v>
      </c>
      <c r="K3614" s="575"/>
      <c r="L3614" s="575"/>
      <c r="M3614" s="575"/>
      <c r="N3614" s="575"/>
      <c r="O3614" s="575"/>
      <c r="P3614" s="575"/>
      <c r="Q3614" s="575"/>
      <c r="R3614" s="575"/>
      <c r="S3614" s="575"/>
      <c r="T3614" s="575"/>
      <c r="U3614" s="575"/>
      <c r="V3614" s="575"/>
      <c r="W3614" s="575"/>
      <c r="X3614" s="575"/>
      <c r="Y3614" s="575"/>
    </row>
    <row r="3615" spans="1:25" s="88" customFormat="1" ht="15.75" hidden="1" thickBot="1">
      <c r="A3615" s="465"/>
      <c r="B3615" s="301"/>
      <c r="C3615" s="361"/>
      <c r="D3615" s="296"/>
      <c r="E3615" s="296"/>
      <c r="F3615" s="294" t="s">
        <v>242</v>
      </c>
      <c r="G3615" s="297" t="s">
        <v>243</v>
      </c>
      <c r="H3615" s="634"/>
      <c r="I3615" s="635"/>
      <c r="J3615" s="639">
        <f t="shared" si="118"/>
        <v>0</v>
      </c>
      <c r="K3615" s="575"/>
      <c r="L3615" s="575"/>
      <c r="M3615" s="575"/>
      <c r="N3615" s="575"/>
      <c r="O3615" s="575"/>
      <c r="P3615" s="575"/>
      <c r="Q3615" s="575"/>
      <c r="R3615" s="575"/>
      <c r="S3615" s="575"/>
      <c r="T3615" s="575"/>
      <c r="U3615" s="575"/>
      <c r="V3615" s="575"/>
      <c r="W3615" s="575"/>
      <c r="X3615" s="575"/>
      <c r="Y3615" s="575"/>
    </row>
    <row r="3616" spans="1:25" s="88" customFormat="1" ht="15.75" hidden="1" thickBot="1">
      <c r="A3616" s="465"/>
      <c r="B3616" s="301"/>
      <c r="C3616" s="361"/>
      <c r="D3616" s="296"/>
      <c r="E3616" s="296"/>
      <c r="F3616" s="294" t="s">
        <v>244</v>
      </c>
      <c r="G3616" s="297" t="s">
        <v>245</v>
      </c>
      <c r="H3616" s="634"/>
      <c r="I3616" s="635"/>
      <c r="J3616" s="639">
        <f t="shared" si="118"/>
        <v>0</v>
      </c>
      <c r="K3616" s="575"/>
      <c r="L3616" s="575"/>
      <c r="M3616" s="575"/>
      <c r="N3616" s="575"/>
      <c r="O3616" s="575"/>
      <c r="P3616" s="575"/>
      <c r="Q3616" s="575"/>
      <c r="R3616" s="575"/>
      <c r="S3616" s="575"/>
      <c r="T3616" s="575"/>
      <c r="U3616" s="575"/>
      <c r="V3616" s="575"/>
      <c r="W3616" s="575"/>
      <c r="X3616" s="575"/>
      <c r="Y3616" s="575"/>
    </row>
    <row r="3617" spans="1:25" s="88" customFormat="1" ht="15.75" hidden="1" thickBot="1">
      <c r="A3617" s="465"/>
      <c r="B3617" s="301"/>
      <c r="C3617" s="361"/>
      <c r="D3617" s="296"/>
      <c r="E3617" s="296"/>
      <c r="F3617" s="294" t="s">
        <v>246</v>
      </c>
      <c r="G3617" s="683" t="s">
        <v>5121</v>
      </c>
      <c r="H3617" s="634"/>
      <c r="I3617" s="635"/>
      <c r="J3617" s="639">
        <f t="shared" si="118"/>
        <v>0</v>
      </c>
      <c r="K3617" s="575"/>
      <c r="L3617" s="575"/>
      <c r="M3617" s="575"/>
      <c r="N3617" s="575"/>
      <c r="O3617" s="575"/>
      <c r="P3617" s="575"/>
      <c r="Q3617" s="575"/>
      <c r="R3617" s="575"/>
      <c r="S3617" s="575"/>
      <c r="T3617" s="575"/>
      <c r="U3617" s="575"/>
      <c r="V3617" s="575"/>
      <c r="W3617" s="575"/>
      <c r="X3617" s="575"/>
      <c r="Y3617" s="575"/>
    </row>
    <row r="3618" spans="1:25" s="88" customFormat="1" ht="15.75" hidden="1" thickBot="1">
      <c r="A3618" s="465"/>
      <c r="B3618" s="301"/>
      <c r="C3618" s="361"/>
      <c r="D3618" s="296"/>
      <c r="E3618" s="296"/>
      <c r="F3618" s="294" t="s">
        <v>247</v>
      </c>
      <c r="G3618" s="683" t="s">
        <v>5120</v>
      </c>
      <c r="H3618" s="634"/>
      <c r="I3618" s="635"/>
      <c r="J3618" s="639">
        <f t="shared" si="118"/>
        <v>0</v>
      </c>
      <c r="K3618" s="575"/>
      <c r="L3618" s="575"/>
      <c r="M3618" s="575"/>
      <c r="N3618" s="575"/>
      <c r="O3618" s="575"/>
      <c r="P3618" s="575"/>
      <c r="Q3618" s="575"/>
      <c r="R3618" s="575"/>
      <c r="S3618" s="575"/>
      <c r="T3618" s="575"/>
      <c r="U3618" s="575"/>
      <c r="V3618" s="575"/>
      <c r="W3618" s="575"/>
      <c r="X3618" s="575"/>
      <c r="Y3618" s="575"/>
    </row>
    <row r="3619" spans="1:25" s="88" customFormat="1" ht="15.75" hidden="1" thickBot="1">
      <c r="A3619" s="465"/>
      <c r="B3619" s="301"/>
      <c r="C3619" s="361"/>
      <c r="D3619" s="296"/>
      <c r="E3619" s="296"/>
      <c r="F3619" s="294" t="s">
        <v>248</v>
      </c>
      <c r="G3619" s="297" t="s">
        <v>57</v>
      </c>
      <c r="H3619" s="634"/>
      <c r="I3619" s="635"/>
      <c r="J3619" s="639">
        <f t="shared" si="118"/>
        <v>0</v>
      </c>
      <c r="K3619" s="575"/>
      <c r="L3619" s="575"/>
      <c r="M3619" s="575"/>
      <c r="N3619" s="575"/>
      <c r="O3619" s="575"/>
      <c r="P3619" s="575"/>
      <c r="Q3619" s="575"/>
      <c r="R3619" s="575"/>
      <c r="S3619" s="575"/>
      <c r="T3619" s="575"/>
      <c r="U3619" s="575"/>
      <c r="V3619" s="575"/>
      <c r="W3619" s="575"/>
      <c r="X3619" s="575"/>
      <c r="Y3619" s="575"/>
    </row>
    <row r="3620" spans="1:25" s="88" customFormat="1" ht="15.75" hidden="1" thickBot="1">
      <c r="A3620" s="465"/>
      <c r="B3620" s="301"/>
      <c r="C3620" s="361"/>
      <c r="D3620" s="296"/>
      <c r="E3620" s="296"/>
      <c r="F3620" s="294" t="s">
        <v>249</v>
      </c>
      <c r="G3620" s="297" t="s">
        <v>250</v>
      </c>
      <c r="H3620" s="634"/>
      <c r="I3620" s="635"/>
      <c r="J3620" s="639">
        <f t="shared" si="118"/>
        <v>0</v>
      </c>
      <c r="K3620" s="575"/>
      <c r="L3620" s="575"/>
      <c r="M3620" s="575"/>
      <c r="N3620" s="575"/>
      <c r="O3620" s="575"/>
      <c r="P3620" s="575"/>
      <c r="Q3620" s="575"/>
      <c r="R3620" s="575"/>
      <c r="S3620" s="575"/>
      <c r="T3620" s="575"/>
      <c r="U3620" s="575"/>
      <c r="V3620" s="575"/>
      <c r="W3620" s="575"/>
      <c r="X3620" s="575"/>
      <c r="Y3620" s="575"/>
    </row>
    <row r="3621" spans="1:25" s="88" customFormat="1" ht="15.75" hidden="1" thickBot="1">
      <c r="A3621" s="465"/>
      <c r="B3621" s="301"/>
      <c r="C3621" s="361"/>
      <c r="D3621" s="296"/>
      <c r="E3621" s="296"/>
      <c r="F3621" s="294" t="s">
        <v>251</v>
      </c>
      <c r="G3621" s="297" t="s">
        <v>252</v>
      </c>
      <c r="H3621" s="634"/>
      <c r="I3621" s="635"/>
      <c r="J3621" s="639">
        <f t="shared" si="118"/>
        <v>0</v>
      </c>
      <c r="K3621" s="575"/>
      <c r="L3621" s="575"/>
      <c r="M3621" s="575"/>
      <c r="N3621" s="575"/>
      <c r="O3621" s="575"/>
      <c r="P3621" s="575"/>
      <c r="Q3621" s="575"/>
      <c r="R3621" s="575"/>
      <c r="S3621" s="575"/>
      <c r="T3621" s="575"/>
      <c r="U3621" s="575"/>
      <c r="V3621" s="575"/>
      <c r="W3621" s="575"/>
      <c r="X3621" s="575"/>
      <c r="Y3621" s="575"/>
    </row>
    <row r="3622" spans="1:25" s="88" customFormat="1" ht="15.75" hidden="1" thickBot="1">
      <c r="A3622" s="465"/>
      <c r="B3622" s="301"/>
      <c r="C3622" s="361"/>
      <c r="D3622" s="296"/>
      <c r="E3622" s="296"/>
      <c r="F3622" s="294" t="s">
        <v>253</v>
      </c>
      <c r="G3622" s="297" t="s">
        <v>254</v>
      </c>
      <c r="H3622" s="634"/>
      <c r="I3622" s="635"/>
      <c r="J3622" s="639">
        <f t="shared" si="118"/>
        <v>0</v>
      </c>
      <c r="K3622" s="575"/>
      <c r="L3622" s="575"/>
      <c r="M3622" s="575"/>
      <c r="N3622" s="575"/>
      <c r="O3622" s="575"/>
      <c r="P3622" s="575"/>
      <c r="Q3622" s="575"/>
      <c r="R3622" s="575"/>
      <c r="S3622" s="575"/>
      <c r="T3622" s="575"/>
      <c r="U3622" s="575"/>
      <c r="V3622" s="575"/>
      <c r="W3622" s="575"/>
      <c r="X3622" s="575"/>
      <c r="Y3622" s="575"/>
    </row>
    <row r="3623" spans="1:25" s="88" customFormat="1" ht="15.75" hidden="1" thickBot="1">
      <c r="A3623" s="465"/>
      <c r="B3623" s="301"/>
      <c r="C3623" s="361"/>
      <c r="D3623" s="296"/>
      <c r="E3623" s="296"/>
      <c r="F3623" s="294" t="s">
        <v>255</v>
      </c>
      <c r="G3623" s="297" t="s">
        <v>256</v>
      </c>
      <c r="H3623" s="634"/>
      <c r="I3623" s="635"/>
      <c r="J3623" s="639">
        <f t="shared" si="118"/>
        <v>0</v>
      </c>
      <c r="K3623" s="575"/>
      <c r="L3623" s="575"/>
      <c r="M3623" s="575"/>
      <c r="N3623" s="575"/>
      <c r="O3623" s="575"/>
      <c r="P3623" s="575"/>
      <c r="Q3623" s="575"/>
      <c r="R3623" s="575"/>
      <c r="S3623" s="575"/>
      <c r="T3623" s="575"/>
      <c r="U3623" s="575"/>
      <c r="V3623" s="575"/>
      <c r="W3623" s="575"/>
      <c r="X3623" s="575"/>
      <c r="Y3623" s="575"/>
    </row>
    <row r="3624" spans="1:25" s="88" customFormat="1" ht="15.75" hidden="1" thickBot="1">
      <c r="A3624" s="465"/>
      <c r="B3624" s="301"/>
      <c r="C3624" s="361"/>
      <c r="D3624" s="296"/>
      <c r="E3624" s="296"/>
      <c r="F3624" s="294" t="s">
        <v>257</v>
      </c>
      <c r="G3624" s="297" t="s">
        <v>258</v>
      </c>
      <c r="H3624" s="634"/>
      <c r="I3624" s="635"/>
      <c r="J3624" s="639">
        <f t="shared" si="118"/>
        <v>0</v>
      </c>
      <c r="K3624" s="575"/>
      <c r="L3624" s="575"/>
      <c r="M3624" s="575"/>
      <c r="N3624" s="575"/>
      <c r="O3624" s="575"/>
      <c r="P3624" s="575"/>
      <c r="Q3624" s="575"/>
      <c r="R3624" s="575"/>
      <c r="S3624" s="575"/>
      <c r="T3624" s="575"/>
      <c r="U3624" s="575"/>
      <c r="V3624" s="575"/>
      <c r="W3624" s="575"/>
      <c r="X3624" s="575"/>
      <c r="Y3624" s="575"/>
    </row>
    <row r="3625" spans="1:25" s="88" customFormat="1" ht="15.75" hidden="1" thickBot="1">
      <c r="A3625" s="465"/>
      <c r="B3625" s="301"/>
      <c r="C3625" s="361"/>
      <c r="D3625" s="296"/>
      <c r="E3625" s="296"/>
      <c r="F3625" s="294" t="s">
        <v>259</v>
      </c>
      <c r="G3625" s="297" t="s">
        <v>260</v>
      </c>
      <c r="H3625" s="634"/>
      <c r="I3625" s="635"/>
      <c r="J3625" s="639">
        <f t="shared" si="118"/>
        <v>0</v>
      </c>
      <c r="K3625" s="575"/>
      <c r="L3625" s="575"/>
      <c r="M3625" s="575"/>
      <c r="N3625" s="575"/>
      <c r="O3625" s="575"/>
      <c r="P3625" s="575"/>
      <c r="Q3625" s="575"/>
      <c r="R3625" s="575"/>
      <c r="S3625" s="575"/>
      <c r="T3625" s="575"/>
      <c r="U3625" s="575"/>
      <c r="V3625" s="575"/>
      <c r="W3625" s="575"/>
      <c r="X3625" s="575"/>
      <c r="Y3625" s="575"/>
    </row>
    <row r="3626" spans="1:25" s="88" customFormat="1" ht="15.75" hidden="1" thickBot="1">
      <c r="A3626" s="465"/>
      <c r="B3626" s="301"/>
      <c r="C3626" s="361"/>
      <c r="D3626" s="296"/>
      <c r="E3626" s="296"/>
      <c r="F3626" s="294" t="s">
        <v>261</v>
      </c>
      <c r="G3626" s="297" t="s">
        <v>262</v>
      </c>
      <c r="H3626" s="638"/>
      <c r="I3626" s="639"/>
      <c r="J3626" s="639">
        <f t="shared" si="118"/>
        <v>0</v>
      </c>
      <c r="K3626" s="575"/>
      <c r="L3626" s="575"/>
      <c r="M3626" s="575"/>
      <c r="N3626" s="575"/>
      <c r="O3626" s="575"/>
      <c r="P3626" s="575"/>
      <c r="Q3626" s="575"/>
      <c r="R3626" s="575"/>
      <c r="S3626" s="575"/>
      <c r="T3626" s="575"/>
      <c r="U3626" s="575"/>
      <c r="V3626" s="575"/>
      <c r="W3626" s="575"/>
      <c r="X3626" s="575"/>
      <c r="Y3626" s="575"/>
    </row>
    <row r="3627" spans="1:25" s="88" customFormat="1" ht="15.75" thickBot="1">
      <c r="A3627" s="465"/>
      <c r="B3627" s="301"/>
      <c r="C3627" s="361"/>
      <c r="D3627" s="296"/>
      <c r="E3627" s="296"/>
      <c r="F3627" s="263"/>
      <c r="G3627" s="274" t="s">
        <v>4319</v>
      </c>
      <c r="H3627" s="640">
        <f>SUM(H3611:H3626)</f>
        <v>9000000</v>
      </c>
      <c r="I3627" s="641">
        <f>SUM(I3612:I3626)</f>
        <v>0</v>
      </c>
      <c r="J3627" s="641">
        <f>SUM(J3611:J3626)</f>
        <v>9000000</v>
      </c>
      <c r="K3627" s="575"/>
      <c r="L3627" s="575"/>
      <c r="M3627" s="575"/>
      <c r="N3627" s="575"/>
      <c r="O3627" s="575"/>
      <c r="P3627" s="575"/>
      <c r="Q3627" s="575"/>
      <c r="R3627" s="575"/>
      <c r="S3627" s="575"/>
      <c r="T3627" s="575"/>
      <c r="U3627" s="575"/>
      <c r="V3627" s="575"/>
      <c r="W3627" s="575"/>
      <c r="X3627" s="575"/>
      <c r="Y3627" s="575"/>
    </row>
    <row r="3628" spans="1:25" s="88" customFormat="1" ht="3.75" customHeight="1">
      <c r="A3628" s="551"/>
      <c r="B3628" s="301"/>
      <c r="C3628" s="361"/>
      <c r="D3628" s="296"/>
      <c r="E3628" s="296"/>
      <c r="F3628" s="263"/>
      <c r="G3628" s="331"/>
      <c r="H3628" s="644"/>
      <c r="I3628" s="645"/>
      <c r="J3628" s="645"/>
      <c r="K3628" s="575"/>
      <c r="L3628" s="575"/>
      <c r="M3628" s="575"/>
      <c r="N3628" s="575"/>
      <c r="O3628" s="575"/>
      <c r="P3628" s="575"/>
      <c r="Q3628" s="575"/>
      <c r="R3628" s="575"/>
      <c r="S3628" s="575"/>
      <c r="T3628" s="575"/>
      <c r="U3628" s="575"/>
      <c r="V3628" s="575"/>
      <c r="W3628" s="575"/>
      <c r="X3628" s="575"/>
      <c r="Y3628" s="575"/>
    </row>
    <row r="3629" spans="1:25" s="88" customFormat="1">
      <c r="A3629" s="551"/>
      <c r="B3629" s="301"/>
      <c r="C3629" s="273" t="s">
        <v>3594</v>
      </c>
      <c r="D3629" s="264"/>
      <c r="E3629" s="263"/>
      <c r="F3629" s="263"/>
      <c r="G3629" s="560" t="s">
        <v>4321</v>
      </c>
      <c r="H3629" s="634"/>
      <c r="I3629" s="635"/>
      <c r="J3629" s="635"/>
      <c r="K3629" s="575"/>
      <c r="L3629" s="575"/>
      <c r="M3629" s="575"/>
      <c r="N3629" s="575"/>
      <c r="O3629" s="575"/>
      <c r="P3629" s="575"/>
      <c r="Q3629" s="575"/>
      <c r="R3629" s="575"/>
      <c r="S3629" s="575"/>
      <c r="T3629" s="575"/>
      <c r="U3629" s="575"/>
      <c r="V3629" s="575"/>
      <c r="W3629" s="575"/>
      <c r="X3629" s="575"/>
      <c r="Y3629" s="575"/>
    </row>
    <row r="3630" spans="1:25" s="88" customFormat="1">
      <c r="A3630" s="551"/>
      <c r="B3630" s="301"/>
      <c r="C3630" s="273" t="s">
        <v>4129</v>
      </c>
      <c r="D3630" s="264"/>
      <c r="E3630" s="263"/>
      <c r="F3630" s="263"/>
      <c r="G3630" s="560" t="s">
        <v>4128</v>
      </c>
      <c r="H3630" s="634"/>
      <c r="I3630" s="635"/>
      <c r="J3630" s="635"/>
      <c r="K3630" s="575"/>
      <c r="L3630" s="575"/>
      <c r="M3630" s="575"/>
      <c r="N3630" s="575"/>
      <c r="O3630" s="575"/>
      <c r="P3630" s="575"/>
      <c r="Q3630" s="575"/>
      <c r="R3630" s="575"/>
      <c r="S3630" s="575"/>
      <c r="T3630" s="575"/>
      <c r="U3630" s="575"/>
      <c r="V3630" s="575"/>
      <c r="W3630" s="575"/>
      <c r="X3630" s="575"/>
      <c r="Y3630" s="575"/>
    </row>
    <row r="3631" spans="1:25" s="88" customFormat="1">
      <c r="A3631" s="551"/>
      <c r="B3631" s="301"/>
      <c r="C3631" s="310"/>
      <c r="D3631" s="379" t="s">
        <v>4023</v>
      </c>
      <c r="E3631" s="374"/>
      <c r="F3631" s="374"/>
      <c r="G3631" s="375" t="s">
        <v>5202</v>
      </c>
      <c r="H3631" s="651"/>
      <c r="I3631" s="652"/>
      <c r="J3631" s="652"/>
      <c r="K3631" s="575"/>
      <c r="L3631" s="575"/>
      <c r="M3631" s="575"/>
      <c r="N3631" s="575"/>
      <c r="O3631" s="575"/>
      <c r="P3631" s="575"/>
      <c r="Q3631" s="575"/>
      <c r="R3631" s="575"/>
      <c r="S3631" s="575"/>
      <c r="T3631" s="575"/>
      <c r="U3631" s="575"/>
      <c r="V3631" s="575"/>
      <c r="W3631" s="575"/>
      <c r="X3631" s="575"/>
      <c r="Y3631" s="575"/>
    </row>
    <row r="3632" spans="1:25" s="88" customFormat="1" hidden="1">
      <c r="A3632" s="551"/>
      <c r="B3632" s="301"/>
      <c r="C3632" s="273"/>
      <c r="D3632" s="263"/>
      <c r="E3632" s="263"/>
      <c r="F3632" s="569">
        <v>411</v>
      </c>
      <c r="G3632" s="562" t="s">
        <v>4173</v>
      </c>
      <c r="H3632" s="634"/>
      <c r="I3632" s="635"/>
      <c r="J3632" s="635">
        <f>SUM(H3632:I3632)</f>
        <v>0</v>
      </c>
      <c r="K3632" s="575"/>
      <c r="L3632" s="575"/>
      <c r="M3632" s="575"/>
      <c r="N3632" s="575"/>
      <c r="O3632" s="575"/>
      <c r="P3632" s="575"/>
      <c r="Q3632" s="575"/>
      <c r="R3632" s="575"/>
      <c r="S3632" s="575"/>
      <c r="T3632" s="575"/>
      <c r="U3632" s="575"/>
      <c r="V3632" s="575"/>
      <c r="W3632" s="575"/>
      <c r="X3632" s="575"/>
      <c r="Y3632" s="575"/>
    </row>
    <row r="3633" spans="1:25" s="88" customFormat="1" hidden="1">
      <c r="A3633" s="551"/>
      <c r="B3633" s="301"/>
      <c r="C3633" s="273"/>
      <c r="D3633" s="263"/>
      <c r="E3633" s="263"/>
      <c r="F3633" s="569">
        <v>412</v>
      </c>
      <c r="G3633" s="558" t="s">
        <v>3770</v>
      </c>
      <c r="H3633" s="634"/>
      <c r="I3633" s="635"/>
      <c r="J3633" s="635">
        <f t="shared" ref="J3633:J3667" si="119">SUM(H3633:I3633)</f>
        <v>0</v>
      </c>
      <c r="K3633" s="575"/>
      <c r="L3633" s="575"/>
      <c r="M3633" s="575"/>
      <c r="N3633" s="575"/>
      <c r="O3633" s="575"/>
      <c r="P3633" s="575"/>
      <c r="Q3633" s="575"/>
      <c r="R3633" s="575"/>
      <c r="S3633" s="575"/>
      <c r="T3633" s="575"/>
      <c r="U3633" s="575"/>
      <c r="V3633" s="575"/>
      <c r="W3633" s="575"/>
      <c r="X3633" s="575"/>
      <c r="Y3633" s="575"/>
    </row>
    <row r="3634" spans="1:25" s="88" customFormat="1" hidden="1">
      <c r="A3634" s="551"/>
      <c r="B3634" s="301"/>
      <c r="C3634" s="273"/>
      <c r="D3634" s="263"/>
      <c r="E3634" s="263"/>
      <c r="F3634" s="569">
        <v>413</v>
      </c>
      <c r="G3634" s="562" t="s">
        <v>4174</v>
      </c>
      <c r="H3634" s="634"/>
      <c r="I3634" s="635"/>
      <c r="J3634" s="635">
        <f t="shared" si="119"/>
        <v>0</v>
      </c>
      <c r="K3634" s="575"/>
      <c r="L3634" s="575"/>
      <c r="M3634" s="575"/>
      <c r="N3634" s="575"/>
      <c r="O3634" s="575"/>
      <c r="P3634" s="575"/>
      <c r="Q3634" s="575"/>
      <c r="R3634" s="575"/>
      <c r="S3634" s="575"/>
      <c r="T3634" s="575"/>
      <c r="U3634" s="575"/>
      <c r="V3634" s="575"/>
      <c r="W3634" s="575"/>
      <c r="X3634" s="575"/>
      <c r="Y3634" s="575"/>
    </row>
    <row r="3635" spans="1:25" s="88" customFormat="1" hidden="1">
      <c r="A3635" s="551"/>
      <c r="B3635" s="301"/>
      <c r="C3635" s="273"/>
      <c r="D3635" s="263"/>
      <c r="E3635" s="263"/>
      <c r="F3635" s="569">
        <v>414</v>
      </c>
      <c r="G3635" s="562" t="s">
        <v>3773</v>
      </c>
      <c r="H3635" s="634"/>
      <c r="I3635" s="635"/>
      <c r="J3635" s="635">
        <f t="shared" si="119"/>
        <v>0</v>
      </c>
      <c r="K3635" s="575"/>
      <c r="L3635" s="575"/>
      <c r="M3635" s="575"/>
      <c r="N3635" s="575"/>
      <c r="O3635" s="575"/>
      <c r="P3635" s="575"/>
      <c r="Q3635" s="575"/>
      <c r="R3635" s="575"/>
      <c r="S3635" s="575"/>
      <c r="T3635" s="575"/>
      <c r="U3635" s="575"/>
      <c r="V3635" s="575"/>
      <c r="W3635" s="575"/>
      <c r="X3635" s="575"/>
      <c r="Y3635" s="575"/>
    </row>
    <row r="3636" spans="1:25" s="88" customFormat="1" hidden="1">
      <c r="A3636" s="551"/>
      <c r="B3636" s="301"/>
      <c r="C3636" s="273"/>
      <c r="D3636" s="263"/>
      <c r="E3636" s="263"/>
      <c r="F3636" s="569">
        <v>415</v>
      </c>
      <c r="G3636" s="562" t="s">
        <v>4183</v>
      </c>
      <c r="H3636" s="634"/>
      <c r="I3636" s="635"/>
      <c r="J3636" s="635">
        <f t="shared" si="119"/>
        <v>0</v>
      </c>
      <c r="K3636" s="575"/>
      <c r="L3636" s="575"/>
      <c r="M3636" s="575"/>
      <c r="N3636" s="575"/>
      <c r="O3636" s="575"/>
      <c r="P3636" s="575"/>
      <c r="Q3636" s="575"/>
      <c r="R3636" s="575"/>
      <c r="S3636" s="575"/>
      <c r="T3636" s="575"/>
      <c r="U3636" s="575"/>
      <c r="V3636" s="575"/>
      <c r="W3636" s="575"/>
      <c r="X3636" s="575"/>
      <c r="Y3636" s="575"/>
    </row>
    <row r="3637" spans="1:25" s="88" customFormat="1" hidden="1">
      <c r="A3637" s="551"/>
      <c r="B3637" s="301"/>
      <c r="C3637" s="273"/>
      <c r="D3637" s="263"/>
      <c r="E3637" s="263"/>
      <c r="F3637" s="569">
        <v>416</v>
      </c>
      <c r="G3637" s="562" t="s">
        <v>4184</v>
      </c>
      <c r="H3637" s="634"/>
      <c r="I3637" s="635"/>
      <c r="J3637" s="635">
        <f t="shared" si="119"/>
        <v>0</v>
      </c>
      <c r="K3637" s="575"/>
      <c r="L3637" s="575"/>
      <c r="M3637" s="575"/>
      <c r="N3637" s="575"/>
      <c r="O3637" s="575"/>
      <c r="P3637" s="575"/>
      <c r="Q3637" s="575"/>
      <c r="R3637" s="575"/>
      <c r="S3637" s="575"/>
      <c r="T3637" s="575"/>
      <c r="U3637" s="575"/>
      <c r="V3637" s="575"/>
      <c r="W3637" s="575"/>
      <c r="X3637" s="575"/>
      <c r="Y3637" s="575"/>
    </row>
    <row r="3638" spans="1:25" s="88" customFormat="1" hidden="1">
      <c r="A3638" s="551"/>
      <c r="B3638" s="301"/>
      <c r="C3638" s="273"/>
      <c r="D3638" s="263"/>
      <c r="E3638" s="263"/>
      <c r="F3638" s="569">
        <v>417</v>
      </c>
      <c r="G3638" s="562" t="s">
        <v>4185</v>
      </c>
      <c r="H3638" s="634"/>
      <c r="I3638" s="635"/>
      <c r="J3638" s="635">
        <f t="shared" si="119"/>
        <v>0</v>
      </c>
      <c r="K3638" s="575"/>
      <c r="L3638" s="575"/>
      <c r="M3638" s="575"/>
      <c r="N3638" s="575"/>
      <c r="O3638" s="575"/>
      <c r="P3638" s="575"/>
      <c r="Q3638" s="575"/>
      <c r="R3638" s="575"/>
      <c r="S3638" s="575"/>
      <c r="T3638" s="575"/>
      <c r="U3638" s="575"/>
      <c r="V3638" s="575"/>
      <c r="W3638" s="575"/>
      <c r="X3638" s="575"/>
      <c r="Y3638" s="575"/>
    </row>
    <row r="3639" spans="1:25" s="88" customFormat="1" hidden="1">
      <c r="A3639" s="551"/>
      <c r="B3639" s="301"/>
      <c r="C3639" s="273"/>
      <c r="D3639" s="263"/>
      <c r="E3639" s="263"/>
      <c r="F3639" s="569">
        <v>418</v>
      </c>
      <c r="G3639" s="562" t="s">
        <v>3779</v>
      </c>
      <c r="H3639" s="634"/>
      <c r="I3639" s="635"/>
      <c r="J3639" s="635">
        <f t="shared" si="119"/>
        <v>0</v>
      </c>
      <c r="K3639" s="575"/>
      <c r="L3639" s="575"/>
      <c r="M3639" s="575"/>
      <c r="N3639" s="575"/>
      <c r="O3639" s="575"/>
      <c r="P3639" s="575"/>
      <c r="Q3639" s="575"/>
      <c r="R3639" s="575"/>
      <c r="S3639" s="575"/>
      <c r="T3639" s="575"/>
      <c r="U3639" s="575"/>
      <c r="V3639" s="575"/>
      <c r="W3639" s="575"/>
      <c r="X3639" s="575"/>
      <c r="Y3639" s="575"/>
    </row>
    <row r="3640" spans="1:25" s="88" customFormat="1" hidden="1">
      <c r="A3640" s="551"/>
      <c r="B3640" s="301"/>
      <c r="C3640" s="273"/>
      <c r="D3640" s="263"/>
      <c r="E3640" s="263"/>
      <c r="F3640" s="569">
        <v>421</v>
      </c>
      <c r="G3640" s="562" t="s">
        <v>3783</v>
      </c>
      <c r="H3640" s="634"/>
      <c r="I3640" s="635"/>
      <c r="J3640" s="635">
        <f t="shared" si="119"/>
        <v>0</v>
      </c>
      <c r="K3640" s="575"/>
      <c r="L3640" s="575"/>
      <c r="M3640" s="575"/>
      <c r="N3640" s="575"/>
      <c r="O3640" s="575"/>
      <c r="P3640" s="575"/>
      <c r="Q3640" s="575"/>
      <c r="R3640" s="575"/>
      <c r="S3640" s="575"/>
      <c r="T3640" s="575"/>
      <c r="U3640" s="575"/>
      <c r="V3640" s="575"/>
      <c r="W3640" s="575"/>
      <c r="X3640" s="575"/>
      <c r="Y3640" s="575"/>
    </row>
    <row r="3641" spans="1:25" s="88" customFormat="1" hidden="1">
      <c r="A3641" s="551"/>
      <c r="B3641" s="301"/>
      <c r="C3641" s="273"/>
      <c r="D3641" s="263"/>
      <c r="E3641" s="263"/>
      <c r="F3641" s="569">
        <v>422</v>
      </c>
      <c r="G3641" s="562" t="s">
        <v>3784</v>
      </c>
      <c r="H3641" s="634"/>
      <c r="I3641" s="635"/>
      <c r="J3641" s="635">
        <f t="shared" si="119"/>
        <v>0</v>
      </c>
      <c r="K3641" s="575"/>
      <c r="L3641" s="575"/>
      <c r="M3641" s="575"/>
      <c r="N3641" s="575"/>
      <c r="O3641" s="575"/>
      <c r="P3641" s="575"/>
      <c r="Q3641" s="575"/>
      <c r="R3641" s="575"/>
      <c r="S3641" s="575"/>
      <c r="T3641" s="575"/>
      <c r="U3641" s="575"/>
      <c r="V3641" s="575"/>
      <c r="W3641" s="575"/>
      <c r="X3641" s="575"/>
      <c r="Y3641" s="575"/>
    </row>
    <row r="3642" spans="1:25" s="88" customFormat="1" hidden="1">
      <c r="A3642" s="551"/>
      <c r="B3642" s="301"/>
      <c r="C3642" s="273"/>
      <c r="D3642" s="263"/>
      <c r="E3642" s="263"/>
      <c r="F3642" s="569">
        <v>423</v>
      </c>
      <c r="G3642" s="562" t="s">
        <v>3785</v>
      </c>
      <c r="H3642" s="634"/>
      <c r="I3642" s="635"/>
      <c r="J3642" s="635">
        <f t="shared" si="119"/>
        <v>0</v>
      </c>
      <c r="K3642" s="575"/>
      <c r="L3642" s="575"/>
      <c r="M3642" s="575"/>
      <c r="N3642" s="575"/>
      <c r="O3642" s="575"/>
      <c r="P3642" s="575"/>
      <c r="Q3642" s="575"/>
      <c r="R3642" s="575"/>
      <c r="S3642" s="575"/>
      <c r="T3642" s="575"/>
      <c r="U3642" s="575"/>
      <c r="V3642" s="575"/>
      <c r="W3642" s="575"/>
      <c r="X3642" s="575"/>
      <c r="Y3642" s="575"/>
    </row>
    <row r="3643" spans="1:25" s="88" customFormat="1" hidden="1">
      <c r="A3643" s="551"/>
      <c r="B3643" s="301"/>
      <c r="C3643" s="273"/>
      <c r="D3643" s="263"/>
      <c r="E3643" s="263"/>
      <c r="F3643" s="569">
        <v>424</v>
      </c>
      <c r="G3643" s="562" t="s">
        <v>3787</v>
      </c>
      <c r="H3643" s="634"/>
      <c r="I3643" s="635"/>
      <c r="J3643" s="635">
        <f t="shared" si="119"/>
        <v>0</v>
      </c>
      <c r="K3643" s="575"/>
      <c r="L3643" s="575"/>
      <c r="M3643" s="575"/>
      <c r="N3643" s="575"/>
      <c r="O3643" s="575"/>
      <c r="P3643" s="575"/>
      <c r="Q3643" s="575"/>
      <c r="R3643" s="575"/>
      <c r="S3643" s="575"/>
      <c r="T3643" s="575"/>
      <c r="U3643" s="575"/>
      <c r="V3643" s="575"/>
      <c r="W3643" s="575"/>
      <c r="X3643" s="575"/>
      <c r="Y3643" s="575"/>
    </row>
    <row r="3644" spans="1:25" s="88" customFormat="1" hidden="1">
      <c r="A3644" s="551"/>
      <c r="B3644" s="301"/>
      <c r="C3644" s="273"/>
      <c r="D3644" s="263"/>
      <c r="E3644" s="263"/>
      <c r="F3644" s="569">
        <v>425</v>
      </c>
      <c r="G3644" s="562" t="s">
        <v>4186</v>
      </c>
      <c r="H3644" s="634"/>
      <c r="I3644" s="635"/>
      <c r="J3644" s="635">
        <f t="shared" si="119"/>
        <v>0</v>
      </c>
      <c r="K3644" s="575"/>
      <c r="L3644" s="575"/>
      <c r="M3644" s="575"/>
      <c r="N3644" s="575"/>
      <c r="O3644" s="575"/>
      <c r="P3644" s="575"/>
      <c r="Q3644" s="575"/>
      <c r="R3644" s="575"/>
      <c r="S3644" s="575"/>
      <c r="T3644" s="575"/>
      <c r="U3644" s="575"/>
      <c r="V3644" s="575"/>
      <c r="W3644" s="575"/>
      <c r="X3644" s="575"/>
      <c r="Y3644" s="575"/>
    </row>
    <row r="3645" spans="1:25" s="88" customFormat="1" hidden="1">
      <c r="A3645" s="551"/>
      <c r="B3645" s="301"/>
      <c r="C3645" s="273"/>
      <c r="D3645" s="263"/>
      <c r="E3645" s="263"/>
      <c r="F3645" s="569">
        <v>426</v>
      </c>
      <c r="G3645" s="562" t="s">
        <v>3791</v>
      </c>
      <c r="H3645" s="634"/>
      <c r="I3645" s="635"/>
      <c r="J3645" s="635">
        <f t="shared" si="119"/>
        <v>0</v>
      </c>
      <c r="K3645" s="575"/>
      <c r="L3645" s="575"/>
      <c r="M3645" s="575"/>
      <c r="N3645" s="575"/>
      <c r="O3645" s="575"/>
      <c r="P3645" s="575"/>
      <c r="Q3645" s="575"/>
      <c r="R3645" s="575"/>
      <c r="S3645" s="575"/>
      <c r="T3645" s="575"/>
      <c r="U3645" s="575"/>
      <c r="V3645" s="575"/>
      <c r="W3645" s="575"/>
      <c r="X3645" s="575"/>
      <c r="Y3645" s="575"/>
    </row>
    <row r="3646" spans="1:25" s="88" customFormat="1" hidden="1">
      <c r="A3646" s="551"/>
      <c r="B3646" s="301"/>
      <c r="C3646" s="273"/>
      <c r="D3646" s="263"/>
      <c r="E3646" s="263"/>
      <c r="F3646" s="569">
        <v>431</v>
      </c>
      <c r="G3646" s="562" t="s">
        <v>4187</v>
      </c>
      <c r="H3646" s="634"/>
      <c r="I3646" s="635"/>
      <c r="J3646" s="635">
        <f t="shared" si="119"/>
        <v>0</v>
      </c>
      <c r="K3646" s="575"/>
      <c r="L3646" s="575"/>
      <c r="M3646" s="575"/>
      <c r="N3646" s="575"/>
      <c r="O3646" s="575"/>
      <c r="P3646" s="575"/>
      <c r="Q3646" s="575"/>
      <c r="R3646" s="575"/>
      <c r="S3646" s="575"/>
      <c r="T3646" s="575"/>
      <c r="U3646" s="575"/>
      <c r="V3646" s="575"/>
      <c r="W3646" s="575"/>
      <c r="X3646" s="575"/>
      <c r="Y3646" s="575"/>
    </row>
    <row r="3647" spans="1:25" s="88" customFormat="1" hidden="1">
      <c r="A3647" s="551"/>
      <c r="B3647" s="301"/>
      <c r="C3647" s="273"/>
      <c r="D3647" s="263"/>
      <c r="E3647" s="263"/>
      <c r="F3647" s="569">
        <v>432</v>
      </c>
      <c r="G3647" s="562" t="s">
        <v>4188</v>
      </c>
      <c r="H3647" s="634"/>
      <c r="I3647" s="635"/>
      <c r="J3647" s="635">
        <f t="shared" si="119"/>
        <v>0</v>
      </c>
      <c r="K3647" s="575"/>
      <c r="L3647" s="575"/>
      <c r="M3647" s="575"/>
      <c r="N3647" s="575"/>
      <c r="O3647" s="575"/>
      <c r="P3647" s="575"/>
      <c r="Q3647" s="575"/>
      <c r="R3647" s="575"/>
      <c r="S3647" s="575"/>
      <c r="T3647" s="575"/>
      <c r="U3647" s="575"/>
      <c r="V3647" s="575"/>
      <c r="W3647" s="575"/>
      <c r="X3647" s="575"/>
      <c r="Y3647" s="575"/>
    </row>
    <row r="3648" spans="1:25" s="88" customFormat="1" hidden="1">
      <c r="A3648" s="551"/>
      <c r="B3648" s="301"/>
      <c r="C3648" s="273"/>
      <c r="D3648" s="263"/>
      <c r="E3648" s="263"/>
      <c r="F3648" s="569">
        <v>433</v>
      </c>
      <c r="G3648" s="562" t="s">
        <v>4189</v>
      </c>
      <c r="H3648" s="634"/>
      <c r="I3648" s="635"/>
      <c r="J3648" s="635">
        <f t="shared" si="119"/>
        <v>0</v>
      </c>
      <c r="K3648" s="575"/>
      <c r="L3648" s="575"/>
      <c r="M3648" s="575"/>
      <c r="N3648" s="575"/>
      <c r="O3648" s="575"/>
      <c r="P3648" s="575"/>
      <c r="Q3648" s="575"/>
      <c r="R3648" s="575"/>
      <c r="S3648" s="575"/>
      <c r="T3648" s="575"/>
      <c r="U3648" s="575"/>
      <c r="V3648" s="575"/>
      <c r="W3648" s="575"/>
      <c r="X3648" s="575"/>
      <c r="Y3648" s="575"/>
    </row>
    <row r="3649" spans="1:25" s="88" customFormat="1" hidden="1">
      <c r="A3649" s="551"/>
      <c r="B3649" s="301"/>
      <c r="C3649" s="273"/>
      <c r="D3649" s="263"/>
      <c r="E3649" s="263"/>
      <c r="F3649" s="569">
        <v>434</v>
      </c>
      <c r="G3649" s="562" t="s">
        <v>4190</v>
      </c>
      <c r="H3649" s="634"/>
      <c r="I3649" s="635"/>
      <c r="J3649" s="635">
        <f t="shared" si="119"/>
        <v>0</v>
      </c>
      <c r="K3649" s="575"/>
      <c r="L3649" s="575"/>
      <c r="M3649" s="575"/>
      <c r="N3649" s="575"/>
      <c r="O3649" s="575"/>
      <c r="P3649" s="575"/>
      <c r="Q3649" s="575"/>
      <c r="R3649" s="575"/>
      <c r="S3649" s="575"/>
      <c r="T3649" s="575"/>
      <c r="U3649" s="575"/>
      <c r="V3649" s="575"/>
      <c r="W3649" s="575"/>
      <c r="X3649" s="575"/>
      <c r="Y3649" s="575"/>
    </row>
    <row r="3650" spans="1:25" s="88" customFormat="1" hidden="1">
      <c r="A3650" s="551"/>
      <c r="B3650" s="301"/>
      <c r="C3650" s="273"/>
      <c r="D3650" s="263"/>
      <c r="E3650" s="263"/>
      <c r="F3650" s="569">
        <v>435</v>
      </c>
      <c r="G3650" s="562" t="s">
        <v>3798</v>
      </c>
      <c r="H3650" s="634"/>
      <c r="I3650" s="635"/>
      <c r="J3650" s="635">
        <f t="shared" si="119"/>
        <v>0</v>
      </c>
      <c r="K3650" s="575"/>
      <c r="L3650" s="575"/>
      <c r="M3650" s="575"/>
      <c r="N3650" s="575"/>
      <c r="O3650" s="575"/>
      <c r="P3650" s="575"/>
      <c r="Q3650" s="575"/>
      <c r="R3650" s="575"/>
      <c r="S3650" s="575"/>
      <c r="T3650" s="575"/>
      <c r="U3650" s="575"/>
      <c r="V3650" s="575"/>
      <c r="W3650" s="575"/>
      <c r="X3650" s="575"/>
      <c r="Y3650" s="575"/>
    </row>
    <row r="3651" spans="1:25" s="88" customFormat="1" hidden="1">
      <c r="A3651" s="551"/>
      <c r="B3651" s="301"/>
      <c r="C3651" s="273"/>
      <c r="D3651" s="263"/>
      <c r="E3651" s="263"/>
      <c r="F3651" s="569">
        <v>441</v>
      </c>
      <c r="G3651" s="562" t="s">
        <v>4191</v>
      </c>
      <c r="H3651" s="634"/>
      <c r="I3651" s="635"/>
      <c r="J3651" s="635">
        <f t="shared" si="119"/>
        <v>0</v>
      </c>
      <c r="K3651" s="575"/>
      <c r="L3651" s="575"/>
      <c r="M3651" s="575"/>
      <c r="N3651" s="575"/>
      <c r="O3651" s="575"/>
      <c r="P3651" s="575"/>
      <c r="Q3651" s="575"/>
      <c r="R3651" s="575"/>
      <c r="S3651" s="575"/>
      <c r="T3651" s="575"/>
      <c r="U3651" s="575"/>
      <c r="V3651" s="575"/>
      <c r="W3651" s="575"/>
      <c r="X3651" s="575"/>
      <c r="Y3651" s="575"/>
    </row>
    <row r="3652" spans="1:25" s="88" customFormat="1" hidden="1">
      <c r="A3652" s="551"/>
      <c r="B3652" s="301"/>
      <c r="C3652" s="273"/>
      <c r="D3652" s="263"/>
      <c r="E3652" s="263"/>
      <c r="F3652" s="569">
        <v>442</v>
      </c>
      <c r="G3652" s="562" t="s">
        <v>4192</v>
      </c>
      <c r="H3652" s="634"/>
      <c r="I3652" s="635"/>
      <c r="J3652" s="635">
        <f t="shared" si="119"/>
        <v>0</v>
      </c>
      <c r="K3652" s="575"/>
      <c r="L3652" s="575"/>
      <c r="M3652" s="575"/>
      <c r="N3652" s="575"/>
      <c r="O3652" s="575"/>
      <c r="P3652" s="575"/>
      <c r="Q3652" s="575"/>
      <c r="R3652" s="575"/>
      <c r="S3652" s="575"/>
      <c r="T3652" s="575"/>
      <c r="U3652" s="575"/>
      <c r="V3652" s="575"/>
      <c r="W3652" s="575"/>
      <c r="X3652" s="575"/>
      <c r="Y3652" s="575"/>
    </row>
    <row r="3653" spans="1:25" s="88" customFormat="1" hidden="1">
      <c r="A3653" s="551"/>
      <c r="B3653" s="301"/>
      <c r="C3653" s="273"/>
      <c r="D3653" s="263"/>
      <c r="E3653" s="263"/>
      <c r="F3653" s="569">
        <v>443</v>
      </c>
      <c r="G3653" s="562" t="s">
        <v>3803</v>
      </c>
      <c r="H3653" s="634"/>
      <c r="I3653" s="635"/>
      <c r="J3653" s="635">
        <f t="shared" si="119"/>
        <v>0</v>
      </c>
      <c r="K3653" s="575"/>
      <c r="L3653" s="575"/>
      <c r="M3653" s="575"/>
      <c r="N3653" s="575"/>
      <c r="O3653" s="575"/>
      <c r="P3653" s="575"/>
      <c r="Q3653" s="575"/>
      <c r="R3653" s="575"/>
      <c r="S3653" s="575"/>
      <c r="T3653" s="575"/>
      <c r="U3653" s="575"/>
      <c r="V3653" s="575"/>
      <c r="W3653" s="575"/>
      <c r="X3653" s="575"/>
      <c r="Y3653" s="575"/>
    </row>
    <row r="3654" spans="1:25" s="88" customFormat="1" hidden="1">
      <c r="A3654" s="551"/>
      <c r="B3654" s="301"/>
      <c r="C3654" s="273"/>
      <c r="D3654" s="263"/>
      <c r="E3654" s="263"/>
      <c r="F3654" s="569">
        <v>444</v>
      </c>
      <c r="G3654" s="562" t="s">
        <v>3804</v>
      </c>
      <c r="H3654" s="634"/>
      <c r="I3654" s="635"/>
      <c r="J3654" s="635">
        <f t="shared" si="119"/>
        <v>0</v>
      </c>
      <c r="K3654" s="575"/>
      <c r="L3654" s="575"/>
      <c r="M3654" s="575"/>
      <c r="N3654" s="575"/>
      <c r="O3654" s="575"/>
      <c r="P3654" s="575"/>
      <c r="Q3654" s="575"/>
      <c r="R3654" s="575"/>
      <c r="S3654" s="575"/>
      <c r="T3654" s="575"/>
      <c r="U3654" s="575"/>
      <c r="V3654" s="575"/>
      <c r="W3654" s="575"/>
      <c r="X3654" s="575"/>
      <c r="Y3654" s="575"/>
    </row>
    <row r="3655" spans="1:25" s="88" customFormat="1" ht="30" hidden="1">
      <c r="A3655" s="551"/>
      <c r="B3655" s="301"/>
      <c r="C3655" s="273"/>
      <c r="D3655" s="263"/>
      <c r="E3655" s="263"/>
      <c r="F3655" s="569">
        <v>4511</v>
      </c>
      <c r="G3655" s="268" t="s">
        <v>1690</v>
      </c>
      <c r="H3655" s="634"/>
      <c r="I3655" s="635"/>
      <c r="J3655" s="635">
        <f t="shared" si="119"/>
        <v>0</v>
      </c>
      <c r="K3655" s="575"/>
      <c r="L3655" s="575"/>
      <c r="M3655" s="575"/>
      <c r="N3655" s="575"/>
      <c r="O3655" s="575"/>
      <c r="P3655" s="575"/>
      <c r="Q3655" s="575"/>
      <c r="R3655" s="575"/>
      <c r="S3655" s="575"/>
      <c r="T3655" s="575"/>
      <c r="U3655" s="575"/>
      <c r="V3655" s="575"/>
      <c r="W3655" s="575"/>
      <c r="X3655" s="575"/>
      <c r="Y3655" s="575"/>
    </row>
    <row r="3656" spans="1:25" s="88" customFormat="1" ht="30" hidden="1">
      <c r="A3656" s="551"/>
      <c r="B3656" s="301"/>
      <c r="C3656" s="273"/>
      <c r="D3656" s="263"/>
      <c r="E3656" s="263"/>
      <c r="F3656" s="569">
        <v>4512</v>
      </c>
      <c r="G3656" s="268" t="s">
        <v>1699</v>
      </c>
      <c r="H3656" s="634"/>
      <c r="I3656" s="635"/>
      <c r="J3656" s="635">
        <f t="shared" si="119"/>
        <v>0</v>
      </c>
      <c r="K3656" s="575"/>
      <c r="L3656" s="575"/>
      <c r="M3656" s="575"/>
      <c r="N3656" s="575"/>
      <c r="O3656" s="575"/>
      <c r="P3656" s="575"/>
      <c r="Q3656" s="575"/>
      <c r="R3656" s="575"/>
      <c r="S3656" s="575"/>
      <c r="T3656" s="575"/>
      <c r="U3656" s="575"/>
      <c r="V3656" s="575"/>
      <c r="W3656" s="575"/>
      <c r="X3656" s="575"/>
      <c r="Y3656" s="575"/>
    </row>
    <row r="3657" spans="1:25" s="88" customFormat="1" hidden="1">
      <c r="A3657" s="551"/>
      <c r="B3657" s="301"/>
      <c r="C3657" s="273"/>
      <c r="D3657" s="263"/>
      <c r="E3657" s="263"/>
      <c r="F3657" s="569">
        <v>452</v>
      </c>
      <c r="G3657" s="562" t="s">
        <v>4193</v>
      </c>
      <c r="H3657" s="634"/>
      <c r="I3657" s="635"/>
      <c r="J3657" s="635">
        <f t="shared" si="119"/>
        <v>0</v>
      </c>
      <c r="K3657" s="575"/>
      <c r="L3657" s="575"/>
      <c r="M3657" s="575"/>
      <c r="N3657" s="575"/>
      <c r="O3657" s="575"/>
      <c r="P3657" s="575"/>
      <c r="Q3657" s="575"/>
      <c r="R3657" s="575"/>
      <c r="S3657" s="575"/>
      <c r="T3657" s="575"/>
      <c r="U3657" s="575"/>
      <c r="V3657" s="575"/>
      <c r="W3657" s="575"/>
      <c r="X3657" s="575"/>
      <c r="Y3657" s="575"/>
    </row>
    <row r="3658" spans="1:25" s="88" customFormat="1" hidden="1">
      <c r="A3658" s="551"/>
      <c r="B3658" s="301"/>
      <c r="C3658" s="273"/>
      <c r="D3658" s="263"/>
      <c r="E3658" s="263"/>
      <c r="F3658" s="569">
        <v>453</v>
      </c>
      <c r="G3658" s="562" t="s">
        <v>4194</v>
      </c>
      <c r="H3658" s="634"/>
      <c r="I3658" s="635"/>
      <c r="J3658" s="635">
        <f t="shared" si="119"/>
        <v>0</v>
      </c>
      <c r="K3658" s="575"/>
      <c r="L3658" s="575"/>
      <c r="M3658" s="575"/>
      <c r="N3658" s="575"/>
      <c r="O3658" s="575"/>
      <c r="P3658" s="575"/>
      <c r="Q3658" s="575"/>
      <c r="R3658" s="575"/>
      <c r="S3658" s="575"/>
      <c r="T3658" s="575"/>
      <c r="U3658" s="575"/>
      <c r="V3658" s="575"/>
      <c r="W3658" s="575"/>
      <c r="X3658" s="575"/>
      <c r="Y3658" s="575"/>
    </row>
    <row r="3659" spans="1:25" s="88" customFormat="1" hidden="1">
      <c r="A3659" s="551"/>
      <c r="B3659" s="301"/>
      <c r="C3659" s="273"/>
      <c r="D3659" s="263"/>
      <c r="E3659" s="263"/>
      <c r="F3659" s="569">
        <v>454</v>
      </c>
      <c r="G3659" s="562" t="s">
        <v>3809</v>
      </c>
      <c r="H3659" s="634"/>
      <c r="I3659" s="635"/>
      <c r="J3659" s="635">
        <f t="shared" si="119"/>
        <v>0</v>
      </c>
      <c r="K3659" s="575"/>
      <c r="L3659" s="575"/>
      <c r="M3659" s="575"/>
      <c r="N3659" s="575"/>
      <c r="O3659" s="575"/>
      <c r="P3659" s="575"/>
      <c r="Q3659" s="575"/>
      <c r="R3659" s="575"/>
      <c r="S3659" s="575"/>
      <c r="T3659" s="575"/>
      <c r="U3659" s="575"/>
      <c r="V3659" s="575"/>
      <c r="W3659" s="575"/>
      <c r="X3659" s="575"/>
      <c r="Y3659" s="575"/>
    </row>
    <row r="3660" spans="1:25" s="88" customFormat="1" hidden="1">
      <c r="A3660" s="551"/>
      <c r="B3660" s="301"/>
      <c r="C3660" s="273"/>
      <c r="D3660" s="263"/>
      <c r="E3660" s="263"/>
      <c r="F3660" s="569">
        <v>461</v>
      </c>
      <c r="G3660" s="562" t="s">
        <v>4175</v>
      </c>
      <c r="H3660" s="634"/>
      <c r="I3660" s="635"/>
      <c r="J3660" s="635">
        <f t="shared" si="119"/>
        <v>0</v>
      </c>
      <c r="K3660" s="575"/>
      <c r="L3660" s="575"/>
      <c r="M3660" s="575"/>
      <c r="N3660" s="575"/>
      <c r="O3660" s="575"/>
      <c r="P3660" s="575"/>
      <c r="Q3660" s="575"/>
      <c r="R3660" s="575"/>
      <c r="S3660" s="575"/>
      <c r="T3660" s="575"/>
      <c r="U3660" s="575"/>
      <c r="V3660" s="575"/>
      <c r="W3660" s="575"/>
      <c r="X3660" s="575"/>
      <c r="Y3660" s="575"/>
    </row>
    <row r="3661" spans="1:25" s="88" customFormat="1" hidden="1">
      <c r="A3661" s="551"/>
      <c r="B3661" s="301"/>
      <c r="C3661" s="273"/>
      <c r="D3661" s="263"/>
      <c r="E3661" s="263"/>
      <c r="F3661" s="569">
        <v>462</v>
      </c>
      <c r="G3661" s="562" t="s">
        <v>3812</v>
      </c>
      <c r="H3661" s="634"/>
      <c r="I3661" s="635"/>
      <c r="J3661" s="635">
        <f t="shared" si="119"/>
        <v>0</v>
      </c>
      <c r="K3661" s="575"/>
      <c r="L3661" s="575"/>
      <c r="M3661" s="575"/>
      <c r="N3661" s="575"/>
      <c r="O3661" s="575"/>
      <c r="P3661" s="575"/>
      <c r="Q3661" s="575"/>
      <c r="R3661" s="575"/>
      <c r="S3661" s="575"/>
      <c r="T3661" s="575"/>
      <c r="U3661" s="575"/>
      <c r="V3661" s="575"/>
      <c r="W3661" s="575"/>
      <c r="X3661" s="575"/>
      <c r="Y3661" s="575"/>
    </row>
    <row r="3662" spans="1:25" s="88" customFormat="1" hidden="1">
      <c r="A3662" s="551"/>
      <c r="B3662" s="301"/>
      <c r="C3662" s="273"/>
      <c r="D3662" s="263"/>
      <c r="E3662" s="263"/>
      <c r="F3662" s="569">
        <v>4631</v>
      </c>
      <c r="G3662" s="562" t="s">
        <v>3813</v>
      </c>
      <c r="H3662" s="634"/>
      <c r="I3662" s="635"/>
      <c r="J3662" s="635">
        <f t="shared" si="119"/>
        <v>0</v>
      </c>
      <c r="K3662" s="575"/>
      <c r="L3662" s="575"/>
      <c r="M3662" s="575"/>
      <c r="N3662" s="575"/>
      <c r="O3662" s="575"/>
      <c r="P3662" s="575"/>
      <c r="Q3662" s="575"/>
      <c r="R3662" s="575"/>
      <c r="S3662" s="575"/>
      <c r="T3662" s="575"/>
      <c r="U3662" s="575"/>
      <c r="V3662" s="575"/>
      <c r="W3662" s="575"/>
      <c r="X3662" s="575"/>
      <c r="Y3662" s="575"/>
    </row>
    <row r="3663" spans="1:25" s="88" customFormat="1" hidden="1">
      <c r="A3663" s="551"/>
      <c r="B3663" s="301"/>
      <c r="C3663" s="273"/>
      <c r="D3663" s="263"/>
      <c r="E3663" s="263"/>
      <c r="F3663" s="569">
        <v>4632</v>
      </c>
      <c r="G3663" s="562" t="s">
        <v>3814</v>
      </c>
      <c r="H3663" s="634"/>
      <c r="I3663" s="635"/>
      <c r="J3663" s="635">
        <f t="shared" si="119"/>
        <v>0</v>
      </c>
      <c r="K3663" s="575"/>
      <c r="L3663" s="575"/>
      <c r="M3663" s="575"/>
      <c r="N3663" s="575"/>
      <c r="O3663" s="575"/>
      <c r="P3663" s="575"/>
      <c r="Q3663" s="575"/>
      <c r="R3663" s="575"/>
      <c r="S3663" s="575"/>
      <c r="T3663" s="575"/>
      <c r="U3663" s="575"/>
      <c r="V3663" s="575"/>
      <c r="W3663" s="575"/>
      <c r="X3663" s="575"/>
      <c r="Y3663" s="575"/>
    </row>
    <row r="3664" spans="1:25" s="88" customFormat="1" hidden="1">
      <c r="A3664" s="551"/>
      <c r="B3664" s="301"/>
      <c r="C3664" s="273"/>
      <c r="D3664" s="263"/>
      <c r="E3664" s="263"/>
      <c r="F3664" s="569">
        <v>464</v>
      </c>
      <c r="G3664" s="562" t="s">
        <v>3815</v>
      </c>
      <c r="H3664" s="634"/>
      <c r="I3664" s="635"/>
      <c r="J3664" s="635">
        <f t="shared" si="119"/>
        <v>0</v>
      </c>
      <c r="K3664" s="575"/>
      <c r="L3664" s="575"/>
      <c r="M3664" s="575"/>
      <c r="N3664" s="575"/>
      <c r="O3664" s="575"/>
      <c r="P3664" s="575"/>
      <c r="Q3664" s="575"/>
      <c r="R3664" s="575"/>
      <c r="S3664" s="575"/>
      <c r="T3664" s="575"/>
      <c r="U3664" s="575"/>
      <c r="V3664" s="575"/>
      <c r="W3664" s="575"/>
      <c r="X3664" s="575"/>
      <c r="Y3664" s="575"/>
    </row>
    <row r="3665" spans="1:25" s="88" customFormat="1" hidden="1">
      <c r="A3665" s="551"/>
      <c r="B3665" s="301"/>
      <c r="C3665" s="273"/>
      <c r="D3665" s="263"/>
      <c r="E3665" s="263"/>
      <c r="F3665" s="569">
        <v>465</v>
      </c>
      <c r="G3665" s="562" t="s">
        <v>4176</v>
      </c>
      <c r="H3665" s="634"/>
      <c r="I3665" s="635"/>
      <c r="J3665" s="635">
        <f t="shared" si="119"/>
        <v>0</v>
      </c>
      <c r="K3665" s="575"/>
      <c r="L3665" s="575"/>
      <c r="M3665" s="575"/>
      <c r="N3665" s="575"/>
      <c r="O3665" s="575"/>
      <c r="P3665" s="575"/>
      <c r="Q3665" s="575"/>
      <c r="R3665" s="575"/>
      <c r="S3665" s="575"/>
      <c r="T3665" s="575"/>
      <c r="U3665" s="575"/>
      <c r="V3665" s="575"/>
      <c r="W3665" s="575"/>
      <c r="X3665" s="575"/>
      <c r="Y3665" s="575"/>
    </row>
    <row r="3666" spans="1:25" s="88" customFormat="1" hidden="1">
      <c r="A3666" s="551"/>
      <c r="B3666" s="301"/>
      <c r="C3666" s="273"/>
      <c r="D3666" s="263"/>
      <c r="E3666" s="263"/>
      <c r="F3666" s="569">
        <v>472</v>
      </c>
      <c r="G3666" s="562" t="s">
        <v>3819</v>
      </c>
      <c r="H3666" s="634"/>
      <c r="I3666" s="635"/>
      <c r="J3666" s="635">
        <f t="shared" si="119"/>
        <v>0</v>
      </c>
      <c r="K3666" s="575"/>
      <c r="L3666" s="575"/>
      <c r="M3666" s="575"/>
      <c r="N3666" s="575"/>
      <c r="O3666" s="575"/>
      <c r="P3666" s="575"/>
      <c r="Q3666" s="575"/>
      <c r="R3666" s="575"/>
      <c r="S3666" s="575"/>
      <c r="T3666" s="575"/>
      <c r="U3666" s="575"/>
      <c r="V3666" s="575"/>
      <c r="W3666" s="575"/>
      <c r="X3666" s="575"/>
      <c r="Y3666" s="575"/>
    </row>
    <row r="3667" spans="1:25" s="88" customFormat="1" ht="15.75" thickBot="1">
      <c r="A3667" s="551"/>
      <c r="B3667" s="301"/>
      <c r="C3667" s="273"/>
      <c r="D3667" s="263"/>
      <c r="E3667" s="263">
        <v>67</v>
      </c>
      <c r="F3667" s="569">
        <v>481</v>
      </c>
      <c r="G3667" s="562" t="s">
        <v>4195</v>
      </c>
      <c r="H3667" s="634">
        <v>4300000</v>
      </c>
      <c r="I3667" s="635"/>
      <c r="J3667" s="635">
        <f t="shared" si="119"/>
        <v>4300000</v>
      </c>
      <c r="K3667" s="575"/>
      <c r="L3667" s="575"/>
      <c r="M3667" s="575"/>
      <c r="N3667" s="575"/>
      <c r="O3667" s="575"/>
      <c r="P3667" s="575"/>
      <c r="Q3667" s="575"/>
      <c r="R3667" s="575"/>
      <c r="S3667" s="575"/>
      <c r="T3667" s="575"/>
      <c r="U3667" s="575"/>
      <c r="V3667" s="575"/>
      <c r="W3667" s="575"/>
      <c r="X3667" s="575"/>
      <c r="Y3667" s="575"/>
    </row>
    <row r="3668" spans="1:25" s="88" customFormat="1">
      <c r="A3668" s="551"/>
      <c r="B3668" s="301"/>
      <c r="C3668" s="361"/>
      <c r="D3668" s="263"/>
      <c r="E3668" s="559"/>
      <c r="F3668" s="570"/>
      <c r="G3668" s="371" t="s">
        <v>5203</v>
      </c>
      <c r="H3668" s="636"/>
      <c r="I3668" s="662"/>
      <c r="J3668" s="637"/>
      <c r="K3668" s="575"/>
      <c r="L3668" s="575"/>
      <c r="M3668" s="575"/>
      <c r="N3668" s="575"/>
      <c r="O3668" s="575"/>
      <c r="P3668" s="575"/>
      <c r="Q3668" s="575"/>
      <c r="R3668" s="575"/>
      <c r="S3668" s="575"/>
      <c r="T3668" s="575"/>
      <c r="U3668" s="575"/>
      <c r="V3668" s="575"/>
      <c r="W3668" s="575"/>
      <c r="X3668" s="575"/>
      <c r="Y3668" s="575"/>
    </row>
    <row r="3669" spans="1:25" s="88" customFormat="1" ht="15.75" thickBot="1">
      <c r="A3669" s="551"/>
      <c r="B3669" s="301"/>
      <c r="C3669" s="361"/>
      <c r="D3669" s="263"/>
      <c r="E3669" s="267"/>
      <c r="F3669" s="682" t="s">
        <v>234</v>
      </c>
      <c r="G3669" s="683" t="s">
        <v>235</v>
      </c>
      <c r="H3669" s="638">
        <f>SUM(H3667)</f>
        <v>4300000</v>
      </c>
      <c r="I3669" s="639"/>
      <c r="J3669" s="639">
        <f>SUM(H3669:I3669)</f>
        <v>4300000</v>
      </c>
      <c r="K3669" s="575"/>
      <c r="L3669" s="575"/>
      <c r="M3669" s="575"/>
      <c r="N3669" s="575"/>
      <c r="O3669" s="575"/>
      <c r="P3669" s="575"/>
      <c r="Q3669" s="575"/>
      <c r="R3669" s="575"/>
      <c r="S3669" s="575"/>
      <c r="T3669" s="575"/>
      <c r="U3669" s="575"/>
      <c r="V3669" s="575"/>
      <c r="W3669" s="575"/>
      <c r="X3669" s="575"/>
      <c r="Y3669" s="575"/>
    </row>
    <row r="3670" spans="1:25" s="88" customFormat="1" hidden="1">
      <c r="A3670" s="551"/>
      <c r="B3670" s="301"/>
      <c r="C3670" s="361"/>
      <c r="D3670" s="263"/>
      <c r="E3670" s="263"/>
      <c r="F3670" s="682" t="s">
        <v>236</v>
      </c>
      <c r="G3670" s="683" t="s">
        <v>237</v>
      </c>
      <c r="H3670" s="634"/>
      <c r="I3670" s="635"/>
      <c r="J3670" s="639">
        <f t="shared" ref="J3670:J3684" si="120">SUM(H3670:I3670)</f>
        <v>0</v>
      </c>
      <c r="K3670" s="575"/>
      <c r="L3670" s="575"/>
      <c r="M3670" s="575"/>
      <c r="N3670" s="575"/>
      <c r="O3670" s="575"/>
      <c r="P3670" s="575"/>
      <c r="Q3670" s="575"/>
      <c r="R3670" s="575"/>
      <c r="S3670" s="575"/>
      <c r="T3670" s="575"/>
      <c r="U3670" s="575"/>
      <c r="V3670" s="575"/>
      <c r="W3670" s="575"/>
      <c r="X3670" s="575"/>
      <c r="Y3670" s="575"/>
    </row>
    <row r="3671" spans="1:25" s="88" customFormat="1" hidden="1">
      <c r="A3671" s="551"/>
      <c r="B3671" s="301"/>
      <c r="C3671" s="361"/>
      <c r="D3671" s="263"/>
      <c r="E3671" s="263"/>
      <c r="F3671" s="682" t="s">
        <v>238</v>
      </c>
      <c r="G3671" s="683" t="s">
        <v>239</v>
      </c>
      <c r="H3671" s="634"/>
      <c r="I3671" s="635"/>
      <c r="J3671" s="639">
        <f t="shared" si="120"/>
        <v>0</v>
      </c>
      <c r="K3671" s="575"/>
      <c r="L3671" s="575"/>
      <c r="M3671" s="575"/>
      <c r="N3671" s="575"/>
      <c r="O3671" s="575"/>
      <c r="P3671" s="575"/>
      <c r="Q3671" s="575"/>
      <c r="R3671" s="575"/>
      <c r="S3671" s="575"/>
      <c r="T3671" s="575"/>
      <c r="U3671" s="575"/>
      <c r="V3671" s="575"/>
      <c r="W3671" s="575"/>
      <c r="X3671" s="575"/>
      <c r="Y3671" s="575"/>
    </row>
    <row r="3672" spans="1:25" s="88" customFormat="1" hidden="1">
      <c r="A3672" s="551"/>
      <c r="B3672" s="301"/>
      <c r="C3672" s="361"/>
      <c r="D3672" s="263"/>
      <c r="E3672" s="263"/>
      <c r="F3672" s="682" t="s">
        <v>240</v>
      </c>
      <c r="G3672" s="683" t="s">
        <v>241</v>
      </c>
      <c r="H3672" s="634"/>
      <c r="I3672" s="635"/>
      <c r="J3672" s="639">
        <f t="shared" si="120"/>
        <v>0</v>
      </c>
      <c r="K3672" s="575"/>
      <c r="L3672" s="575"/>
      <c r="M3672" s="575"/>
      <c r="N3672" s="575"/>
      <c r="O3672" s="575"/>
      <c r="P3672" s="575"/>
      <c r="Q3672" s="575"/>
      <c r="R3672" s="575"/>
      <c r="S3672" s="575"/>
      <c r="T3672" s="575"/>
      <c r="U3672" s="575"/>
      <c r="V3672" s="575"/>
      <c r="W3672" s="575"/>
      <c r="X3672" s="575"/>
      <c r="Y3672" s="575"/>
    </row>
    <row r="3673" spans="1:25" s="88" customFormat="1" hidden="1">
      <c r="A3673" s="551"/>
      <c r="B3673" s="301"/>
      <c r="C3673" s="361"/>
      <c r="D3673" s="263"/>
      <c r="E3673" s="263"/>
      <c r="F3673" s="682" t="s">
        <v>242</v>
      </c>
      <c r="G3673" s="683" t="s">
        <v>243</v>
      </c>
      <c r="H3673" s="634"/>
      <c r="I3673" s="635"/>
      <c r="J3673" s="639">
        <f t="shared" si="120"/>
        <v>0</v>
      </c>
      <c r="K3673" s="575"/>
      <c r="L3673" s="575"/>
      <c r="M3673" s="575"/>
      <c r="N3673" s="575"/>
      <c r="O3673" s="575"/>
      <c r="P3673" s="575"/>
      <c r="Q3673" s="575"/>
      <c r="R3673" s="575"/>
      <c r="S3673" s="575"/>
      <c r="T3673" s="575"/>
      <c r="U3673" s="575"/>
      <c r="V3673" s="575"/>
      <c r="W3673" s="575"/>
      <c r="X3673" s="575"/>
      <c r="Y3673" s="575"/>
    </row>
    <row r="3674" spans="1:25" s="88" customFormat="1" hidden="1">
      <c r="A3674" s="551"/>
      <c r="B3674" s="301"/>
      <c r="C3674" s="361"/>
      <c r="D3674" s="263"/>
      <c r="E3674" s="263"/>
      <c r="F3674" s="682" t="s">
        <v>244</v>
      </c>
      <c r="G3674" s="683" t="s">
        <v>245</v>
      </c>
      <c r="H3674" s="634"/>
      <c r="I3674" s="635"/>
      <c r="J3674" s="639">
        <f t="shared" si="120"/>
        <v>0</v>
      </c>
      <c r="K3674" s="575"/>
      <c r="L3674" s="575"/>
      <c r="M3674" s="575"/>
      <c r="N3674" s="575"/>
      <c r="O3674" s="575"/>
      <c r="P3674" s="575"/>
      <c r="Q3674" s="575"/>
      <c r="R3674" s="575"/>
      <c r="S3674" s="575"/>
      <c r="T3674" s="575"/>
      <c r="U3674" s="575"/>
      <c r="V3674" s="575"/>
      <c r="W3674" s="575"/>
      <c r="X3674" s="575"/>
      <c r="Y3674" s="575"/>
    </row>
    <row r="3675" spans="1:25" s="88" customFormat="1" hidden="1">
      <c r="A3675" s="551"/>
      <c r="B3675" s="301"/>
      <c r="C3675" s="361"/>
      <c r="D3675" s="263"/>
      <c r="E3675" s="263"/>
      <c r="F3675" s="682" t="s">
        <v>246</v>
      </c>
      <c r="G3675" s="683" t="s">
        <v>5121</v>
      </c>
      <c r="H3675" s="634"/>
      <c r="I3675" s="635"/>
      <c r="J3675" s="639">
        <f t="shared" si="120"/>
        <v>0</v>
      </c>
      <c r="K3675" s="575"/>
      <c r="L3675" s="575"/>
      <c r="M3675" s="575"/>
      <c r="N3675" s="575"/>
      <c r="O3675" s="575"/>
      <c r="P3675" s="575"/>
      <c r="Q3675" s="575"/>
      <c r="R3675" s="575"/>
      <c r="S3675" s="575"/>
      <c r="T3675" s="575"/>
      <c r="U3675" s="575"/>
      <c r="V3675" s="575"/>
      <c r="W3675" s="575"/>
      <c r="X3675" s="575"/>
      <c r="Y3675" s="575"/>
    </row>
    <row r="3676" spans="1:25" s="88" customFormat="1" hidden="1">
      <c r="A3676" s="551"/>
      <c r="B3676" s="301"/>
      <c r="C3676" s="361"/>
      <c r="D3676" s="263"/>
      <c r="E3676" s="263"/>
      <c r="F3676" s="682" t="s">
        <v>247</v>
      </c>
      <c r="G3676" s="683" t="s">
        <v>5120</v>
      </c>
      <c r="H3676" s="634"/>
      <c r="I3676" s="635"/>
      <c r="J3676" s="639">
        <f t="shared" si="120"/>
        <v>0</v>
      </c>
      <c r="K3676" s="575"/>
      <c r="L3676" s="575"/>
      <c r="M3676" s="575"/>
      <c r="N3676" s="575"/>
      <c r="O3676" s="575"/>
      <c r="P3676" s="575"/>
      <c r="Q3676" s="575"/>
      <c r="R3676" s="575"/>
      <c r="S3676" s="575"/>
      <c r="T3676" s="575"/>
      <c r="U3676" s="575"/>
      <c r="V3676" s="575"/>
      <c r="W3676" s="575"/>
      <c r="X3676" s="575"/>
      <c r="Y3676" s="575"/>
    </row>
    <row r="3677" spans="1:25" s="88" customFormat="1" hidden="1">
      <c r="A3677" s="551"/>
      <c r="B3677" s="301"/>
      <c r="C3677" s="361"/>
      <c r="D3677" s="263"/>
      <c r="E3677" s="263"/>
      <c r="F3677" s="682" t="s">
        <v>248</v>
      </c>
      <c r="G3677" s="683" t="s">
        <v>57</v>
      </c>
      <c r="H3677" s="634"/>
      <c r="I3677" s="635"/>
      <c r="J3677" s="639">
        <f t="shared" si="120"/>
        <v>0</v>
      </c>
      <c r="K3677" s="575"/>
      <c r="L3677" s="575"/>
      <c r="M3677" s="575"/>
      <c r="N3677" s="575"/>
      <c r="O3677" s="575"/>
      <c r="P3677" s="575"/>
      <c r="Q3677" s="575"/>
      <c r="R3677" s="575"/>
      <c r="S3677" s="575"/>
      <c r="T3677" s="575"/>
      <c r="U3677" s="575"/>
      <c r="V3677" s="575"/>
      <c r="W3677" s="575"/>
      <c r="X3677" s="575"/>
      <c r="Y3677" s="575"/>
    </row>
    <row r="3678" spans="1:25" s="88" customFormat="1" hidden="1">
      <c r="A3678" s="551"/>
      <c r="B3678" s="301"/>
      <c r="C3678" s="361"/>
      <c r="D3678" s="263"/>
      <c r="E3678" s="263"/>
      <c r="F3678" s="682" t="s">
        <v>249</v>
      </c>
      <c r="G3678" s="683" t="s">
        <v>250</v>
      </c>
      <c r="H3678" s="634"/>
      <c r="I3678" s="635"/>
      <c r="J3678" s="639">
        <f t="shared" si="120"/>
        <v>0</v>
      </c>
      <c r="K3678" s="575"/>
      <c r="L3678" s="575"/>
      <c r="M3678" s="575"/>
      <c r="N3678" s="575"/>
      <c r="O3678" s="575"/>
      <c r="P3678" s="575"/>
      <c r="Q3678" s="575"/>
      <c r="R3678" s="575"/>
      <c r="S3678" s="575"/>
      <c r="T3678" s="575"/>
      <c r="U3678" s="575"/>
      <c r="V3678" s="575"/>
      <c r="W3678" s="575"/>
      <c r="X3678" s="575"/>
      <c r="Y3678" s="575"/>
    </row>
    <row r="3679" spans="1:25" s="88" customFormat="1" hidden="1">
      <c r="A3679" s="551"/>
      <c r="B3679" s="301"/>
      <c r="C3679" s="361"/>
      <c r="D3679" s="263"/>
      <c r="E3679" s="263"/>
      <c r="F3679" s="682" t="s">
        <v>251</v>
      </c>
      <c r="G3679" s="683" t="s">
        <v>252</v>
      </c>
      <c r="H3679" s="634"/>
      <c r="I3679" s="635"/>
      <c r="J3679" s="639">
        <f t="shared" si="120"/>
        <v>0</v>
      </c>
      <c r="K3679" s="575"/>
      <c r="L3679" s="575"/>
      <c r="M3679" s="575"/>
      <c r="N3679" s="575"/>
      <c r="O3679" s="575"/>
      <c r="P3679" s="575"/>
      <c r="Q3679" s="575"/>
      <c r="R3679" s="575"/>
      <c r="S3679" s="575"/>
      <c r="T3679" s="575"/>
      <c r="U3679" s="575"/>
      <c r="V3679" s="575"/>
      <c r="W3679" s="575"/>
      <c r="X3679" s="575"/>
      <c r="Y3679" s="575"/>
    </row>
    <row r="3680" spans="1:25" s="88" customFormat="1" hidden="1">
      <c r="A3680" s="551"/>
      <c r="B3680" s="301"/>
      <c r="C3680" s="361"/>
      <c r="D3680" s="263"/>
      <c r="E3680" s="263"/>
      <c r="F3680" s="682" t="s">
        <v>253</v>
      </c>
      <c r="G3680" s="683" t="s">
        <v>254</v>
      </c>
      <c r="H3680" s="634"/>
      <c r="I3680" s="635"/>
      <c r="J3680" s="639">
        <f t="shared" si="120"/>
        <v>0</v>
      </c>
      <c r="K3680" s="575"/>
      <c r="L3680" s="575"/>
      <c r="M3680" s="575"/>
      <c r="N3680" s="575"/>
      <c r="O3680" s="575"/>
      <c r="P3680" s="575"/>
      <c r="Q3680" s="575"/>
      <c r="R3680" s="575"/>
      <c r="S3680" s="575"/>
      <c r="T3680" s="575"/>
      <c r="U3680" s="575"/>
      <c r="V3680" s="575"/>
      <c r="W3680" s="575"/>
      <c r="X3680" s="575"/>
      <c r="Y3680" s="575"/>
    </row>
    <row r="3681" spans="1:25" s="88" customFormat="1" hidden="1">
      <c r="A3681" s="551"/>
      <c r="B3681" s="301"/>
      <c r="C3681" s="361"/>
      <c r="D3681" s="263"/>
      <c r="E3681" s="263"/>
      <c r="F3681" s="682" t="s">
        <v>255</v>
      </c>
      <c r="G3681" s="683" t="s">
        <v>256</v>
      </c>
      <c r="H3681" s="634"/>
      <c r="I3681" s="635"/>
      <c r="J3681" s="639">
        <f t="shared" si="120"/>
        <v>0</v>
      </c>
      <c r="K3681" s="575"/>
      <c r="L3681" s="575"/>
      <c r="M3681" s="575"/>
      <c r="N3681" s="575"/>
      <c r="O3681" s="575"/>
      <c r="P3681" s="575"/>
      <c r="Q3681" s="575"/>
      <c r="R3681" s="575"/>
      <c r="S3681" s="575"/>
      <c r="T3681" s="575"/>
      <c r="U3681" s="575"/>
      <c r="V3681" s="575"/>
      <c r="W3681" s="575"/>
      <c r="X3681" s="575"/>
      <c r="Y3681" s="575"/>
    </row>
    <row r="3682" spans="1:25" s="88" customFormat="1" hidden="1">
      <c r="A3682" s="551"/>
      <c r="B3682" s="301"/>
      <c r="C3682" s="361"/>
      <c r="D3682" s="263"/>
      <c r="E3682" s="263"/>
      <c r="F3682" s="682" t="s">
        <v>257</v>
      </c>
      <c r="G3682" s="683" t="s">
        <v>258</v>
      </c>
      <c r="H3682" s="634"/>
      <c r="I3682" s="635"/>
      <c r="J3682" s="639">
        <f t="shared" si="120"/>
        <v>0</v>
      </c>
      <c r="K3682" s="575"/>
      <c r="L3682" s="575"/>
      <c r="M3682" s="575"/>
      <c r="N3682" s="575"/>
      <c r="O3682" s="575"/>
      <c r="P3682" s="575"/>
      <c r="Q3682" s="575"/>
      <c r="R3682" s="575"/>
      <c r="S3682" s="575"/>
      <c r="T3682" s="575"/>
      <c r="U3682" s="575"/>
      <c r="V3682" s="575"/>
      <c r="W3682" s="575"/>
      <c r="X3682" s="575"/>
      <c r="Y3682" s="575"/>
    </row>
    <row r="3683" spans="1:25" s="88" customFormat="1" hidden="1">
      <c r="A3683" s="551"/>
      <c r="B3683" s="301"/>
      <c r="C3683" s="361"/>
      <c r="D3683" s="263"/>
      <c r="E3683" s="263"/>
      <c r="F3683" s="682" t="s">
        <v>259</v>
      </c>
      <c r="G3683" s="683" t="s">
        <v>260</v>
      </c>
      <c r="H3683" s="634"/>
      <c r="I3683" s="635"/>
      <c r="J3683" s="639">
        <f t="shared" si="120"/>
        <v>0</v>
      </c>
      <c r="K3683" s="575"/>
      <c r="L3683" s="575"/>
      <c r="M3683" s="575"/>
      <c r="N3683" s="575"/>
      <c r="O3683" s="575"/>
      <c r="P3683" s="575"/>
      <c r="Q3683" s="575"/>
      <c r="R3683" s="575"/>
      <c r="S3683" s="575"/>
      <c r="T3683" s="575"/>
      <c r="U3683" s="575"/>
      <c r="V3683" s="575"/>
      <c r="W3683" s="575"/>
      <c r="X3683" s="575"/>
      <c r="Y3683" s="575"/>
    </row>
    <row r="3684" spans="1:25" s="88" customFormat="1" ht="15.75" hidden="1" thickBot="1">
      <c r="A3684" s="551"/>
      <c r="B3684" s="301"/>
      <c r="C3684" s="361"/>
      <c r="D3684" s="263"/>
      <c r="E3684" s="263"/>
      <c r="F3684" s="682" t="s">
        <v>261</v>
      </c>
      <c r="G3684" s="683" t="s">
        <v>262</v>
      </c>
      <c r="H3684" s="638"/>
      <c r="I3684" s="639"/>
      <c r="J3684" s="639">
        <f t="shared" si="120"/>
        <v>0</v>
      </c>
      <c r="K3684" s="575"/>
      <c r="L3684" s="575"/>
      <c r="M3684" s="575"/>
      <c r="N3684" s="575"/>
      <c r="O3684" s="575"/>
      <c r="P3684" s="575"/>
      <c r="Q3684" s="575"/>
      <c r="R3684" s="575"/>
      <c r="S3684" s="575"/>
      <c r="T3684" s="575"/>
      <c r="U3684" s="575"/>
      <c r="V3684" s="575"/>
      <c r="W3684" s="575"/>
      <c r="X3684" s="575"/>
      <c r="Y3684" s="575"/>
    </row>
    <row r="3685" spans="1:25" s="88" customFormat="1" ht="15.75" thickBot="1">
      <c r="A3685" s="551"/>
      <c r="B3685" s="301"/>
      <c r="C3685" s="361"/>
      <c r="D3685" s="263"/>
      <c r="E3685" s="263"/>
      <c r="F3685" s="263"/>
      <c r="G3685" s="274" t="s">
        <v>5204</v>
      </c>
      <c r="H3685" s="640">
        <f>SUM(H3669:H3684)</f>
        <v>4300000</v>
      </c>
      <c r="I3685" s="641">
        <f>SUM(I3670:I3684)</f>
        <v>0</v>
      </c>
      <c r="J3685" s="641">
        <f>SUM(J3669:J3684)</f>
        <v>4300000</v>
      </c>
      <c r="K3685" s="575"/>
      <c r="L3685" s="575"/>
      <c r="M3685" s="575"/>
      <c r="N3685" s="575"/>
      <c r="O3685" s="575"/>
      <c r="P3685" s="575"/>
      <c r="Q3685" s="575"/>
      <c r="R3685" s="575"/>
      <c r="S3685" s="575"/>
      <c r="T3685" s="575"/>
      <c r="U3685" s="575"/>
      <c r="V3685" s="575"/>
      <c r="W3685" s="575"/>
      <c r="X3685" s="575"/>
      <c r="Y3685" s="575"/>
    </row>
    <row r="3686" spans="1:25" s="88" customFormat="1">
      <c r="A3686" s="551"/>
      <c r="B3686" s="301"/>
      <c r="C3686" s="361"/>
      <c r="D3686" s="263"/>
      <c r="E3686" s="559"/>
      <c r="F3686" s="570"/>
      <c r="G3686" s="276" t="s">
        <v>5205</v>
      </c>
      <c r="H3686" s="642"/>
      <c r="I3686" s="663"/>
      <c r="J3686" s="643"/>
      <c r="K3686" s="575"/>
      <c r="L3686" s="575"/>
      <c r="M3686" s="575"/>
      <c r="N3686" s="575"/>
      <c r="O3686" s="575"/>
      <c r="P3686" s="575"/>
      <c r="Q3686" s="575"/>
      <c r="R3686" s="575"/>
      <c r="S3686" s="575"/>
      <c r="T3686" s="575"/>
      <c r="U3686" s="575"/>
      <c r="V3686" s="575"/>
      <c r="W3686" s="575"/>
      <c r="X3686" s="575"/>
      <c r="Y3686" s="575"/>
    </row>
    <row r="3687" spans="1:25" s="88" customFormat="1" ht="15.75" thickBot="1">
      <c r="A3687" s="551"/>
      <c r="B3687" s="301"/>
      <c r="C3687" s="361"/>
      <c r="D3687" s="263"/>
      <c r="E3687" s="267"/>
      <c r="F3687" s="682" t="s">
        <v>234</v>
      </c>
      <c r="G3687" s="683" t="s">
        <v>235</v>
      </c>
      <c r="H3687" s="638">
        <f>SUM(H3685)</f>
        <v>4300000</v>
      </c>
      <c r="I3687" s="639"/>
      <c r="J3687" s="639">
        <f>SUM(H3687:I3687)</f>
        <v>4300000</v>
      </c>
      <c r="K3687" s="575"/>
      <c r="L3687" s="575"/>
      <c r="M3687" s="575"/>
      <c r="N3687" s="575"/>
      <c r="O3687" s="575"/>
      <c r="P3687" s="575"/>
      <c r="Q3687" s="575"/>
      <c r="R3687" s="575"/>
      <c r="S3687" s="575"/>
      <c r="T3687" s="575"/>
      <c r="U3687" s="575"/>
      <c r="V3687" s="575"/>
      <c r="W3687" s="575"/>
      <c r="X3687" s="575"/>
      <c r="Y3687" s="575"/>
    </row>
    <row r="3688" spans="1:25" s="88" customFormat="1" ht="15.75" thickBot="1">
      <c r="A3688" s="551"/>
      <c r="B3688" s="301"/>
      <c r="C3688" s="361"/>
      <c r="D3688" s="296"/>
      <c r="E3688" s="296"/>
      <c r="F3688" s="263"/>
      <c r="G3688" s="274" t="s">
        <v>5206</v>
      </c>
      <c r="H3688" s="640">
        <f>SUM(H3687)</f>
        <v>4300000</v>
      </c>
      <c r="I3688" s="641">
        <f>SUM(I3673:I3687)</f>
        <v>0</v>
      </c>
      <c r="J3688" s="641">
        <f>SUM(H3688)</f>
        <v>4300000</v>
      </c>
      <c r="K3688" s="575"/>
      <c r="L3688" s="575"/>
      <c r="M3688" s="575"/>
      <c r="N3688" s="575"/>
      <c r="O3688" s="575"/>
      <c r="P3688" s="575"/>
      <c r="Q3688" s="575"/>
      <c r="R3688" s="575"/>
      <c r="S3688" s="575"/>
      <c r="T3688" s="575"/>
      <c r="U3688" s="575"/>
      <c r="V3688" s="575"/>
      <c r="W3688" s="575"/>
      <c r="X3688" s="575"/>
      <c r="Y3688" s="575"/>
    </row>
    <row r="3689" spans="1:25" s="88" customFormat="1">
      <c r="A3689" s="551"/>
      <c r="B3689" s="301"/>
      <c r="C3689" s="361"/>
      <c r="D3689" s="296"/>
      <c r="E3689" s="296"/>
      <c r="F3689" s="263"/>
      <c r="G3689" s="295" t="s">
        <v>4329</v>
      </c>
      <c r="H3689" s="646"/>
      <c r="I3689" s="664"/>
      <c r="J3689" s="647"/>
      <c r="K3689" s="575"/>
      <c r="L3689" s="575"/>
      <c r="M3689" s="575"/>
      <c r="N3689" s="575"/>
      <c r="O3689" s="575"/>
      <c r="P3689" s="575"/>
      <c r="Q3689" s="575"/>
      <c r="R3689" s="575"/>
      <c r="S3689" s="575"/>
      <c r="T3689" s="575"/>
      <c r="U3689" s="575"/>
      <c r="V3689" s="575"/>
      <c r="W3689" s="575"/>
      <c r="X3689" s="575"/>
      <c r="Y3689" s="575"/>
    </row>
    <row r="3690" spans="1:25" s="88" customFormat="1" ht="15.75" thickBot="1">
      <c r="A3690" s="551"/>
      <c r="B3690" s="301"/>
      <c r="C3690" s="361"/>
      <c r="D3690" s="296"/>
      <c r="E3690" s="296"/>
      <c r="F3690" s="682" t="s">
        <v>234</v>
      </c>
      <c r="G3690" s="683" t="s">
        <v>235</v>
      </c>
      <c r="H3690" s="638">
        <f>SUM(H3688)</f>
        <v>4300000</v>
      </c>
      <c r="I3690" s="639"/>
      <c r="J3690" s="639">
        <f>SUM(H3690:I3690)</f>
        <v>4300000</v>
      </c>
      <c r="K3690" s="575"/>
      <c r="L3690" s="575"/>
      <c r="M3690" s="575"/>
      <c r="N3690" s="575"/>
      <c r="O3690" s="575"/>
      <c r="P3690" s="575"/>
      <c r="Q3690" s="575"/>
      <c r="R3690" s="575"/>
      <c r="S3690" s="575"/>
      <c r="T3690" s="575"/>
      <c r="U3690" s="575"/>
      <c r="V3690" s="575"/>
      <c r="W3690" s="575"/>
      <c r="X3690" s="575"/>
      <c r="Y3690" s="575"/>
    </row>
    <row r="3691" spans="1:25" s="88" customFormat="1" ht="15.75" thickBot="1">
      <c r="A3691" s="551"/>
      <c r="B3691" s="301"/>
      <c r="C3691" s="361"/>
      <c r="D3691" s="296"/>
      <c r="E3691" s="296"/>
      <c r="F3691" s="263"/>
      <c r="G3691" s="274" t="s">
        <v>4330</v>
      </c>
      <c r="H3691" s="640">
        <f>SUM(H3690)</f>
        <v>4300000</v>
      </c>
      <c r="I3691" s="641">
        <f>SUM(I3676:I3690)</f>
        <v>0</v>
      </c>
      <c r="J3691" s="641">
        <f>SUM(H3691)</f>
        <v>4300000</v>
      </c>
      <c r="K3691" s="575"/>
      <c r="L3691" s="575"/>
      <c r="M3691" s="575"/>
      <c r="N3691" s="575"/>
      <c r="O3691" s="575"/>
      <c r="P3691" s="575"/>
      <c r="Q3691" s="575"/>
      <c r="R3691" s="575"/>
      <c r="S3691" s="575"/>
      <c r="T3691" s="575"/>
      <c r="U3691" s="575"/>
      <c r="V3691" s="575"/>
      <c r="W3691" s="575"/>
      <c r="X3691" s="575"/>
      <c r="Y3691" s="575"/>
    </row>
    <row r="3692" spans="1:25" s="88" customFormat="1" hidden="1">
      <c r="A3692" s="551"/>
      <c r="B3692" s="301"/>
      <c r="C3692" s="361"/>
      <c r="D3692" s="296"/>
      <c r="E3692" s="296"/>
      <c r="F3692" s="263"/>
      <c r="G3692" s="331"/>
      <c r="H3692" s="644"/>
      <c r="I3692" s="645"/>
      <c r="J3692" s="645"/>
      <c r="K3692" s="575"/>
      <c r="L3692" s="575"/>
      <c r="M3692" s="575"/>
      <c r="N3692" s="575"/>
      <c r="O3692" s="575"/>
      <c r="P3692" s="575"/>
      <c r="Q3692" s="575"/>
      <c r="R3692" s="575"/>
      <c r="S3692" s="575"/>
      <c r="T3692" s="575"/>
      <c r="U3692" s="575"/>
      <c r="V3692" s="575"/>
      <c r="W3692" s="575"/>
      <c r="X3692" s="575"/>
      <c r="Y3692" s="575"/>
    </row>
    <row r="3693" spans="1:25" s="88" customFormat="1" hidden="1">
      <c r="K3693" s="575"/>
      <c r="L3693" s="575"/>
      <c r="M3693" s="575"/>
      <c r="N3693" s="575"/>
      <c r="O3693" s="575"/>
      <c r="P3693" s="575"/>
      <c r="Q3693" s="575"/>
      <c r="R3693" s="575"/>
      <c r="S3693" s="575"/>
      <c r="T3693" s="575"/>
      <c r="U3693" s="575"/>
      <c r="V3693" s="575"/>
      <c r="W3693" s="575"/>
      <c r="X3693" s="575"/>
      <c r="Y3693" s="575"/>
    </row>
    <row r="3694" spans="1:25" s="88" customFormat="1" hidden="1">
      <c r="K3694" s="575"/>
      <c r="L3694" s="575"/>
      <c r="M3694" s="575"/>
      <c r="N3694" s="575"/>
      <c r="O3694" s="575"/>
      <c r="P3694" s="575"/>
      <c r="Q3694" s="575"/>
      <c r="R3694" s="575"/>
      <c r="S3694" s="575"/>
      <c r="T3694" s="575"/>
      <c r="U3694" s="575"/>
      <c r="V3694" s="575"/>
      <c r="W3694" s="575"/>
      <c r="X3694" s="575"/>
      <c r="Y3694" s="575"/>
    </row>
    <row r="3695" spans="1:25" s="88" customFormat="1" hidden="1">
      <c r="K3695" s="575"/>
      <c r="L3695" s="575"/>
      <c r="M3695" s="575"/>
      <c r="N3695" s="575"/>
      <c r="O3695" s="575"/>
      <c r="P3695" s="575"/>
      <c r="Q3695" s="575"/>
      <c r="R3695" s="575"/>
      <c r="S3695" s="575"/>
      <c r="T3695" s="575"/>
      <c r="U3695" s="575"/>
      <c r="V3695" s="575"/>
      <c r="W3695" s="575"/>
      <c r="X3695" s="575"/>
      <c r="Y3695" s="575"/>
    </row>
    <row r="3696" spans="1:25" s="88" customFormat="1" hidden="1">
      <c r="K3696" s="575"/>
      <c r="L3696" s="575"/>
      <c r="M3696" s="575"/>
      <c r="N3696" s="575"/>
      <c r="O3696" s="575"/>
      <c r="P3696" s="575"/>
      <c r="Q3696" s="575"/>
      <c r="R3696" s="575"/>
      <c r="S3696" s="575"/>
      <c r="T3696" s="575"/>
      <c r="U3696" s="575"/>
      <c r="V3696" s="575"/>
      <c r="W3696" s="575"/>
      <c r="X3696" s="575"/>
      <c r="Y3696" s="575"/>
    </row>
    <row r="3697" spans="11:25" s="88" customFormat="1" hidden="1">
      <c r="K3697" s="575"/>
      <c r="L3697" s="575"/>
      <c r="M3697" s="575"/>
      <c r="N3697" s="575"/>
      <c r="O3697" s="575"/>
      <c r="P3697" s="575"/>
      <c r="Q3697" s="575"/>
      <c r="R3697" s="575"/>
      <c r="S3697" s="575"/>
      <c r="T3697" s="575"/>
      <c r="U3697" s="575"/>
      <c r="V3697" s="575"/>
      <c r="W3697" s="575"/>
      <c r="X3697" s="575"/>
      <c r="Y3697" s="575"/>
    </row>
    <row r="3698" spans="11:25" s="88" customFormat="1" hidden="1">
      <c r="K3698" s="575"/>
      <c r="L3698" s="575"/>
      <c r="M3698" s="575"/>
      <c r="N3698" s="575"/>
      <c r="O3698" s="575"/>
      <c r="P3698" s="575"/>
      <c r="Q3698" s="575"/>
      <c r="R3698" s="575"/>
      <c r="S3698" s="575"/>
      <c r="T3698" s="575"/>
      <c r="U3698" s="575"/>
      <c r="V3698" s="575"/>
      <c r="W3698" s="575"/>
      <c r="X3698" s="575"/>
      <c r="Y3698" s="575"/>
    </row>
    <row r="3699" spans="11:25" s="88" customFormat="1" hidden="1">
      <c r="K3699" s="575"/>
      <c r="L3699" s="575"/>
      <c r="M3699" s="575"/>
      <c r="N3699" s="575"/>
      <c r="O3699" s="575"/>
      <c r="P3699" s="575"/>
      <c r="Q3699" s="575"/>
      <c r="R3699" s="575"/>
      <c r="S3699" s="575"/>
      <c r="T3699" s="575"/>
      <c r="U3699" s="575"/>
      <c r="V3699" s="575"/>
      <c r="W3699" s="575"/>
      <c r="X3699" s="575"/>
      <c r="Y3699" s="575"/>
    </row>
    <row r="3700" spans="11:25" s="88" customFormat="1" hidden="1">
      <c r="K3700" s="575"/>
      <c r="L3700" s="575"/>
      <c r="M3700" s="575"/>
      <c r="N3700" s="575"/>
      <c r="O3700" s="575"/>
      <c r="P3700" s="575"/>
      <c r="Q3700" s="575"/>
      <c r="R3700" s="575"/>
      <c r="S3700" s="575"/>
      <c r="T3700" s="575"/>
      <c r="U3700" s="575"/>
      <c r="V3700" s="575"/>
      <c r="W3700" s="575"/>
      <c r="X3700" s="575"/>
      <c r="Y3700" s="575"/>
    </row>
    <row r="3701" spans="11:25" s="88" customFormat="1" hidden="1">
      <c r="K3701" s="575"/>
      <c r="L3701" s="575"/>
      <c r="M3701" s="575"/>
      <c r="N3701" s="575"/>
      <c r="O3701" s="575"/>
      <c r="P3701" s="575"/>
      <c r="Q3701" s="575"/>
      <c r="R3701" s="575"/>
      <c r="S3701" s="575"/>
      <c r="T3701" s="575"/>
      <c r="U3701" s="575"/>
      <c r="V3701" s="575"/>
      <c r="W3701" s="575"/>
      <c r="X3701" s="575"/>
      <c r="Y3701" s="575"/>
    </row>
    <row r="3702" spans="11:25" s="88" customFormat="1" hidden="1">
      <c r="K3702" s="575"/>
      <c r="L3702" s="575"/>
      <c r="M3702" s="575"/>
      <c r="N3702" s="575"/>
      <c r="O3702" s="575"/>
      <c r="P3702" s="575"/>
      <c r="Q3702" s="575"/>
      <c r="R3702" s="575"/>
      <c r="S3702" s="575"/>
      <c r="T3702" s="575"/>
      <c r="U3702" s="575"/>
      <c r="V3702" s="575"/>
      <c r="W3702" s="575"/>
      <c r="X3702" s="575"/>
      <c r="Y3702" s="575"/>
    </row>
    <row r="3703" spans="11:25" s="88" customFormat="1" hidden="1">
      <c r="K3703" s="575"/>
      <c r="L3703" s="575"/>
      <c r="M3703" s="575"/>
      <c r="N3703" s="575"/>
      <c r="O3703" s="575"/>
      <c r="P3703" s="575"/>
      <c r="Q3703" s="575"/>
      <c r="R3703" s="575"/>
      <c r="S3703" s="575"/>
      <c r="T3703" s="575"/>
      <c r="U3703" s="575"/>
      <c r="V3703" s="575"/>
      <c r="W3703" s="575"/>
      <c r="X3703" s="575"/>
      <c r="Y3703" s="575"/>
    </row>
    <row r="3704" spans="11:25" s="88" customFormat="1" hidden="1">
      <c r="K3704" s="575"/>
      <c r="L3704" s="575"/>
      <c r="M3704" s="575"/>
      <c r="N3704" s="575"/>
      <c r="O3704" s="575"/>
      <c r="P3704" s="575"/>
      <c r="Q3704" s="575"/>
      <c r="R3704" s="575"/>
      <c r="S3704" s="575"/>
      <c r="T3704" s="575"/>
      <c r="U3704" s="575"/>
      <c r="V3704" s="575"/>
      <c r="W3704" s="575"/>
      <c r="X3704" s="575"/>
      <c r="Y3704" s="575"/>
    </row>
    <row r="3705" spans="11:25" s="88" customFormat="1" hidden="1">
      <c r="K3705" s="575"/>
      <c r="L3705" s="575"/>
      <c r="M3705" s="575"/>
      <c r="N3705" s="575"/>
      <c r="O3705" s="575"/>
      <c r="P3705" s="575"/>
      <c r="Q3705" s="575"/>
      <c r="R3705" s="575"/>
      <c r="S3705" s="575"/>
      <c r="T3705" s="575"/>
      <c r="U3705" s="575"/>
      <c r="V3705" s="575"/>
      <c r="W3705" s="575"/>
      <c r="X3705" s="575"/>
      <c r="Y3705" s="575"/>
    </row>
    <row r="3706" spans="11:25" s="88" customFormat="1" hidden="1">
      <c r="K3706" s="575"/>
      <c r="L3706" s="575"/>
      <c r="M3706" s="575"/>
      <c r="N3706" s="575"/>
      <c r="O3706" s="575"/>
      <c r="P3706" s="575"/>
      <c r="Q3706" s="575"/>
      <c r="R3706" s="575"/>
      <c r="S3706" s="575"/>
      <c r="T3706" s="575"/>
      <c r="U3706" s="575"/>
      <c r="V3706" s="575"/>
      <c r="W3706" s="575"/>
      <c r="X3706" s="575"/>
      <c r="Y3706" s="575"/>
    </row>
    <row r="3707" spans="11:25" s="88" customFormat="1" hidden="1">
      <c r="K3707" s="575"/>
      <c r="L3707" s="575"/>
      <c r="M3707" s="575"/>
      <c r="N3707" s="575"/>
      <c r="O3707" s="575"/>
      <c r="P3707" s="575"/>
      <c r="Q3707" s="575"/>
      <c r="R3707" s="575"/>
      <c r="S3707" s="575"/>
      <c r="T3707" s="575"/>
      <c r="U3707" s="575"/>
      <c r="V3707" s="575"/>
      <c r="W3707" s="575"/>
      <c r="X3707" s="575"/>
      <c r="Y3707" s="575"/>
    </row>
    <row r="3708" spans="11:25" s="88" customFormat="1" hidden="1">
      <c r="K3708" s="575"/>
      <c r="L3708" s="575"/>
      <c r="M3708" s="575"/>
      <c r="N3708" s="575"/>
      <c r="O3708" s="575"/>
      <c r="P3708" s="575"/>
      <c r="Q3708" s="575"/>
      <c r="R3708" s="575"/>
      <c r="S3708" s="575"/>
      <c r="T3708" s="575"/>
      <c r="U3708" s="575"/>
      <c r="V3708" s="575"/>
      <c r="W3708" s="575"/>
      <c r="X3708" s="575"/>
      <c r="Y3708" s="575"/>
    </row>
    <row r="3709" spans="11:25" s="88" customFormat="1" hidden="1">
      <c r="K3709" s="575"/>
      <c r="L3709" s="575"/>
      <c r="M3709" s="575"/>
      <c r="N3709" s="575"/>
      <c r="O3709" s="575"/>
      <c r="P3709" s="575"/>
      <c r="Q3709" s="575"/>
      <c r="R3709" s="575"/>
      <c r="S3709" s="575"/>
      <c r="T3709" s="575"/>
      <c r="U3709" s="575"/>
      <c r="V3709" s="575"/>
      <c r="W3709" s="575"/>
      <c r="X3709" s="575"/>
      <c r="Y3709" s="575"/>
    </row>
    <row r="3710" spans="11:25" s="88" customFormat="1" hidden="1">
      <c r="K3710" s="575"/>
      <c r="L3710" s="575"/>
      <c r="M3710" s="575"/>
      <c r="N3710" s="575"/>
      <c r="O3710" s="575"/>
      <c r="P3710" s="575"/>
      <c r="Q3710" s="575"/>
      <c r="R3710" s="575"/>
      <c r="S3710" s="575"/>
      <c r="T3710" s="575"/>
      <c r="U3710" s="575"/>
      <c r="V3710" s="575"/>
      <c r="W3710" s="575"/>
      <c r="X3710" s="575"/>
      <c r="Y3710" s="575"/>
    </row>
    <row r="3711" spans="11:25" s="88" customFormat="1" hidden="1">
      <c r="K3711" s="575"/>
      <c r="L3711" s="575"/>
      <c r="M3711" s="575"/>
      <c r="N3711" s="575"/>
      <c r="O3711" s="575"/>
      <c r="P3711" s="575"/>
      <c r="Q3711" s="575"/>
      <c r="R3711" s="575"/>
      <c r="S3711" s="575"/>
      <c r="T3711" s="575"/>
      <c r="U3711" s="575"/>
      <c r="V3711" s="575"/>
      <c r="W3711" s="575"/>
      <c r="X3711" s="575"/>
      <c r="Y3711" s="575"/>
    </row>
    <row r="3712" spans="11:25" s="88" customFormat="1" hidden="1">
      <c r="K3712" s="575"/>
      <c r="L3712" s="575"/>
      <c r="M3712" s="575"/>
      <c r="N3712" s="575"/>
      <c r="O3712" s="575"/>
      <c r="P3712" s="575"/>
      <c r="Q3712" s="575"/>
      <c r="R3712" s="575"/>
      <c r="S3712" s="575"/>
      <c r="T3712" s="575"/>
      <c r="U3712" s="575"/>
      <c r="V3712" s="575"/>
      <c r="W3712" s="575"/>
      <c r="X3712" s="575"/>
      <c r="Y3712" s="575"/>
    </row>
    <row r="3713" spans="11:25" s="88" customFormat="1" hidden="1">
      <c r="K3713" s="575"/>
      <c r="L3713" s="575"/>
      <c r="M3713" s="575"/>
      <c r="N3713" s="575"/>
      <c r="O3713" s="575"/>
      <c r="P3713" s="575"/>
      <c r="Q3713" s="575"/>
      <c r="R3713" s="575"/>
      <c r="S3713" s="575"/>
      <c r="T3713" s="575"/>
      <c r="U3713" s="575"/>
      <c r="V3713" s="575"/>
      <c r="W3713" s="575"/>
      <c r="X3713" s="575"/>
      <c r="Y3713" s="575"/>
    </row>
    <row r="3714" spans="11:25" s="88" customFormat="1" hidden="1">
      <c r="K3714" s="575"/>
      <c r="L3714" s="575"/>
      <c r="M3714" s="575"/>
      <c r="N3714" s="575"/>
      <c r="O3714" s="575"/>
      <c r="P3714" s="575"/>
      <c r="Q3714" s="575"/>
      <c r="R3714" s="575"/>
      <c r="S3714" s="575"/>
      <c r="T3714" s="575"/>
      <c r="U3714" s="575"/>
      <c r="V3714" s="575"/>
      <c r="W3714" s="575"/>
      <c r="X3714" s="575"/>
      <c r="Y3714" s="575"/>
    </row>
    <row r="3715" spans="11:25" s="88" customFormat="1" hidden="1">
      <c r="K3715" s="575"/>
      <c r="L3715" s="575"/>
      <c r="M3715" s="575"/>
      <c r="N3715" s="575"/>
      <c r="O3715" s="575"/>
      <c r="P3715" s="575"/>
      <c r="Q3715" s="575"/>
      <c r="R3715" s="575"/>
      <c r="S3715" s="575"/>
      <c r="T3715" s="575"/>
      <c r="U3715" s="575"/>
      <c r="V3715" s="575"/>
      <c r="W3715" s="575"/>
      <c r="X3715" s="575"/>
      <c r="Y3715" s="575"/>
    </row>
    <row r="3716" spans="11:25" s="88" customFormat="1" hidden="1">
      <c r="K3716" s="575"/>
      <c r="L3716" s="575"/>
      <c r="M3716" s="575"/>
      <c r="N3716" s="575"/>
      <c r="O3716" s="575"/>
      <c r="P3716" s="575"/>
      <c r="Q3716" s="575"/>
      <c r="R3716" s="575"/>
      <c r="S3716" s="575"/>
      <c r="T3716" s="575"/>
      <c r="U3716" s="575"/>
      <c r="V3716" s="575"/>
      <c r="W3716" s="575"/>
      <c r="X3716" s="575"/>
      <c r="Y3716" s="575"/>
    </row>
    <row r="3717" spans="11:25" s="88" customFormat="1" hidden="1">
      <c r="K3717" s="575"/>
      <c r="L3717" s="575"/>
      <c r="M3717" s="575"/>
      <c r="N3717" s="575"/>
      <c r="O3717" s="575"/>
      <c r="P3717" s="575"/>
      <c r="Q3717" s="575"/>
      <c r="R3717" s="575"/>
      <c r="S3717" s="575"/>
      <c r="T3717" s="575"/>
      <c r="U3717" s="575"/>
      <c r="V3717" s="575"/>
      <c r="W3717" s="575"/>
      <c r="X3717" s="575"/>
      <c r="Y3717" s="575"/>
    </row>
    <row r="3718" spans="11:25" s="88" customFormat="1" hidden="1">
      <c r="K3718" s="575"/>
      <c r="L3718" s="575"/>
      <c r="M3718" s="575"/>
      <c r="N3718" s="575"/>
      <c r="O3718" s="575"/>
      <c r="P3718" s="575"/>
      <c r="Q3718" s="575"/>
      <c r="R3718" s="575"/>
      <c r="S3718" s="575"/>
      <c r="T3718" s="575"/>
      <c r="U3718" s="575"/>
      <c r="V3718" s="575"/>
      <c r="W3718" s="575"/>
      <c r="X3718" s="575"/>
      <c r="Y3718" s="575"/>
    </row>
    <row r="3719" spans="11:25" s="88" customFormat="1" hidden="1">
      <c r="K3719" s="575"/>
      <c r="L3719" s="575"/>
      <c r="M3719" s="575"/>
      <c r="N3719" s="575"/>
      <c r="O3719" s="575"/>
      <c r="P3719" s="575"/>
      <c r="Q3719" s="575"/>
      <c r="R3719" s="575"/>
      <c r="S3719" s="575"/>
      <c r="T3719" s="575"/>
      <c r="U3719" s="575"/>
      <c r="V3719" s="575"/>
      <c r="W3719" s="575"/>
      <c r="X3719" s="575"/>
      <c r="Y3719" s="575"/>
    </row>
    <row r="3720" spans="11:25" s="88" customFormat="1" hidden="1">
      <c r="K3720" s="575"/>
      <c r="L3720" s="575"/>
      <c r="M3720" s="575"/>
      <c r="N3720" s="575"/>
      <c r="O3720" s="575"/>
      <c r="P3720" s="575"/>
      <c r="Q3720" s="575"/>
      <c r="R3720" s="575"/>
      <c r="S3720" s="575"/>
      <c r="T3720" s="575"/>
      <c r="U3720" s="575"/>
      <c r="V3720" s="575"/>
      <c r="W3720" s="575"/>
      <c r="X3720" s="575"/>
      <c r="Y3720" s="575"/>
    </row>
    <row r="3721" spans="11:25" s="88" customFormat="1" hidden="1">
      <c r="K3721" s="575"/>
      <c r="L3721" s="575"/>
      <c r="M3721" s="575"/>
      <c r="N3721" s="575"/>
      <c r="O3721" s="575"/>
      <c r="P3721" s="575"/>
      <c r="Q3721" s="575"/>
      <c r="R3721" s="575"/>
      <c r="S3721" s="575"/>
      <c r="T3721" s="575"/>
      <c r="U3721" s="575"/>
      <c r="V3721" s="575"/>
      <c r="W3721" s="575"/>
      <c r="X3721" s="575"/>
      <c r="Y3721" s="575"/>
    </row>
    <row r="3722" spans="11:25" s="88" customFormat="1" hidden="1">
      <c r="K3722" s="575"/>
      <c r="L3722" s="575"/>
      <c r="M3722" s="575"/>
      <c r="N3722" s="575"/>
      <c r="O3722" s="575"/>
      <c r="P3722" s="575"/>
      <c r="Q3722" s="575"/>
      <c r="R3722" s="575"/>
      <c r="S3722" s="575"/>
      <c r="T3722" s="575"/>
      <c r="U3722" s="575"/>
      <c r="V3722" s="575"/>
      <c r="W3722" s="575"/>
      <c r="X3722" s="575"/>
      <c r="Y3722" s="575"/>
    </row>
    <row r="3723" spans="11:25" s="88" customFormat="1" hidden="1">
      <c r="K3723" s="575"/>
      <c r="L3723" s="575"/>
      <c r="M3723" s="575"/>
      <c r="N3723" s="575"/>
      <c r="O3723" s="575"/>
      <c r="P3723" s="575"/>
      <c r="Q3723" s="575"/>
      <c r="R3723" s="575"/>
      <c r="S3723" s="575"/>
      <c r="T3723" s="575"/>
      <c r="U3723" s="575"/>
      <c r="V3723" s="575"/>
      <c r="W3723" s="575"/>
      <c r="X3723" s="575"/>
      <c r="Y3723" s="575"/>
    </row>
    <row r="3724" spans="11:25" s="88" customFormat="1" hidden="1">
      <c r="K3724" s="575"/>
      <c r="L3724" s="575"/>
      <c r="M3724" s="575"/>
      <c r="N3724" s="575"/>
      <c r="O3724" s="575"/>
      <c r="P3724" s="575"/>
      <c r="Q3724" s="575"/>
      <c r="R3724" s="575"/>
      <c r="S3724" s="575"/>
      <c r="T3724" s="575"/>
      <c r="U3724" s="575"/>
      <c r="V3724" s="575"/>
      <c r="W3724" s="575"/>
      <c r="X3724" s="575"/>
      <c r="Y3724" s="575"/>
    </row>
    <row r="3725" spans="11:25" s="88" customFormat="1" hidden="1">
      <c r="K3725" s="575"/>
      <c r="L3725" s="575"/>
      <c r="M3725" s="575"/>
      <c r="N3725" s="575"/>
      <c r="O3725" s="575"/>
      <c r="P3725" s="575"/>
      <c r="Q3725" s="575"/>
      <c r="R3725" s="575"/>
      <c r="S3725" s="575"/>
      <c r="T3725" s="575"/>
      <c r="U3725" s="575"/>
      <c r="V3725" s="575"/>
      <c r="W3725" s="575"/>
      <c r="X3725" s="575"/>
      <c r="Y3725" s="575"/>
    </row>
    <row r="3726" spans="11:25" s="88" customFormat="1" hidden="1">
      <c r="K3726" s="575"/>
      <c r="L3726" s="575"/>
      <c r="M3726" s="575"/>
      <c r="N3726" s="575"/>
      <c r="O3726" s="575"/>
      <c r="P3726" s="575"/>
      <c r="Q3726" s="575"/>
      <c r="R3726" s="575"/>
      <c r="S3726" s="575"/>
      <c r="T3726" s="575"/>
      <c r="U3726" s="575"/>
      <c r="V3726" s="575"/>
      <c r="W3726" s="575"/>
      <c r="X3726" s="575"/>
      <c r="Y3726" s="575"/>
    </row>
    <row r="3727" spans="11:25" s="88" customFormat="1" hidden="1">
      <c r="K3727" s="575"/>
      <c r="L3727" s="575"/>
      <c r="M3727" s="575"/>
      <c r="N3727" s="575"/>
      <c r="O3727" s="575"/>
      <c r="P3727" s="575"/>
      <c r="Q3727" s="575"/>
      <c r="R3727" s="575"/>
      <c r="S3727" s="575"/>
      <c r="T3727" s="575"/>
      <c r="U3727" s="575"/>
      <c r="V3727" s="575"/>
      <c r="W3727" s="575"/>
      <c r="X3727" s="575"/>
      <c r="Y3727" s="575"/>
    </row>
    <row r="3728" spans="11:25" s="88" customFormat="1" hidden="1">
      <c r="K3728" s="575"/>
      <c r="L3728" s="575"/>
      <c r="M3728" s="575"/>
      <c r="N3728" s="575"/>
      <c r="O3728" s="575"/>
      <c r="P3728" s="575"/>
      <c r="Q3728" s="575"/>
      <c r="R3728" s="575"/>
      <c r="S3728" s="575"/>
      <c r="T3728" s="575"/>
      <c r="U3728" s="575"/>
      <c r="V3728" s="575"/>
      <c r="W3728" s="575"/>
      <c r="X3728" s="575"/>
      <c r="Y3728" s="575"/>
    </row>
    <row r="3729" spans="11:25" s="88" customFormat="1" hidden="1">
      <c r="K3729" s="575"/>
      <c r="L3729" s="575"/>
      <c r="M3729" s="575"/>
      <c r="N3729" s="575"/>
      <c r="O3729" s="575"/>
      <c r="P3729" s="575"/>
      <c r="Q3729" s="575"/>
      <c r="R3729" s="575"/>
      <c r="S3729" s="575"/>
      <c r="T3729" s="575"/>
      <c r="U3729" s="575"/>
      <c r="V3729" s="575"/>
      <c r="W3729" s="575"/>
      <c r="X3729" s="575"/>
      <c r="Y3729" s="575"/>
    </row>
    <row r="3730" spans="11:25" s="88" customFormat="1" hidden="1">
      <c r="K3730" s="575"/>
      <c r="L3730" s="575"/>
      <c r="M3730" s="575"/>
      <c r="N3730" s="575"/>
      <c r="O3730" s="575"/>
      <c r="P3730" s="575"/>
      <c r="Q3730" s="575"/>
      <c r="R3730" s="575"/>
      <c r="S3730" s="575"/>
      <c r="T3730" s="575"/>
      <c r="U3730" s="575"/>
      <c r="V3730" s="575"/>
      <c r="W3730" s="575"/>
      <c r="X3730" s="575"/>
      <c r="Y3730" s="575"/>
    </row>
    <row r="3731" spans="11:25" s="88" customFormat="1" hidden="1">
      <c r="K3731" s="575"/>
      <c r="L3731" s="575"/>
      <c r="M3731" s="575"/>
      <c r="N3731" s="575"/>
      <c r="O3731" s="575"/>
      <c r="P3731" s="575"/>
      <c r="Q3731" s="575"/>
      <c r="R3731" s="575"/>
      <c r="S3731" s="575"/>
      <c r="T3731" s="575"/>
      <c r="U3731" s="575"/>
      <c r="V3731" s="575"/>
      <c r="W3731" s="575"/>
      <c r="X3731" s="575"/>
      <c r="Y3731" s="575"/>
    </row>
    <row r="3732" spans="11:25" s="88" customFormat="1" hidden="1">
      <c r="K3732" s="575"/>
      <c r="L3732" s="575"/>
      <c r="M3732" s="575"/>
      <c r="N3732" s="575"/>
      <c r="O3732" s="575"/>
      <c r="P3732" s="575"/>
      <c r="Q3732" s="575"/>
      <c r="R3732" s="575"/>
      <c r="S3732" s="575"/>
      <c r="T3732" s="575"/>
      <c r="U3732" s="575"/>
      <c r="V3732" s="575"/>
      <c r="W3732" s="575"/>
      <c r="X3732" s="575"/>
      <c r="Y3732" s="575"/>
    </row>
    <row r="3733" spans="11:25" s="88" customFormat="1" hidden="1">
      <c r="K3733" s="575"/>
      <c r="L3733" s="575"/>
      <c r="M3733" s="575"/>
      <c r="N3733" s="575"/>
      <c r="O3733" s="575"/>
      <c r="P3733" s="575"/>
      <c r="Q3733" s="575"/>
      <c r="R3733" s="575"/>
      <c r="S3733" s="575"/>
      <c r="T3733" s="575"/>
      <c r="U3733" s="575"/>
      <c r="V3733" s="575"/>
      <c r="W3733" s="575"/>
      <c r="X3733" s="575"/>
      <c r="Y3733" s="575"/>
    </row>
    <row r="3734" spans="11:25" s="88" customFormat="1" hidden="1">
      <c r="K3734" s="575"/>
      <c r="L3734" s="575"/>
      <c r="M3734" s="575"/>
      <c r="N3734" s="575"/>
      <c r="O3734" s="575"/>
      <c r="P3734" s="575"/>
      <c r="Q3734" s="575"/>
      <c r="R3734" s="575"/>
      <c r="S3734" s="575"/>
      <c r="T3734" s="575"/>
      <c r="U3734" s="575"/>
      <c r="V3734" s="575"/>
      <c r="W3734" s="575"/>
      <c r="X3734" s="575"/>
      <c r="Y3734" s="575"/>
    </row>
    <row r="3735" spans="11:25" s="88" customFormat="1" hidden="1">
      <c r="K3735" s="575"/>
      <c r="L3735" s="575"/>
      <c r="M3735" s="575"/>
      <c r="N3735" s="575"/>
      <c r="O3735" s="575"/>
      <c r="P3735" s="575"/>
      <c r="Q3735" s="575"/>
      <c r="R3735" s="575"/>
      <c r="S3735" s="575"/>
      <c r="T3735" s="575"/>
      <c r="U3735" s="575"/>
      <c r="V3735" s="575"/>
      <c r="W3735" s="575"/>
      <c r="X3735" s="575"/>
      <c r="Y3735" s="575"/>
    </row>
    <row r="3736" spans="11:25" s="88" customFormat="1" hidden="1">
      <c r="K3736" s="575"/>
      <c r="L3736" s="575"/>
      <c r="M3736" s="575"/>
      <c r="N3736" s="575"/>
      <c r="O3736" s="575"/>
      <c r="P3736" s="575"/>
      <c r="Q3736" s="575"/>
      <c r="R3736" s="575"/>
      <c r="S3736" s="575"/>
      <c r="T3736" s="575"/>
      <c r="U3736" s="575"/>
      <c r="V3736" s="575"/>
      <c r="W3736" s="575"/>
      <c r="X3736" s="575"/>
      <c r="Y3736" s="575"/>
    </row>
    <row r="3737" spans="11:25" s="88" customFormat="1" hidden="1">
      <c r="K3737" s="575"/>
      <c r="L3737" s="575"/>
      <c r="M3737" s="575"/>
      <c r="N3737" s="575"/>
      <c r="O3737" s="575"/>
      <c r="P3737" s="575"/>
      <c r="Q3737" s="575"/>
      <c r="R3737" s="575"/>
      <c r="S3737" s="575"/>
      <c r="T3737" s="575"/>
      <c r="U3737" s="575"/>
      <c r="V3737" s="575"/>
      <c r="W3737" s="575"/>
      <c r="X3737" s="575"/>
      <c r="Y3737" s="575"/>
    </row>
    <row r="3738" spans="11:25" s="88" customFormat="1" hidden="1">
      <c r="K3738" s="575"/>
      <c r="L3738" s="575"/>
      <c r="M3738" s="575"/>
      <c r="N3738" s="575"/>
      <c r="O3738" s="575"/>
      <c r="P3738" s="575"/>
      <c r="Q3738" s="575"/>
      <c r="R3738" s="575"/>
      <c r="S3738" s="575"/>
      <c r="T3738" s="575"/>
      <c r="U3738" s="575"/>
      <c r="V3738" s="575"/>
      <c r="W3738" s="575"/>
      <c r="X3738" s="575"/>
      <c r="Y3738" s="575"/>
    </row>
    <row r="3739" spans="11:25" s="88" customFormat="1" hidden="1">
      <c r="K3739" s="575"/>
      <c r="L3739" s="575"/>
      <c r="M3739" s="575"/>
      <c r="N3739" s="575"/>
      <c r="O3739" s="575"/>
      <c r="P3739" s="575"/>
      <c r="Q3739" s="575"/>
      <c r="R3739" s="575"/>
      <c r="S3739" s="575"/>
      <c r="T3739" s="575"/>
      <c r="U3739" s="575"/>
      <c r="V3739" s="575"/>
      <c r="W3739" s="575"/>
      <c r="X3739" s="575"/>
      <c r="Y3739" s="575"/>
    </row>
    <row r="3740" spans="11:25" s="88" customFormat="1" hidden="1">
      <c r="K3740" s="575"/>
      <c r="L3740" s="575"/>
      <c r="M3740" s="575"/>
      <c r="N3740" s="575"/>
      <c r="O3740" s="575"/>
      <c r="P3740" s="575"/>
      <c r="Q3740" s="575"/>
      <c r="R3740" s="575"/>
      <c r="S3740" s="575"/>
      <c r="T3740" s="575"/>
      <c r="U3740" s="575"/>
      <c r="V3740" s="575"/>
      <c r="W3740" s="575"/>
      <c r="X3740" s="575"/>
      <c r="Y3740" s="575"/>
    </row>
    <row r="3741" spans="11:25" s="88" customFormat="1" hidden="1">
      <c r="K3741" s="575"/>
      <c r="L3741" s="575"/>
      <c r="M3741" s="575"/>
      <c r="N3741" s="575"/>
      <c r="O3741" s="575"/>
      <c r="P3741" s="575"/>
      <c r="Q3741" s="575"/>
      <c r="R3741" s="575"/>
      <c r="S3741" s="575"/>
      <c r="T3741" s="575"/>
      <c r="U3741" s="575"/>
      <c r="V3741" s="575"/>
      <c r="W3741" s="575"/>
      <c r="X3741" s="575"/>
      <c r="Y3741" s="575"/>
    </row>
    <row r="3742" spans="11:25" s="88" customFormat="1" hidden="1">
      <c r="K3742" s="575"/>
      <c r="L3742" s="575"/>
      <c r="M3742" s="575"/>
      <c r="N3742" s="575"/>
      <c r="O3742" s="575"/>
      <c r="P3742" s="575"/>
      <c r="Q3742" s="575"/>
      <c r="R3742" s="575"/>
      <c r="S3742" s="575"/>
      <c r="T3742" s="575"/>
      <c r="U3742" s="575"/>
      <c r="V3742" s="575"/>
      <c r="W3742" s="575"/>
      <c r="X3742" s="575"/>
      <c r="Y3742" s="575"/>
    </row>
    <row r="3743" spans="11:25" s="88" customFormat="1" hidden="1">
      <c r="K3743" s="575"/>
      <c r="L3743" s="575"/>
      <c r="M3743" s="575"/>
      <c r="N3743" s="575"/>
      <c r="O3743" s="575"/>
      <c r="P3743" s="575"/>
      <c r="Q3743" s="575"/>
      <c r="R3743" s="575"/>
      <c r="S3743" s="575"/>
      <c r="T3743" s="575"/>
      <c r="U3743" s="575"/>
      <c r="V3743" s="575"/>
      <c r="W3743" s="575"/>
      <c r="X3743" s="575"/>
      <c r="Y3743" s="575"/>
    </row>
    <row r="3744" spans="11:25" s="88" customFormat="1" hidden="1">
      <c r="K3744" s="575"/>
      <c r="L3744" s="575"/>
      <c r="M3744" s="575"/>
      <c r="N3744" s="575"/>
      <c r="O3744" s="575"/>
      <c r="P3744" s="575"/>
      <c r="Q3744" s="575"/>
      <c r="R3744" s="575"/>
      <c r="S3744" s="575"/>
      <c r="T3744" s="575"/>
      <c r="U3744" s="575"/>
      <c r="V3744" s="575"/>
      <c r="W3744" s="575"/>
      <c r="X3744" s="575"/>
      <c r="Y3744" s="575"/>
    </row>
    <row r="3745" spans="11:25" s="88" customFormat="1" hidden="1">
      <c r="K3745" s="575"/>
      <c r="L3745" s="575"/>
      <c r="M3745" s="575"/>
      <c r="N3745" s="575"/>
      <c r="O3745" s="575"/>
      <c r="P3745" s="575"/>
      <c r="Q3745" s="575"/>
      <c r="R3745" s="575"/>
      <c r="S3745" s="575"/>
      <c r="T3745" s="575"/>
      <c r="U3745" s="575"/>
      <c r="V3745" s="575"/>
      <c r="W3745" s="575"/>
      <c r="X3745" s="575"/>
      <c r="Y3745" s="575"/>
    </row>
    <row r="3746" spans="11:25" s="88" customFormat="1" hidden="1">
      <c r="K3746" s="575"/>
      <c r="L3746" s="575"/>
      <c r="M3746" s="575"/>
      <c r="N3746" s="575"/>
      <c r="O3746" s="575"/>
      <c r="P3746" s="575"/>
      <c r="Q3746" s="575"/>
      <c r="R3746" s="575"/>
      <c r="S3746" s="575"/>
      <c r="T3746" s="575"/>
      <c r="U3746" s="575"/>
      <c r="V3746" s="575"/>
      <c r="W3746" s="575"/>
      <c r="X3746" s="575"/>
      <c r="Y3746" s="575"/>
    </row>
    <row r="3747" spans="11:25" s="88" customFormat="1" hidden="1">
      <c r="K3747" s="575"/>
      <c r="L3747" s="575"/>
      <c r="M3747" s="575"/>
      <c r="N3747" s="575"/>
      <c r="O3747" s="575"/>
      <c r="P3747" s="575"/>
      <c r="Q3747" s="575"/>
      <c r="R3747" s="575"/>
      <c r="S3747" s="575"/>
      <c r="T3747" s="575"/>
      <c r="U3747" s="575"/>
      <c r="V3747" s="575"/>
      <c r="W3747" s="575"/>
      <c r="X3747" s="575"/>
      <c r="Y3747" s="575"/>
    </row>
    <row r="3748" spans="11:25" s="88" customFormat="1" hidden="1">
      <c r="K3748" s="575"/>
      <c r="L3748" s="575"/>
      <c r="M3748" s="575"/>
      <c r="N3748" s="575"/>
      <c r="O3748" s="575"/>
      <c r="P3748" s="575"/>
      <c r="Q3748" s="575"/>
      <c r="R3748" s="575"/>
      <c r="S3748" s="575"/>
      <c r="T3748" s="575"/>
      <c r="U3748" s="575"/>
      <c r="V3748" s="575"/>
      <c r="W3748" s="575"/>
      <c r="X3748" s="575"/>
      <c r="Y3748" s="575"/>
    </row>
    <row r="3749" spans="11:25" s="88" customFormat="1" hidden="1">
      <c r="K3749" s="575"/>
      <c r="L3749" s="575"/>
      <c r="M3749" s="575"/>
      <c r="N3749" s="575"/>
      <c r="O3749" s="575"/>
      <c r="P3749" s="575"/>
      <c r="Q3749" s="575"/>
      <c r="R3749" s="575"/>
      <c r="S3749" s="575"/>
      <c r="T3749" s="575"/>
      <c r="U3749" s="575"/>
      <c r="V3749" s="575"/>
      <c r="W3749" s="575"/>
      <c r="X3749" s="575"/>
      <c r="Y3749" s="575"/>
    </row>
    <row r="3750" spans="11:25" s="88" customFormat="1" hidden="1">
      <c r="K3750" s="575"/>
      <c r="L3750" s="575"/>
      <c r="M3750" s="575"/>
      <c r="N3750" s="575"/>
      <c r="O3750" s="575"/>
      <c r="P3750" s="575"/>
      <c r="Q3750" s="575"/>
      <c r="R3750" s="575"/>
      <c r="S3750" s="575"/>
      <c r="T3750" s="575"/>
      <c r="U3750" s="575"/>
      <c r="V3750" s="575"/>
      <c r="W3750" s="575"/>
      <c r="X3750" s="575"/>
      <c r="Y3750" s="575"/>
    </row>
    <row r="3751" spans="11:25" s="88" customFormat="1" hidden="1">
      <c r="K3751" s="575"/>
      <c r="L3751" s="575"/>
      <c r="M3751" s="575"/>
      <c r="N3751" s="575"/>
      <c r="O3751" s="575"/>
      <c r="P3751" s="575"/>
      <c r="Q3751" s="575"/>
      <c r="R3751" s="575"/>
      <c r="S3751" s="575"/>
      <c r="T3751" s="575"/>
      <c r="U3751" s="575"/>
      <c r="V3751" s="575"/>
      <c r="W3751" s="575"/>
      <c r="X3751" s="575"/>
      <c r="Y3751" s="575"/>
    </row>
    <row r="3752" spans="11:25" s="88" customFormat="1" hidden="1">
      <c r="K3752" s="575"/>
      <c r="L3752" s="575"/>
      <c r="M3752" s="575"/>
      <c r="N3752" s="575"/>
      <c r="O3752" s="575"/>
      <c r="P3752" s="575"/>
      <c r="Q3752" s="575"/>
      <c r="R3752" s="575"/>
      <c r="S3752" s="575"/>
      <c r="T3752" s="575"/>
      <c r="U3752" s="575"/>
      <c r="V3752" s="575"/>
      <c r="W3752" s="575"/>
      <c r="X3752" s="575"/>
      <c r="Y3752" s="575"/>
    </row>
    <row r="3753" spans="11:25" s="88" customFormat="1" hidden="1">
      <c r="K3753" s="575"/>
      <c r="L3753" s="575"/>
      <c r="M3753" s="575"/>
      <c r="N3753" s="575"/>
      <c r="O3753" s="575"/>
      <c r="P3753" s="575"/>
      <c r="Q3753" s="575"/>
      <c r="R3753" s="575"/>
      <c r="S3753" s="575"/>
      <c r="T3753" s="575"/>
      <c r="U3753" s="575"/>
      <c r="V3753" s="575"/>
      <c r="W3753" s="575"/>
      <c r="X3753" s="575"/>
      <c r="Y3753" s="575"/>
    </row>
    <row r="3754" spans="11:25" s="88" customFormat="1" hidden="1">
      <c r="K3754" s="575"/>
      <c r="L3754" s="575"/>
      <c r="M3754" s="575"/>
      <c r="N3754" s="575"/>
      <c r="O3754" s="575"/>
      <c r="P3754" s="575"/>
      <c r="Q3754" s="575"/>
      <c r="R3754" s="575"/>
      <c r="S3754" s="575"/>
      <c r="T3754" s="575"/>
      <c r="U3754" s="575"/>
      <c r="V3754" s="575"/>
      <c r="W3754" s="575"/>
      <c r="X3754" s="575"/>
      <c r="Y3754" s="575"/>
    </row>
    <row r="3755" spans="11:25" s="88" customFormat="1" hidden="1">
      <c r="K3755" s="575"/>
      <c r="L3755" s="575"/>
      <c r="M3755" s="575"/>
      <c r="N3755" s="575"/>
      <c r="O3755" s="575"/>
      <c r="P3755" s="575"/>
      <c r="Q3755" s="575"/>
      <c r="R3755" s="575"/>
      <c r="S3755" s="575"/>
      <c r="T3755" s="575"/>
      <c r="U3755" s="575"/>
      <c r="V3755" s="575"/>
      <c r="W3755" s="575"/>
      <c r="X3755" s="575"/>
      <c r="Y3755" s="575"/>
    </row>
    <row r="3756" spans="11:25" s="88" customFormat="1" hidden="1">
      <c r="K3756" s="575"/>
      <c r="L3756" s="575"/>
      <c r="M3756" s="575"/>
      <c r="N3756" s="575"/>
      <c r="O3756" s="575"/>
      <c r="P3756" s="575"/>
      <c r="Q3756" s="575"/>
      <c r="R3756" s="575"/>
      <c r="S3756" s="575"/>
      <c r="T3756" s="575"/>
      <c r="U3756" s="575"/>
      <c r="V3756" s="575"/>
      <c r="W3756" s="575"/>
      <c r="X3756" s="575"/>
      <c r="Y3756" s="575"/>
    </row>
    <row r="3757" spans="11:25" s="88" customFormat="1" hidden="1">
      <c r="K3757" s="575"/>
      <c r="L3757" s="575"/>
      <c r="M3757" s="575"/>
      <c r="N3757" s="575"/>
      <c r="O3757" s="575"/>
      <c r="P3757" s="575"/>
      <c r="Q3757" s="575"/>
      <c r="R3757" s="575"/>
      <c r="S3757" s="575"/>
      <c r="T3757" s="575"/>
      <c r="U3757" s="575"/>
      <c r="V3757" s="575"/>
      <c r="W3757" s="575"/>
      <c r="X3757" s="575"/>
      <c r="Y3757" s="575"/>
    </row>
    <row r="3758" spans="11:25" s="88" customFormat="1" hidden="1">
      <c r="K3758" s="575"/>
      <c r="L3758" s="575"/>
      <c r="M3758" s="575"/>
      <c r="N3758" s="575"/>
      <c r="O3758" s="575"/>
      <c r="P3758" s="575"/>
      <c r="Q3758" s="575"/>
      <c r="R3758" s="575"/>
      <c r="S3758" s="575"/>
      <c r="T3758" s="575"/>
      <c r="U3758" s="575"/>
      <c r="V3758" s="575"/>
      <c r="W3758" s="575"/>
      <c r="X3758" s="575"/>
      <c r="Y3758" s="575"/>
    </row>
    <row r="3759" spans="11:25" s="88" customFormat="1" hidden="1">
      <c r="K3759" s="575"/>
      <c r="L3759" s="575"/>
      <c r="M3759" s="575"/>
      <c r="N3759" s="575"/>
      <c r="O3759" s="575"/>
      <c r="P3759" s="575"/>
      <c r="Q3759" s="575"/>
      <c r="R3759" s="575"/>
      <c r="S3759" s="575"/>
      <c r="T3759" s="575"/>
      <c r="U3759" s="575"/>
      <c r="V3759" s="575"/>
      <c r="W3759" s="575"/>
      <c r="X3759" s="575"/>
      <c r="Y3759" s="575"/>
    </row>
    <row r="3760" spans="11:25" s="88" customFormat="1" hidden="1">
      <c r="K3760" s="575"/>
      <c r="L3760" s="575"/>
      <c r="M3760" s="575"/>
      <c r="N3760" s="575"/>
      <c r="O3760" s="575"/>
      <c r="P3760" s="575"/>
      <c r="Q3760" s="575"/>
      <c r="R3760" s="575"/>
      <c r="S3760" s="575"/>
      <c r="T3760" s="575"/>
      <c r="U3760" s="575"/>
      <c r="V3760" s="575"/>
      <c r="W3760" s="575"/>
      <c r="X3760" s="575"/>
      <c r="Y3760" s="575"/>
    </row>
    <row r="3761" spans="11:25" s="88" customFormat="1" hidden="1">
      <c r="K3761" s="575"/>
      <c r="L3761" s="575"/>
      <c r="M3761" s="575"/>
      <c r="N3761" s="575"/>
      <c r="O3761" s="575"/>
      <c r="P3761" s="575"/>
      <c r="Q3761" s="575"/>
      <c r="R3761" s="575"/>
      <c r="S3761" s="575"/>
      <c r="T3761" s="575"/>
      <c r="U3761" s="575"/>
      <c r="V3761" s="575"/>
      <c r="W3761" s="575"/>
      <c r="X3761" s="575"/>
      <c r="Y3761" s="575"/>
    </row>
    <row r="3762" spans="11:25" s="88" customFormat="1" hidden="1">
      <c r="K3762" s="575"/>
      <c r="L3762" s="575"/>
      <c r="M3762" s="575"/>
      <c r="N3762" s="575"/>
      <c r="O3762" s="575"/>
      <c r="P3762" s="575"/>
      <c r="Q3762" s="575"/>
      <c r="R3762" s="575"/>
      <c r="S3762" s="575"/>
      <c r="T3762" s="575"/>
      <c r="U3762" s="575"/>
      <c r="V3762" s="575"/>
      <c r="W3762" s="575"/>
      <c r="X3762" s="575"/>
      <c r="Y3762" s="575"/>
    </row>
    <row r="3763" spans="11:25" s="88" customFormat="1" hidden="1">
      <c r="K3763" s="575"/>
      <c r="L3763" s="575"/>
      <c r="M3763" s="575"/>
      <c r="N3763" s="575"/>
      <c r="O3763" s="575"/>
      <c r="P3763" s="575"/>
      <c r="Q3763" s="575"/>
      <c r="R3763" s="575"/>
      <c r="S3763" s="575"/>
      <c r="T3763" s="575"/>
      <c r="U3763" s="575"/>
      <c r="V3763" s="575"/>
      <c r="W3763" s="575"/>
      <c r="X3763" s="575"/>
      <c r="Y3763" s="575"/>
    </row>
    <row r="3764" spans="11:25" s="88" customFormat="1" hidden="1">
      <c r="K3764" s="575"/>
      <c r="L3764" s="575"/>
      <c r="M3764" s="575"/>
      <c r="N3764" s="575"/>
      <c r="O3764" s="575"/>
      <c r="P3764" s="575"/>
      <c r="Q3764" s="575"/>
      <c r="R3764" s="575"/>
      <c r="S3764" s="575"/>
      <c r="T3764" s="575"/>
      <c r="U3764" s="575"/>
      <c r="V3764" s="575"/>
      <c r="W3764" s="575"/>
      <c r="X3764" s="575"/>
      <c r="Y3764" s="575"/>
    </row>
    <row r="3765" spans="11:25" s="88" customFormat="1" hidden="1">
      <c r="K3765" s="575"/>
      <c r="L3765" s="575"/>
      <c r="M3765" s="575"/>
      <c r="N3765" s="575"/>
      <c r="O3765" s="575"/>
      <c r="P3765" s="575"/>
      <c r="Q3765" s="575"/>
      <c r="R3765" s="575"/>
      <c r="S3765" s="575"/>
      <c r="T3765" s="575"/>
      <c r="U3765" s="575"/>
      <c r="V3765" s="575"/>
      <c r="W3765" s="575"/>
      <c r="X3765" s="575"/>
      <c r="Y3765" s="575"/>
    </row>
    <row r="3766" spans="11:25" s="88" customFormat="1" hidden="1">
      <c r="K3766" s="575"/>
      <c r="L3766" s="575"/>
      <c r="M3766" s="575"/>
      <c r="N3766" s="575"/>
      <c r="O3766" s="575"/>
      <c r="P3766" s="575"/>
      <c r="Q3766" s="575"/>
      <c r="R3766" s="575"/>
      <c r="S3766" s="575"/>
      <c r="T3766" s="575"/>
      <c r="U3766" s="575"/>
      <c r="V3766" s="575"/>
      <c r="W3766" s="575"/>
      <c r="X3766" s="575"/>
      <c r="Y3766" s="575"/>
    </row>
    <row r="3767" spans="11:25" s="88" customFormat="1" hidden="1">
      <c r="K3767" s="575"/>
      <c r="L3767" s="575"/>
      <c r="M3767" s="575"/>
      <c r="N3767" s="575"/>
      <c r="O3767" s="575"/>
      <c r="P3767" s="575"/>
      <c r="Q3767" s="575"/>
      <c r="R3767" s="575"/>
      <c r="S3767" s="575"/>
      <c r="T3767" s="575"/>
      <c r="U3767" s="575"/>
      <c r="V3767" s="575"/>
      <c r="W3767" s="575"/>
      <c r="X3767" s="575"/>
      <c r="Y3767" s="575"/>
    </row>
    <row r="3768" spans="11:25" s="88" customFormat="1" hidden="1">
      <c r="K3768" s="575"/>
      <c r="L3768" s="575"/>
      <c r="M3768" s="575"/>
      <c r="N3768" s="575"/>
      <c r="O3768" s="575"/>
      <c r="P3768" s="575"/>
      <c r="Q3768" s="575"/>
      <c r="R3768" s="575"/>
      <c r="S3768" s="575"/>
      <c r="T3768" s="575"/>
      <c r="U3768" s="575"/>
      <c r="V3768" s="575"/>
      <c r="W3768" s="575"/>
      <c r="X3768" s="575"/>
      <c r="Y3768" s="575"/>
    </row>
    <row r="3769" spans="11:25" s="88" customFormat="1" hidden="1">
      <c r="K3769" s="575"/>
      <c r="L3769" s="575"/>
      <c r="M3769" s="575"/>
      <c r="N3769" s="575"/>
      <c r="O3769" s="575"/>
      <c r="P3769" s="575"/>
      <c r="Q3769" s="575"/>
      <c r="R3769" s="575"/>
      <c r="S3769" s="575"/>
      <c r="T3769" s="575"/>
      <c r="U3769" s="575"/>
      <c r="V3769" s="575"/>
      <c r="W3769" s="575"/>
      <c r="X3769" s="575"/>
      <c r="Y3769" s="575"/>
    </row>
    <row r="3770" spans="11:25" s="88" customFormat="1" hidden="1">
      <c r="K3770" s="575"/>
      <c r="L3770" s="575"/>
      <c r="M3770" s="575"/>
      <c r="N3770" s="575"/>
      <c r="O3770" s="575"/>
      <c r="P3770" s="575"/>
      <c r="Q3770" s="575"/>
      <c r="R3770" s="575"/>
      <c r="S3770" s="575"/>
      <c r="T3770" s="575"/>
      <c r="U3770" s="575"/>
      <c r="V3770" s="575"/>
      <c r="W3770" s="575"/>
      <c r="X3770" s="575"/>
      <c r="Y3770" s="575"/>
    </row>
    <row r="3771" spans="11:25" s="88" customFormat="1" hidden="1">
      <c r="K3771" s="575"/>
      <c r="L3771" s="575"/>
      <c r="M3771" s="575"/>
      <c r="N3771" s="575"/>
      <c r="O3771" s="575"/>
      <c r="P3771" s="575"/>
      <c r="Q3771" s="575"/>
      <c r="R3771" s="575"/>
      <c r="S3771" s="575"/>
      <c r="T3771" s="575"/>
      <c r="U3771" s="575"/>
      <c r="V3771" s="575"/>
      <c r="W3771" s="575"/>
      <c r="X3771" s="575"/>
      <c r="Y3771" s="575"/>
    </row>
    <row r="3772" spans="11:25" s="88" customFormat="1" hidden="1">
      <c r="K3772" s="575"/>
      <c r="L3772" s="575"/>
      <c r="M3772" s="575"/>
      <c r="N3772" s="575"/>
      <c r="O3772" s="575"/>
      <c r="P3772" s="575"/>
      <c r="Q3772" s="575"/>
      <c r="R3772" s="575"/>
      <c r="S3772" s="575"/>
      <c r="T3772" s="575"/>
      <c r="U3772" s="575"/>
      <c r="V3772" s="575"/>
      <c r="W3772" s="575"/>
      <c r="X3772" s="575"/>
      <c r="Y3772" s="575"/>
    </row>
    <row r="3773" spans="11:25" s="88" customFormat="1" hidden="1">
      <c r="K3773" s="575"/>
      <c r="L3773" s="575"/>
      <c r="M3773" s="575"/>
      <c r="N3773" s="575"/>
      <c r="O3773" s="575"/>
      <c r="P3773" s="575"/>
      <c r="Q3773" s="575"/>
      <c r="R3773" s="575"/>
      <c r="S3773" s="575"/>
      <c r="T3773" s="575"/>
      <c r="U3773" s="575"/>
      <c r="V3773" s="575"/>
      <c r="W3773" s="575"/>
      <c r="X3773" s="575"/>
      <c r="Y3773" s="575"/>
    </row>
    <row r="3774" spans="11:25" s="88" customFormat="1" hidden="1">
      <c r="K3774" s="575"/>
      <c r="L3774" s="575"/>
      <c r="M3774" s="575"/>
      <c r="N3774" s="575"/>
      <c r="O3774" s="575"/>
      <c r="P3774" s="575"/>
      <c r="Q3774" s="575"/>
      <c r="R3774" s="575"/>
      <c r="S3774" s="575"/>
      <c r="T3774" s="575"/>
      <c r="U3774" s="575"/>
      <c r="V3774" s="575"/>
      <c r="W3774" s="575"/>
      <c r="X3774" s="575"/>
      <c r="Y3774" s="575"/>
    </row>
    <row r="3775" spans="11:25" s="88" customFormat="1" hidden="1">
      <c r="K3775" s="575"/>
      <c r="L3775" s="575"/>
      <c r="M3775" s="575"/>
      <c r="N3775" s="575"/>
      <c r="O3775" s="575"/>
      <c r="P3775" s="575"/>
      <c r="Q3775" s="575"/>
      <c r="R3775" s="575"/>
      <c r="S3775" s="575"/>
      <c r="T3775" s="575"/>
      <c r="U3775" s="575"/>
      <c r="V3775" s="575"/>
      <c r="W3775" s="575"/>
      <c r="X3775" s="575"/>
      <c r="Y3775" s="575"/>
    </row>
    <row r="3776" spans="11:25" s="88" customFormat="1" hidden="1">
      <c r="K3776" s="575"/>
      <c r="L3776" s="575"/>
      <c r="M3776" s="575"/>
      <c r="N3776" s="575"/>
      <c r="O3776" s="575"/>
      <c r="P3776" s="575"/>
      <c r="Q3776" s="575"/>
      <c r="R3776" s="575"/>
      <c r="S3776" s="575"/>
      <c r="T3776" s="575"/>
      <c r="U3776" s="575"/>
      <c r="V3776" s="575"/>
      <c r="W3776" s="575"/>
      <c r="X3776" s="575"/>
      <c r="Y3776" s="575"/>
    </row>
    <row r="3777" spans="11:25" s="88" customFormat="1" hidden="1">
      <c r="K3777" s="575"/>
      <c r="L3777" s="575"/>
      <c r="M3777" s="575"/>
      <c r="N3777" s="575"/>
      <c r="O3777" s="575"/>
      <c r="P3777" s="575"/>
      <c r="Q3777" s="575"/>
      <c r="R3777" s="575"/>
      <c r="S3777" s="575"/>
      <c r="T3777" s="575"/>
      <c r="U3777" s="575"/>
      <c r="V3777" s="575"/>
      <c r="W3777" s="575"/>
      <c r="X3777" s="575"/>
      <c r="Y3777" s="575"/>
    </row>
    <row r="3778" spans="11:25" s="88" customFormat="1" hidden="1">
      <c r="K3778" s="575"/>
      <c r="L3778" s="575"/>
      <c r="M3778" s="575"/>
      <c r="N3778" s="575"/>
      <c r="O3778" s="575"/>
      <c r="P3778" s="575"/>
      <c r="Q3778" s="575"/>
      <c r="R3778" s="575"/>
      <c r="S3778" s="575"/>
      <c r="T3778" s="575"/>
      <c r="U3778" s="575"/>
      <c r="V3778" s="575"/>
      <c r="W3778" s="575"/>
      <c r="X3778" s="575"/>
      <c r="Y3778" s="575"/>
    </row>
    <row r="3779" spans="11:25" s="88" customFormat="1" hidden="1">
      <c r="K3779" s="575"/>
      <c r="L3779" s="575"/>
      <c r="M3779" s="575"/>
      <c r="N3779" s="575"/>
      <c r="O3779" s="575"/>
      <c r="P3779" s="575"/>
      <c r="Q3779" s="575"/>
      <c r="R3779" s="575"/>
      <c r="S3779" s="575"/>
      <c r="T3779" s="575"/>
      <c r="U3779" s="575"/>
      <c r="V3779" s="575"/>
      <c r="W3779" s="575"/>
      <c r="X3779" s="575"/>
      <c r="Y3779" s="575"/>
    </row>
    <row r="3780" spans="11:25" s="88" customFormat="1" hidden="1">
      <c r="K3780" s="575"/>
      <c r="L3780" s="575"/>
      <c r="M3780" s="575"/>
      <c r="N3780" s="575"/>
      <c r="O3780" s="575"/>
      <c r="P3780" s="575"/>
      <c r="Q3780" s="575"/>
      <c r="R3780" s="575"/>
      <c r="S3780" s="575"/>
      <c r="T3780" s="575"/>
      <c r="U3780" s="575"/>
      <c r="V3780" s="575"/>
      <c r="W3780" s="575"/>
      <c r="X3780" s="575"/>
      <c r="Y3780" s="575"/>
    </row>
    <row r="3781" spans="11:25" s="88" customFormat="1" hidden="1">
      <c r="K3781" s="575"/>
      <c r="L3781" s="575"/>
      <c r="M3781" s="575"/>
      <c r="N3781" s="575"/>
      <c r="O3781" s="575"/>
      <c r="P3781" s="575"/>
      <c r="Q3781" s="575"/>
      <c r="R3781" s="575"/>
      <c r="S3781" s="575"/>
      <c r="T3781" s="575"/>
      <c r="U3781" s="575"/>
      <c r="V3781" s="575"/>
      <c r="W3781" s="575"/>
      <c r="X3781" s="575"/>
      <c r="Y3781" s="575"/>
    </row>
    <row r="3782" spans="11:25" s="88" customFormat="1" hidden="1">
      <c r="K3782" s="575"/>
      <c r="L3782" s="575"/>
      <c r="M3782" s="575"/>
      <c r="N3782" s="575"/>
      <c r="O3782" s="575"/>
      <c r="P3782" s="575"/>
      <c r="Q3782" s="575"/>
      <c r="R3782" s="575"/>
      <c r="S3782" s="575"/>
      <c r="T3782" s="575"/>
      <c r="U3782" s="575"/>
      <c r="V3782" s="575"/>
      <c r="W3782" s="575"/>
      <c r="X3782" s="575"/>
      <c r="Y3782" s="575"/>
    </row>
    <row r="3783" spans="11:25" s="88" customFormat="1" hidden="1">
      <c r="K3783" s="575"/>
      <c r="L3783" s="575"/>
      <c r="M3783" s="575"/>
      <c r="N3783" s="575"/>
      <c r="O3783" s="575"/>
      <c r="P3783" s="575"/>
      <c r="Q3783" s="575"/>
      <c r="R3783" s="575"/>
      <c r="S3783" s="575"/>
      <c r="T3783" s="575"/>
      <c r="U3783" s="575"/>
      <c r="V3783" s="575"/>
      <c r="W3783" s="575"/>
      <c r="X3783" s="575"/>
      <c r="Y3783" s="575"/>
    </row>
    <row r="3784" spans="11:25" s="88" customFormat="1" hidden="1">
      <c r="K3784" s="575"/>
      <c r="L3784" s="575"/>
      <c r="M3784" s="575"/>
      <c r="N3784" s="575"/>
      <c r="O3784" s="575"/>
      <c r="P3784" s="575"/>
      <c r="Q3784" s="575"/>
      <c r="R3784" s="575"/>
      <c r="S3784" s="575"/>
      <c r="T3784" s="575"/>
      <c r="U3784" s="575"/>
      <c r="V3784" s="575"/>
      <c r="W3784" s="575"/>
      <c r="X3784" s="575"/>
      <c r="Y3784" s="575"/>
    </row>
    <row r="3785" spans="11:25" s="88" customFormat="1" hidden="1">
      <c r="K3785" s="575"/>
      <c r="L3785" s="575"/>
      <c r="M3785" s="575"/>
      <c r="N3785" s="575"/>
      <c r="O3785" s="575"/>
      <c r="P3785" s="575"/>
      <c r="Q3785" s="575"/>
      <c r="R3785" s="575"/>
      <c r="S3785" s="575"/>
      <c r="T3785" s="575"/>
      <c r="U3785" s="575"/>
      <c r="V3785" s="575"/>
      <c r="W3785" s="575"/>
      <c r="X3785" s="575"/>
      <c r="Y3785" s="575"/>
    </row>
    <row r="3786" spans="11:25" s="88" customFormat="1" hidden="1">
      <c r="K3786" s="575"/>
      <c r="L3786" s="575"/>
      <c r="M3786" s="575"/>
      <c r="N3786" s="575"/>
      <c r="O3786" s="575"/>
      <c r="P3786" s="575"/>
      <c r="Q3786" s="575"/>
      <c r="R3786" s="575"/>
      <c r="S3786" s="575"/>
      <c r="T3786" s="575"/>
      <c r="U3786" s="575"/>
      <c r="V3786" s="575"/>
      <c r="W3786" s="575"/>
      <c r="X3786" s="575"/>
      <c r="Y3786" s="575"/>
    </row>
    <row r="3787" spans="11:25" s="88" customFormat="1" hidden="1">
      <c r="K3787" s="575"/>
      <c r="L3787" s="575"/>
      <c r="M3787" s="575"/>
      <c r="N3787" s="575"/>
      <c r="O3787" s="575"/>
      <c r="P3787" s="575"/>
      <c r="Q3787" s="575"/>
      <c r="R3787" s="575"/>
      <c r="S3787" s="575"/>
      <c r="T3787" s="575"/>
      <c r="U3787" s="575"/>
      <c r="V3787" s="575"/>
      <c r="W3787" s="575"/>
      <c r="X3787" s="575"/>
      <c r="Y3787" s="575"/>
    </row>
    <row r="3788" spans="11:25" s="88" customFormat="1" hidden="1">
      <c r="K3788" s="575"/>
      <c r="L3788" s="575"/>
      <c r="M3788" s="575"/>
      <c r="N3788" s="575"/>
      <c r="O3788" s="575"/>
      <c r="P3788" s="575"/>
      <c r="Q3788" s="575"/>
      <c r="R3788" s="575"/>
      <c r="S3788" s="575"/>
      <c r="T3788" s="575"/>
      <c r="U3788" s="575"/>
      <c r="V3788" s="575"/>
      <c r="W3788" s="575"/>
      <c r="X3788" s="575"/>
      <c r="Y3788" s="575"/>
    </row>
    <row r="3789" spans="11:25" s="88" customFormat="1" hidden="1">
      <c r="K3789" s="575"/>
      <c r="L3789" s="575"/>
      <c r="M3789" s="575"/>
      <c r="N3789" s="575"/>
      <c r="O3789" s="575"/>
      <c r="P3789" s="575"/>
      <c r="Q3789" s="575"/>
      <c r="R3789" s="575"/>
      <c r="S3789" s="575"/>
      <c r="T3789" s="575"/>
      <c r="U3789" s="575"/>
      <c r="V3789" s="575"/>
      <c r="W3789" s="575"/>
      <c r="X3789" s="575"/>
      <c r="Y3789" s="575"/>
    </row>
    <row r="3790" spans="11:25" s="88" customFormat="1" hidden="1">
      <c r="K3790" s="575"/>
      <c r="L3790" s="575"/>
      <c r="M3790" s="575"/>
      <c r="N3790" s="575"/>
      <c r="O3790" s="575"/>
      <c r="P3790" s="575"/>
      <c r="Q3790" s="575"/>
      <c r="R3790" s="575"/>
      <c r="S3790" s="575"/>
      <c r="T3790" s="575"/>
      <c r="U3790" s="575"/>
      <c r="V3790" s="575"/>
      <c r="W3790" s="575"/>
      <c r="X3790" s="575"/>
      <c r="Y3790" s="575"/>
    </row>
    <row r="3791" spans="11:25" s="88" customFormat="1" hidden="1">
      <c r="K3791" s="575"/>
      <c r="L3791" s="575"/>
      <c r="M3791" s="575"/>
      <c r="N3791" s="575"/>
      <c r="O3791" s="575"/>
      <c r="P3791" s="575"/>
      <c r="Q3791" s="575"/>
      <c r="R3791" s="575"/>
      <c r="S3791" s="575"/>
      <c r="T3791" s="575"/>
      <c r="U3791" s="575"/>
      <c r="V3791" s="575"/>
      <c r="W3791" s="575"/>
      <c r="X3791" s="575"/>
      <c r="Y3791" s="575"/>
    </row>
    <row r="3792" spans="11:25" s="88" customFormat="1" hidden="1">
      <c r="K3792" s="575"/>
      <c r="L3792" s="575"/>
      <c r="M3792" s="575"/>
      <c r="N3792" s="575"/>
      <c r="O3792" s="575"/>
      <c r="P3792" s="575"/>
      <c r="Q3792" s="575"/>
      <c r="R3792" s="575"/>
      <c r="S3792" s="575"/>
      <c r="T3792" s="575"/>
      <c r="U3792" s="575"/>
      <c r="V3792" s="575"/>
      <c r="W3792" s="575"/>
      <c r="X3792" s="575"/>
      <c r="Y3792" s="575"/>
    </row>
    <row r="3793" spans="11:25" s="88" customFormat="1" hidden="1">
      <c r="K3793" s="575"/>
      <c r="L3793" s="575"/>
      <c r="M3793" s="575"/>
      <c r="N3793" s="575"/>
      <c r="O3793" s="575"/>
      <c r="P3793" s="575"/>
      <c r="Q3793" s="575"/>
      <c r="R3793" s="575"/>
      <c r="S3793" s="575"/>
      <c r="T3793" s="575"/>
      <c r="U3793" s="575"/>
      <c r="V3793" s="575"/>
      <c r="W3793" s="575"/>
      <c r="X3793" s="575"/>
      <c r="Y3793" s="575"/>
    </row>
    <row r="3794" spans="11:25" s="88" customFormat="1" hidden="1">
      <c r="K3794" s="575"/>
      <c r="L3794" s="575"/>
      <c r="M3794" s="575"/>
      <c r="N3794" s="575"/>
      <c r="O3794" s="575"/>
      <c r="P3794" s="575"/>
      <c r="Q3794" s="575"/>
      <c r="R3794" s="575"/>
      <c r="S3794" s="575"/>
      <c r="T3794" s="575"/>
      <c r="U3794" s="575"/>
      <c r="V3794" s="575"/>
      <c r="W3794" s="575"/>
      <c r="X3794" s="575"/>
      <c r="Y3794" s="575"/>
    </row>
    <row r="3795" spans="11:25" s="88" customFormat="1" hidden="1">
      <c r="K3795" s="575"/>
      <c r="L3795" s="575"/>
      <c r="M3795" s="575"/>
      <c r="N3795" s="575"/>
      <c r="O3795" s="575"/>
      <c r="P3795" s="575"/>
      <c r="Q3795" s="575"/>
      <c r="R3795" s="575"/>
      <c r="S3795" s="575"/>
      <c r="T3795" s="575"/>
      <c r="U3795" s="575"/>
      <c r="V3795" s="575"/>
      <c r="W3795" s="575"/>
      <c r="X3795" s="575"/>
      <c r="Y3795" s="575"/>
    </row>
    <row r="3796" spans="11:25" s="88" customFormat="1" hidden="1">
      <c r="K3796" s="575"/>
      <c r="L3796" s="575"/>
      <c r="M3796" s="575"/>
      <c r="N3796" s="575"/>
      <c r="O3796" s="575"/>
      <c r="P3796" s="575"/>
      <c r="Q3796" s="575"/>
      <c r="R3796" s="575"/>
      <c r="S3796" s="575"/>
      <c r="T3796" s="575"/>
      <c r="U3796" s="575"/>
      <c r="V3796" s="575"/>
      <c r="W3796" s="575"/>
      <c r="X3796" s="575"/>
      <c r="Y3796" s="575"/>
    </row>
    <row r="3797" spans="11:25" s="88" customFormat="1" hidden="1">
      <c r="K3797" s="575"/>
      <c r="L3797" s="575"/>
      <c r="M3797" s="575"/>
      <c r="N3797" s="575"/>
      <c r="O3797" s="575"/>
      <c r="P3797" s="575"/>
      <c r="Q3797" s="575"/>
      <c r="R3797" s="575"/>
      <c r="S3797" s="575"/>
      <c r="T3797" s="575"/>
      <c r="U3797" s="575"/>
      <c r="V3797" s="575"/>
      <c r="W3797" s="575"/>
      <c r="X3797" s="575"/>
      <c r="Y3797" s="575"/>
    </row>
    <row r="3798" spans="11:25" s="88" customFormat="1" hidden="1">
      <c r="K3798" s="575"/>
      <c r="L3798" s="575"/>
      <c r="M3798" s="575"/>
      <c r="N3798" s="575"/>
      <c r="O3798" s="575"/>
      <c r="P3798" s="575"/>
      <c r="Q3798" s="575"/>
      <c r="R3798" s="575"/>
      <c r="S3798" s="575"/>
      <c r="T3798" s="575"/>
      <c r="U3798" s="575"/>
      <c r="V3798" s="575"/>
      <c r="W3798" s="575"/>
      <c r="X3798" s="575"/>
      <c r="Y3798" s="575"/>
    </row>
    <row r="3799" spans="11:25" s="88" customFormat="1" hidden="1">
      <c r="K3799" s="575"/>
      <c r="L3799" s="575"/>
      <c r="M3799" s="575"/>
      <c r="N3799" s="575"/>
      <c r="O3799" s="575"/>
      <c r="P3799" s="575"/>
      <c r="Q3799" s="575"/>
      <c r="R3799" s="575"/>
      <c r="S3799" s="575"/>
      <c r="T3799" s="575"/>
      <c r="U3799" s="575"/>
      <c r="V3799" s="575"/>
      <c r="W3799" s="575"/>
      <c r="X3799" s="575"/>
      <c r="Y3799" s="575"/>
    </row>
    <row r="3800" spans="11:25" s="88" customFormat="1" hidden="1">
      <c r="K3800" s="575"/>
      <c r="L3800" s="575"/>
      <c r="M3800" s="575"/>
      <c r="N3800" s="575"/>
      <c r="O3800" s="575"/>
      <c r="P3800" s="575"/>
      <c r="Q3800" s="575"/>
      <c r="R3800" s="575"/>
      <c r="S3800" s="575"/>
      <c r="T3800" s="575"/>
      <c r="U3800" s="575"/>
      <c r="V3800" s="575"/>
      <c r="W3800" s="575"/>
      <c r="X3800" s="575"/>
      <c r="Y3800" s="575"/>
    </row>
    <row r="3801" spans="11:25" s="88" customFormat="1" hidden="1">
      <c r="K3801" s="575"/>
      <c r="L3801" s="575"/>
      <c r="M3801" s="575"/>
      <c r="N3801" s="575"/>
      <c r="O3801" s="575"/>
      <c r="P3801" s="575"/>
      <c r="Q3801" s="575"/>
      <c r="R3801" s="575"/>
      <c r="S3801" s="575"/>
      <c r="T3801" s="575"/>
      <c r="U3801" s="575"/>
      <c r="V3801" s="575"/>
      <c r="W3801" s="575"/>
      <c r="X3801" s="575"/>
      <c r="Y3801" s="575"/>
    </row>
    <row r="3802" spans="11:25" s="88" customFormat="1" hidden="1">
      <c r="K3802" s="575"/>
      <c r="L3802" s="575"/>
      <c r="M3802" s="575"/>
      <c r="N3802" s="575"/>
      <c r="O3802" s="575"/>
      <c r="P3802" s="575"/>
      <c r="Q3802" s="575"/>
      <c r="R3802" s="575"/>
      <c r="S3802" s="575"/>
      <c r="T3802" s="575"/>
      <c r="U3802" s="575"/>
      <c r="V3802" s="575"/>
      <c r="W3802" s="575"/>
      <c r="X3802" s="575"/>
      <c r="Y3802" s="575"/>
    </row>
    <row r="3803" spans="11:25" s="88" customFormat="1" hidden="1">
      <c r="K3803" s="575"/>
      <c r="L3803" s="575"/>
      <c r="M3803" s="575"/>
      <c r="N3803" s="575"/>
      <c r="O3803" s="575"/>
      <c r="P3803" s="575"/>
      <c r="Q3803" s="575"/>
      <c r="R3803" s="575"/>
      <c r="S3803" s="575"/>
      <c r="T3803" s="575"/>
      <c r="U3803" s="575"/>
      <c r="V3803" s="575"/>
      <c r="W3803" s="575"/>
      <c r="X3803" s="575"/>
      <c r="Y3803" s="575"/>
    </row>
    <row r="3804" spans="11:25" s="88" customFormat="1" hidden="1">
      <c r="K3804" s="575"/>
      <c r="L3804" s="575"/>
      <c r="M3804" s="575"/>
      <c r="N3804" s="575"/>
      <c r="O3804" s="575"/>
      <c r="P3804" s="575"/>
      <c r="Q3804" s="575"/>
      <c r="R3804" s="575"/>
      <c r="S3804" s="575"/>
      <c r="T3804" s="575"/>
      <c r="U3804" s="575"/>
      <c r="V3804" s="575"/>
      <c r="W3804" s="575"/>
      <c r="X3804" s="575"/>
      <c r="Y3804" s="575"/>
    </row>
    <row r="3805" spans="11:25" s="88" customFormat="1" hidden="1">
      <c r="K3805" s="575"/>
      <c r="L3805" s="575"/>
      <c r="M3805" s="575"/>
      <c r="N3805" s="575"/>
      <c r="O3805" s="575"/>
      <c r="P3805" s="575"/>
      <c r="Q3805" s="575"/>
      <c r="R3805" s="575"/>
      <c r="S3805" s="575"/>
      <c r="T3805" s="575"/>
      <c r="U3805" s="575"/>
      <c r="V3805" s="575"/>
      <c r="W3805" s="575"/>
      <c r="X3805" s="575"/>
      <c r="Y3805" s="575"/>
    </row>
    <row r="3806" spans="11:25" s="88" customFormat="1" hidden="1">
      <c r="K3806" s="575"/>
      <c r="L3806" s="575"/>
      <c r="M3806" s="575"/>
      <c r="N3806" s="575"/>
      <c r="O3806" s="575"/>
      <c r="P3806" s="575"/>
      <c r="Q3806" s="575"/>
      <c r="R3806" s="575"/>
      <c r="S3806" s="575"/>
      <c r="T3806" s="575"/>
      <c r="U3806" s="575"/>
      <c r="V3806" s="575"/>
      <c r="W3806" s="575"/>
      <c r="X3806" s="575"/>
      <c r="Y3806" s="575"/>
    </row>
    <row r="3807" spans="11:25" s="88" customFormat="1" hidden="1">
      <c r="K3807" s="575"/>
      <c r="L3807" s="575"/>
      <c r="M3807" s="575"/>
      <c r="N3807" s="575"/>
      <c r="O3807" s="575"/>
      <c r="P3807" s="575"/>
      <c r="Q3807" s="575"/>
      <c r="R3807" s="575"/>
      <c r="S3807" s="575"/>
      <c r="T3807" s="575"/>
      <c r="U3807" s="575"/>
      <c r="V3807" s="575"/>
      <c r="W3807" s="575"/>
      <c r="X3807" s="575"/>
      <c r="Y3807" s="575"/>
    </row>
    <row r="3808" spans="11:25" s="88" customFormat="1" hidden="1">
      <c r="K3808" s="575"/>
      <c r="L3808" s="575"/>
      <c r="M3808" s="575"/>
      <c r="N3808" s="575"/>
      <c r="O3808" s="575"/>
      <c r="P3808" s="575"/>
      <c r="Q3808" s="575"/>
      <c r="R3808" s="575"/>
      <c r="S3808" s="575"/>
      <c r="T3808" s="575"/>
      <c r="U3808" s="575"/>
      <c r="V3808" s="575"/>
      <c r="W3808" s="575"/>
      <c r="X3808" s="575"/>
      <c r="Y3808" s="575"/>
    </row>
    <row r="3809" spans="1:25" s="88" customFormat="1" hidden="1">
      <c r="K3809" s="575"/>
      <c r="L3809" s="575"/>
      <c r="M3809" s="575"/>
      <c r="N3809" s="575"/>
      <c r="O3809" s="575"/>
      <c r="P3809" s="575"/>
      <c r="Q3809" s="575"/>
      <c r="R3809" s="575"/>
      <c r="S3809" s="575"/>
      <c r="T3809" s="575"/>
      <c r="U3809" s="575"/>
      <c r="V3809" s="575"/>
      <c r="W3809" s="575"/>
      <c r="X3809" s="575"/>
      <c r="Y3809" s="575"/>
    </row>
    <row r="3810" spans="1:25" s="88" customFormat="1" hidden="1">
      <c r="K3810" s="575"/>
      <c r="L3810" s="575"/>
      <c r="M3810" s="575"/>
      <c r="N3810" s="575"/>
      <c r="O3810" s="575"/>
      <c r="P3810" s="575"/>
      <c r="Q3810" s="575"/>
      <c r="R3810" s="575"/>
      <c r="S3810" s="575"/>
      <c r="T3810" s="575"/>
      <c r="U3810" s="575"/>
      <c r="V3810" s="575"/>
      <c r="W3810" s="575"/>
      <c r="X3810" s="575"/>
      <c r="Y3810" s="575"/>
    </row>
    <row r="3811" spans="1:25" s="88" customFormat="1" hidden="1">
      <c r="A3811" s="263"/>
      <c r="B3811" s="263"/>
      <c r="C3811" s="266"/>
      <c r="D3811" s="263"/>
      <c r="E3811" s="263"/>
      <c r="F3811" s="263"/>
      <c r="G3811" s="331"/>
      <c r="H3811" s="644"/>
      <c r="I3811" s="645"/>
      <c r="J3811" s="645"/>
      <c r="K3811" s="575"/>
      <c r="L3811" s="575"/>
      <c r="M3811" s="575"/>
      <c r="N3811" s="575"/>
      <c r="O3811" s="575"/>
      <c r="P3811" s="575"/>
      <c r="Q3811" s="575"/>
      <c r="R3811" s="575"/>
      <c r="S3811" s="575"/>
      <c r="T3811" s="575"/>
      <c r="U3811" s="575"/>
      <c r="V3811" s="575"/>
      <c r="W3811" s="575"/>
      <c r="X3811" s="575"/>
      <c r="Y3811" s="575"/>
    </row>
    <row r="3812" spans="1:25" s="88" customFormat="1" hidden="1">
      <c r="K3812" s="575"/>
      <c r="L3812" s="575"/>
      <c r="M3812" s="575"/>
      <c r="N3812" s="575"/>
      <c r="O3812" s="575"/>
      <c r="P3812" s="575"/>
      <c r="Q3812" s="575"/>
      <c r="R3812" s="575"/>
      <c r="S3812" s="575"/>
      <c r="T3812" s="575"/>
      <c r="U3812" s="575"/>
      <c r="V3812" s="575"/>
      <c r="W3812" s="575"/>
      <c r="X3812" s="575"/>
      <c r="Y3812" s="575"/>
    </row>
    <row r="3813" spans="1:25" s="88" customFormat="1" hidden="1">
      <c r="K3813" s="575"/>
      <c r="L3813" s="575"/>
      <c r="M3813" s="575"/>
      <c r="N3813" s="575"/>
      <c r="O3813" s="575"/>
      <c r="P3813" s="575"/>
      <c r="Q3813" s="575"/>
      <c r="R3813" s="575"/>
      <c r="S3813" s="575"/>
      <c r="T3813" s="575"/>
      <c r="U3813" s="575"/>
      <c r="V3813" s="575"/>
      <c r="W3813" s="575"/>
      <c r="X3813" s="575"/>
      <c r="Y3813" s="575"/>
    </row>
    <row r="3814" spans="1:25" s="88" customFormat="1" hidden="1">
      <c r="K3814" s="575"/>
      <c r="L3814" s="575"/>
      <c r="M3814" s="575"/>
      <c r="N3814" s="575"/>
      <c r="O3814" s="575"/>
      <c r="P3814" s="575"/>
      <c r="Q3814" s="575"/>
      <c r="R3814" s="575"/>
      <c r="S3814" s="575"/>
      <c r="T3814" s="575"/>
      <c r="U3814" s="575"/>
      <c r="V3814" s="575"/>
      <c r="W3814" s="575"/>
      <c r="X3814" s="575"/>
      <c r="Y3814" s="575"/>
    </row>
    <row r="3815" spans="1:25" s="88" customFormat="1" hidden="1">
      <c r="K3815" s="575"/>
      <c r="L3815" s="575"/>
      <c r="M3815" s="575"/>
      <c r="N3815" s="575"/>
      <c r="O3815" s="575"/>
      <c r="P3815" s="575"/>
      <c r="Q3815" s="575"/>
      <c r="R3815" s="575"/>
      <c r="S3815" s="575"/>
      <c r="T3815" s="575"/>
      <c r="U3815" s="575"/>
      <c r="V3815" s="575"/>
      <c r="W3815" s="575"/>
      <c r="X3815" s="575"/>
      <c r="Y3815" s="575"/>
    </row>
    <row r="3816" spans="1:25" s="88" customFormat="1" hidden="1">
      <c r="K3816" s="575"/>
      <c r="L3816" s="575"/>
      <c r="M3816" s="575"/>
      <c r="N3816" s="575"/>
      <c r="O3816" s="575"/>
      <c r="P3816" s="575"/>
      <c r="Q3816" s="575"/>
      <c r="R3816" s="575"/>
      <c r="S3816" s="575"/>
      <c r="T3816" s="575"/>
      <c r="U3816" s="575"/>
      <c r="V3816" s="575"/>
      <c r="W3816" s="575"/>
      <c r="X3816" s="575"/>
      <c r="Y3816" s="575"/>
    </row>
    <row r="3817" spans="1:25" s="88" customFormat="1" hidden="1">
      <c r="K3817" s="575"/>
      <c r="L3817" s="575"/>
      <c r="M3817" s="575"/>
      <c r="N3817" s="575"/>
      <c r="O3817" s="575"/>
      <c r="P3817" s="575"/>
      <c r="Q3817" s="575"/>
      <c r="R3817" s="575"/>
      <c r="S3817" s="575"/>
      <c r="T3817" s="575"/>
      <c r="U3817" s="575"/>
      <c r="V3817" s="575"/>
      <c r="W3817" s="575"/>
      <c r="X3817" s="575"/>
      <c r="Y3817" s="575"/>
    </row>
    <row r="3818" spans="1:25" s="88" customFormat="1" hidden="1">
      <c r="K3818" s="575"/>
      <c r="L3818" s="575"/>
      <c r="M3818" s="575"/>
      <c r="N3818" s="575"/>
      <c r="O3818" s="575"/>
      <c r="P3818" s="575"/>
      <c r="Q3818" s="575"/>
      <c r="R3818" s="575"/>
      <c r="S3818" s="575"/>
      <c r="T3818" s="575"/>
      <c r="U3818" s="575"/>
      <c r="V3818" s="575"/>
      <c r="W3818" s="575"/>
      <c r="X3818" s="575"/>
      <c r="Y3818" s="575"/>
    </row>
    <row r="3819" spans="1:25" s="88" customFormat="1" hidden="1">
      <c r="K3819" s="575"/>
      <c r="L3819" s="575"/>
      <c r="M3819" s="575"/>
      <c r="N3819" s="575"/>
      <c r="O3819" s="575"/>
      <c r="P3819" s="575"/>
      <c r="Q3819" s="575"/>
      <c r="R3819" s="575"/>
      <c r="S3819" s="575"/>
      <c r="T3819" s="575"/>
      <c r="U3819" s="575"/>
      <c r="V3819" s="575"/>
      <c r="W3819" s="575"/>
      <c r="X3819" s="575"/>
      <c r="Y3819" s="575"/>
    </row>
    <row r="3820" spans="1:25" s="88" customFormat="1" hidden="1">
      <c r="K3820" s="575"/>
      <c r="L3820" s="575"/>
      <c r="M3820" s="575"/>
      <c r="N3820" s="575"/>
      <c r="O3820" s="575"/>
      <c r="P3820" s="575"/>
      <c r="Q3820" s="575"/>
      <c r="R3820" s="575"/>
      <c r="S3820" s="575"/>
      <c r="T3820" s="575"/>
      <c r="U3820" s="575"/>
      <c r="V3820" s="575"/>
      <c r="W3820" s="575"/>
      <c r="X3820" s="575"/>
      <c r="Y3820" s="575"/>
    </row>
    <row r="3821" spans="1:25" s="88" customFormat="1" hidden="1">
      <c r="K3821" s="575"/>
      <c r="L3821" s="575"/>
      <c r="M3821" s="575"/>
      <c r="N3821" s="575"/>
      <c r="O3821" s="575"/>
      <c r="P3821" s="575"/>
      <c r="Q3821" s="575"/>
      <c r="R3821" s="575"/>
      <c r="S3821" s="575"/>
      <c r="T3821" s="575"/>
      <c r="U3821" s="575"/>
      <c r="V3821" s="575"/>
      <c r="W3821" s="575"/>
      <c r="X3821" s="575"/>
      <c r="Y3821" s="575"/>
    </row>
    <row r="3822" spans="1:25" s="88" customFormat="1" hidden="1">
      <c r="K3822" s="575"/>
      <c r="L3822" s="575"/>
      <c r="M3822" s="575"/>
      <c r="N3822" s="575"/>
      <c r="O3822" s="575"/>
      <c r="P3822" s="575"/>
      <c r="Q3822" s="575"/>
      <c r="R3822" s="575"/>
      <c r="S3822" s="575"/>
      <c r="T3822" s="575"/>
      <c r="U3822" s="575"/>
      <c r="V3822" s="575"/>
      <c r="W3822" s="575"/>
      <c r="X3822" s="575"/>
      <c r="Y3822" s="575"/>
    </row>
    <row r="3823" spans="1:25" s="88" customFormat="1" hidden="1">
      <c r="K3823" s="575"/>
      <c r="L3823" s="575"/>
      <c r="M3823" s="575"/>
      <c r="N3823" s="575"/>
      <c r="O3823" s="575"/>
      <c r="P3823" s="575"/>
      <c r="Q3823" s="575"/>
      <c r="R3823" s="575"/>
      <c r="S3823" s="575"/>
      <c r="T3823" s="575"/>
      <c r="U3823" s="575"/>
      <c r="V3823" s="575"/>
      <c r="W3823" s="575"/>
      <c r="X3823" s="575"/>
      <c r="Y3823" s="575"/>
    </row>
    <row r="3824" spans="1:25" s="88" customFormat="1" hidden="1">
      <c r="K3824" s="575"/>
      <c r="L3824" s="575"/>
      <c r="M3824" s="575"/>
      <c r="N3824" s="575"/>
      <c r="O3824" s="575"/>
      <c r="P3824" s="575"/>
      <c r="Q3824" s="575"/>
      <c r="R3824" s="575"/>
      <c r="S3824" s="575"/>
      <c r="T3824" s="575"/>
      <c r="U3824" s="575"/>
      <c r="V3824" s="575"/>
      <c r="W3824" s="575"/>
      <c r="X3824" s="575"/>
      <c r="Y3824" s="575"/>
    </row>
    <row r="3825" spans="11:25" s="88" customFormat="1" hidden="1">
      <c r="K3825" s="575"/>
      <c r="L3825" s="575"/>
      <c r="M3825" s="575"/>
      <c r="N3825" s="575"/>
      <c r="O3825" s="575"/>
      <c r="P3825" s="575"/>
      <c r="Q3825" s="575"/>
      <c r="R3825" s="575"/>
      <c r="S3825" s="575"/>
      <c r="T3825" s="575"/>
      <c r="U3825" s="575"/>
      <c r="V3825" s="575"/>
      <c r="W3825" s="575"/>
      <c r="X3825" s="575"/>
      <c r="Y3825" s="575"/>
    </row>
    <row r="3826" spans="11:25" s="88" customFormat="1" hidden="1">
      <c r="K3826" s="575"/>
      <c r="L3826" s="575"/>
      <c r="M3826" s="575"/>
      <c r="N3826" s="575"/>
      <c r="O3826" s="575"/>
      <c r="P3826" s="575"/>
      <c r="Q3826" s="575"/>
      <c r="R3826" s="575"/>
      <c r="S3826" s="575"/>
      <c r="T3826" s="575"/>
      <c r="U3826" s="575"/>
      <c r="V3826" s="575"/>
      <c r="W3826" s="575"/>
      <c r="X3826" s="575"/>
      <c r="Y3826" s="575"/>
    </row>
    <row r="3827" spans="11:25" s="88" customFormat="1" hidden="1">
      <c r="K3827" s="575"/>
      <c r="L3827" s="575"/>
      <c r="M3827" s="575"/>
      <c r="N3827" s="575"/>
      <c r="O3827" s="575"/>
      <c r="P3827" s="575"/>
      <c r="Q3827" s="575"/>
      <c r="R3827" s="575"/>
      <c r="S3827" s="575"/>
      <c r="T3827" s="575"/>
      <c r="U3827" s="575"/>
      <c r="V3827" s="575"/>
      <c r="W3827" s="575"/>
      <c r="X3827" s="575"/>
      <c r="Y3827" s="575"/>
    </row>
    <row r="3828" spans="11:25" s="88" customFormat="1" hidden="1">
      <c r="K3828" s="575"/>
      <c r="L3828" s="575"/>
      <c r="M3828" s="575"/>
      <c r="N3828" s="575"/>
      <c r="O3828" s="575"/>
      <c r="P3828" s="575"/>
      <c r="Q3828" s="575"/>
      <c r="R3828" s="575"/>
      <c r="S3828" s="575"/>
      <c r="T3828" s="575"/>
      <c r="U3828" s="575"/>
      <c r="V3828" s="575"/>
      <c r="W3828" s="575"/>
      <c r="X3828" s="575"/>
      <c r="Y3828" s="575"/>
    </row>
    <row r="3829" spans="11:25" s="88" customFormat="1" hidden="1">
      <c r="K3829" s="575"/>
      <c r="L3829" s="575"/>
      <c r="M3829" s="575"/>
      <c r="N3829" s="575"/>
      <c r="O3829" s="575"/>
      <c r="P3829" s="575"/>
      <c r="Q3829" s="575"/>
      <c r="R3829" s="575"/>
      <c r="S3829" s="575"/>
      <c r="T3829" s="575"/>
      <c r="U3829" s="575"/>
      <c r="V3829" s="575"/>
      <c r="W3829" s="575"/>
      <c r="X3829" s="575"/>
      <c r="Y3829" s="575"/>
    </row>
    <row r="3830" spans="11:25" s="88" customFormat="1" hidden="1">
      <c r="K3830" s="575"/>
      <c r="L3830" s="575"/>
      <c r="M3830" s="575"/>
      <c r="N3830" s="575"/>
      <c r="O3830" s="575"/>
      <c r="P3830" s="575"/>
      <c r="Q3830" s="575"/>
      <c r="R3830" s="575"/>
      <c r="S3830" s="575"/>
      <c r="T3830" s="575"/>
      <c r="U3830" s="575"/>
      <c r="V3830" s="575"/>
      <c r="W3830" s="575"/>
      <c r="X3830" s="575"/>
      <c r="Y3830" s="575"/>
    </row>
    <row r="3831" spans="11:25" s="88" customFormat="1" hidden="1">
      <c r="K3831" s="575"/>
      <c r="L3831" s="575"/>
      <c r="M3831" s="575"/>
      <c r="N3831" s="575"/>
      <c r="O3831" s="575"/>
      <c r="P3831" s="575"/>
      <c r="Q3831" s="575"/>
      <c r="R3831" s="575"/>
      <c r="S3831" s="575"/>
      <c r="T3831" s="575"/>
      <c r="U3831" s="575"/>
      <c r="V3831" s="575"/>
      <c r="W3831" s="575"/>
      <c r="X3831" s="575"/>
      <c r="Y3831" s="575"/>
    </row>
    <row r="3832" spans="11:25" s="88" customFormat="1" hidden="1">
      <c r="K3832" s="575"/>
      <c r="L3832" s="575"/>
      <c r="M3832" s="575"/>
      <c r="N3832" s="575"/>
      <c r="O3832" s="575"/>
      <c r="P3832" s="575"/>
      <c r="Q3832" s="575"/>
      <c r="R3832" s="575"/>
      <c r="S3832" s="575"/>
      <c r="T3832" s="575"/>
      <c r="U3832" s="575"/>
      <c r="V3832" s="575"/>
      <c r="W3832" s="575"/>
      <c r="X3832" s="575"/>
      <c r="Y3832" s="575"/>
    </row>
    <row r="3833" spans="11:25" s="88" customFormat="1" hidden="1">
      <c r="K3833" s="575"/>
      <c r="L3833" s="575"/>
      <c r="M3833" s="575"/>
      <c r="N3833" s="575"/>
      <c r="O3833" s="575"/>
      <c r="P3833" s="575"/>
      <c r="Q3833" s="575"/>
      <c r="R3833" s="575"/>
      <c r="S3833" s="575"/>
      <c r="T3833" s="575"/>
      <c r="U3833" s="575"/>
      <c r="V3833" s="575"/>
      <c r="W3833" s="575"/>
      <c r="X3833" s="575"/>
      <c r="Y3833" s="575"/>
    </row>
    <row r="3834" spans="11:25" s="88" customFormat="1" hidden="1">
      <c r="K3834" s="575"/>
      <c r="L3834" s="575"/>
      <c r="M3834" s="575"/>
      <c r="N3834" s="575"/>
      <c r="O3834" s="575"/>
      <c r="P3834" s="575"/>
      <c r="Q3834" s="575"/>
      <c r="R3834" s="575"/>
      <c r="S3834" s="575"/>
      <c r="T3834" s="575"/>
      <c r="U3834" s="575"/>
      <c r="V3834" s="575"/>
      <c r="W3834" s="575"/>
      <c r="X3834" s="575"/>
      <c r="Y3834" s="575"/>
    </row>
    <row r="3835" spans="11:25" s="88" customFormat="1" hidden="1">
      <c r="K3835" s="575"/>
      <c r="L3835" s="575"/>
      <c r="M3835" s="575"/>
      <c r="N3835" s="575"/>
      <c r="O3835" s="575"/>
      <c r="P3835" s="575"/>
      <c r="Q3835" s="575"/>
      <c r="R3835" s="575"/>
      <c r="S3835" s="575"/>
      <c r="T3835" s="575"/>
      <c r="U3835" s="575"/>
      <c r="V3835" s="575"/>
      <c r="W3835" s="575"/>
      <c r="X3835" s="575"/>
      <c r="Y3835" s="575"/>
    </row>
    <row r="3836" spans="11:25" s="88" customFormat="1" hidden="1">
      <c r="K3836" s="575"/>
      <c r="L3836" s="575"/>
      <c r="M3836" s="575"/>
      <c r="N3836" s="575"/>
      <c r="O3836" s="575"/>
      <c r="P3836" s="575"/>
      <c r="Q3836" s="575"/>
      <c r="R3836" s="575"/>
      <c r="S3836" s="575"/>
      <c r="T3836" s="575"/>
      <c r="U3836" s="575"/>
      <c r="V3836" s="575"/>
      <c r="W3836" s="575"/>
      <c r="X3836" s="575"/>
      <c r="Y3836" s="575"/>
    </row>
    <row r="3837" spans="11:25" s="88" customFormat="1" hidden="1">
      <c r="K3837" s="575"/>
      <c r="L3837" s="575"/>
      <c r="M3837" s="575"/>
      <c r="N3837" s="575"/>
      <c r="O3837" s="575"/>
      <c r="P3837" s="575"/>
      <c r="Q3837" s="575"/>
      <c r="R3837" s="575"/>
      <c r="S3837" s="575"/>
      <c r="T3837" s="575"/>
      <c r="U3837" s="575"/>
      <c r="V3837" s="575"/>
      <c r="W3837" s="575"/>
      <c r="X3837" s="575"/>
      <c r="Y3837" s="575"/>
    </row>
    <row r="3838" spans="11:25" s="88" customFormat="1" hidden="1">
      <c r="K3838" s="575"/>
      <c r="L3838" s="575"/>
      <c r="M3838" s="575"/>
      <c r="N3838" s="575"/>
      <c r="O3838" s="575"/>
      <c r="P3838" s="575"/>
      <c r="Q3838" s="575"/>
      <c r="R3838" s="575"/>
      <c r="S3838" s="575"/>
      <c r="T3838" s="575"/>
      <c r="U3838" s="575"/>
      <c r="V3838" s="575"/>
      <c r="W3838" s="575"/>
      <c r="X3838" s="575"/>
      <c r="Y3838" s="575"/>
    </row>
    <row r="3839" spans="11:25" s="88" customFormat="1" hidden="1">
      <c r="K3839" s="575"/>
      <c r="L3839" s="575"/>
      <c r="M3839" s="575"/>
      <c r="N3839" s="575"/>
      <c r="O3839" s="575"/>
      <c r="P3839" s="575"/>
      <c r="Q3839" s="575"/>
      <c r="R3839" s="575"/>
      <c r="S3839" s="575"/>
      <c r="T3839" s="575"/>
      <c r="U3839" s="575"/>
      <c r="V3839" s="575"/>
      <c r="W3839" s="575"/>
      <c r="X3839" s="575"/>
      <c r="Y3839" s="575"/>
    </row>
    <row r="3840" spans="11:25" s="88" customFormat="1" hidden="1">
      <c r="K3840" s="575"/>
      <c r="L3840" s="575"/>
      <c r="M3840" s="575"/>
      <c r="N3840" s="575"/>
      <c r="O3840" s="575"/>
      <c r="P3840" s="575"/>
      <c r="Q3840" s="575"/>
      <c r="R3840" s="575"/>
      <c r="S3840" s="575"/>
      <c r="T3840" s="575"/>
      <c r="U3840" s="575"/>
      <c r="V3840" s="575"/>
      <c r="W3840" s="575"/>
      <c r="X3840" s="575"/>
      <c r="Y3840" s="575"/>
    </row>
    <row r="3841" spans="11:25" s="88" customFormat="1" hidden="1">
      <c r="K3841" s="575"/>
      <c r="L3841" s="575"/>
      <c r="M3841" s="575"/>
      <c r="N3841" s="575"/>
      <c r="O3841" s="575"/>
      <c r="P3841" s="575"/>
      <c r="Q3841" s="575"/>
      <c r="R3841" s="575"/>
      <c r="S3841" s="575"/>
      <c r="T3841" s="575"/>
      <c r="U3841" s="575"/>
      <c r="V3841" s="575"/>
      <c r="W3841" s="575"/>
      <c r="X3841" s="575"/>
      <c r="Y3841" s="575"/>
    </row>
    <row r="3842" spans="11:25" s="88" customFormat="1" hidden="1">
      <c r="K3842" s="575"/>
      <c r="L3842" s="575"/>
      <c r="M3842" s="575"/>
      <c r="N3842" s="575"/>
      <c r="O3842" s="575"/>
      <c r="P3842" s="575"/>
      <c r="Q3842" s="575"/>
      <c r="R3842" s="575"/>
      <c r="S3842" s="575"/>
      <c r="T3842" s="575"/>
      <c r="U3842" s="575"/>
      <c r="V3842" s="575"/>
      <c r="W3842" s="575"/>
      <c r="X3842" s="575"/>
      <c r="Y3842" s="575"/>
    </row>
    <row r="3843" spans="11:25" s="88" customFormat="1" hidden="1">
      <c r="K3843" s="575"/>
      <c r="L3843" s="575"/>
      <c r="M3843" s="575"/>
      <c r="N3843" s="575"/>
      <c r="O3843" s="575"/>
      <c r="P3843" s="575"/>
      <c r="Q3843" s="575"/>
      <c r="R3843" s="575"/>
      <c r="S3843" s="575"/>
      <c r="T3843" s="575"/>
      <c r="U3843" s="575"/>
      <c r="V3843" s="575"/>
      <c r="W3843" s="575"/>
      <c r="X3843" s="575"/>
      <c r="Y3843" s="575"/>
    </row>
    <row r="3844" spans="11:25" s="88" customFormat="1" hidden="1">
      <c r="K3844" s="575"/>
      <c r="L3844" s="575"/>
      <c r="M3844" s="575"/>
      <c r="N3844" s="575"/>
      <c r="O3844" s="575"/>
      <c r="P3844" s="575"/>
      <c r="Q3844" s="575"/>
      <c r="R3844" s="575"/>
      <c r="S3844" s="575"/>
      <c r="T3844" s="575"/>
      <c r="U3844" s="575"/>
      <c r="V3844" s="575"/>
      <c r="W3844" s="575"/>
      <c r="X3844" s="575"/>
      <c r="Y3844" s="575"/>
    </row>
    <row r="3845" spans="11:25" s="88" customFormat="1" hidden="1">
      <c r="K3845" s="575"/>
      <c r="L3845" s="575"/>
      <c r="M3845" s="575"/>
      <c r="N3845" s="575"/>
      <c r="O3845" s="575"/>
      <c r="P3845" s="575"/>
      <c r="Q3845" s="575"/>
      <c r="R3845" s="575"/>
      <c r="S3845" s="575"/>
      <c r="T3845" s="575"/>
      <c r="U3845" s="575"/>
      <c r="V3845" s="575"/>
      <c r="W3845" s="575"/>
      <c r="X3845" s="575"/>
      <c r="Y3845" s="575"/>
    </row>
    <row r="3846" spans="11:25" s="88" customFormat="1" hidden="1">
      <c r="K3846" s="575"/>
      <c r="L3846" s="575"/>
      <c r="M3846" s="575"/>
      <c r="N3846" s="575"/>
      <c r="O3846" s="575"/>
      <c r="P3846" s="575"/>
      <c r="Q3846" s="575"/>
      <c r="R3846" s="575"/>
      <c r="S3846" s="575"/>
      <c r="T3846" s="575"/>
      <c r="U3846" s="575"/>
      <c r="V3846" s="575"/>
      <c r="W3846" s="575"/>
      <c r="X3846" s="575"/>
      <c r="Y3846" s="575"/>
    </row>
    <row r="3847" spans="11:25" s="88" customFormat="1" hidden="1">
      <c r="K3847" s="575"/>
      <c r="L3847" s="575"/>
      <c r="M3847" s="575"/>
      <c r="N3847" s="575"/>
      <c r="O3847" s="575"/>
      <c r="P3847" s="575"/>
      <c r="Q3847" s="575"/>
      <c r="R3847" s="575"/>
      <c r="S3847" s="575"/>
      <c r="T3847" s="575"/>
      <c r="U3847" s="575"/>
      <c r="V3847" s="575"/>
      <c r="W3847" s="575"/>
      <c r="X3847" s="575"/>
      <c r="Y3847" s="575"/>
    </row>
    <row r="3848" spans="11:25" s="88" customFormat="1" hidden="1">
      <c r="K3848" s="575"/>
      <c r="L3848" s="575"/>
      <c r="M3848" s="575"/>
      <c r="N3848" s="575"/>
      <c r="O3848" s="575"/>
      <c r="P3848" s="575"/>
      <c r="Q3848" s="575"/>
      <c r="R3848" s="575"/>
      <c r="S3848" s="575"/>
      <c r="T3848" s="575"/>
      <c r="U3848" s="575"/>
      <c r="V3848" s="575"/>
      <c r="W3848" s="575"/>
      <c r="X3848" s="575"/>
      <c r="Y3848" s="575"/>
    </row>
    <row r="3849" spans="11:25" s="88" customFormat="1" hidden="1">
      <c r="K3849" s="575"/>
      <c r="L3849" s="575"/>
      <c r="M3849" s="575"/>
      <c r="N3849" s="575"/>
      <c r="O3849" s="575"/>
      <c r="P3849" s="575"/>
      <c r="Q3849" s="575"/>
      <c r="R3849" s="575"/>
      <c r="S3849" s="575"/>
      <c r="T3849" s="575"/>
      <c r="U3849" s="575"/>
      <c r="V3849" s="575"/>
      <c r="W3849" s="575"/>
      <c r="X3849" s="575"/>
      <c r="Y3849" s="575"/>
    </row>
    <row r="3850" spans="11:25" s="88" customFormat="1" hidden="1">
      <c r="K3850" s="575"/>
      <c r="L3850" s="575"/>
      <c r="M3850" s="575"/>
      <c r="N3850" s="575"/>
      <c r="O3850" s="575"/>
      <c r="P3850" s="575"/>
      <c r="Q3850" s="575"/>
      <c r="R3850" s="575"/>
      <c r="S3850" s="575"/>
      <c r="T3850" s="575"/>
      <c r="U3850" s="575"/>
      <c r="V3850" s="575"/>
      <c r="W3850" s="575"/>
      <c r="X3850" s="575"/>
      <c r="Y3850" s="575"/>
    </row>
    <row r="3851" spans="11:25" s="88" customFormat="1" hidden="1">
      <c r="K3851" s="575"/>
      <c r="L3851" s="575"/>
      <c r="M3851" s="575"/>
      <c r="N3851" s="575"/>
      <c r="O3851" s="575"/>
      <c r="P3851" s="575"/>
      <c r="Q3851" s="575"/>
      <c r="R3851" s="575"/>
      <c r="S3851" s="575"/>
      <c r="T3851" s="575"/>
      <c r="U3851" s="575"/>
      <c r="V3851" s="575"/>
      <c r="W3851" s="575"/>
      <c r="X3851" s="575"/>
      <c r="Y3851" s="575"/>
    </row>
    <row r="3852" spans="11:25" s="88" customFormat="1" hidden="1">
      <c r="K3852" s="575"/>
      <c r="L3852" s="575"/>
      <c r="M3852" s="575"/>
      <c r="N3852" s="575"/>
      <c r="O3852" s="575"/>
      <c r="P3852" s="575"/>
      <c r="Q3852" s="575"/>
      <c r="R3852" s="575"/>
      <c r="S3852" s="575"/>
      <c r="T3852" s="575"/>
      <c r="U3852" s="575"/>
      <c r="V3852" s="575"/>
      <c r="W3852" s="575"/>
      <c r="X3852" s="575"/>
      <c r="Y3852" s="575"/>
    </row>
    <row r="3853" spans="11:25" s="88" customFormat="1" hidden="1">
      <c r="K3853" s="575"/>
      <c r="L3853" s="575"/>
      <c r="M3853" s="575"/>
      <c r="N3853" s="575"/>
      <c r="O3853" s="575"/>
      <c r="P3853" s="575"/>
      <c r="Q3853" s="575"/>
      <c r="R3853" s="575"/>
      <c r="S3853" s="575"/>
      <c r="T3853" s="575"/>
      <c r="U3853" s="575"/>
      <c r="V3853" s="575"/>
      <c r="W3853" s="575"/>
      <c r="X3853" s="575"/>
      <c r="Y3853" s="575"/>
    </row>
    <row r="3854" spans="11:25" s="88" customFormat="1" hidden="1">
      <c r="K3854" s="575"/>
      <c r="L3854" s="575"/>
      <c r="M3854" s="575"/>
      <c r="N3854" s="575"/>
      <c r="O3854" s="575"/>
      <c r="P3854" s="575"/>
      <c r="Q3854" s="575"/>
      <c r="R3854" s="575"/>
      <c r="S3854" s="575"/>
      <c r="T3854" s="575"/>
      <c r="U3854" s="575"/>
      <c r="V3854" s="575"/>
      <c r="W3854" s="575"/>
      <c r="X3854" s="575"/>
      <c r="Y3854" s="575"/>
    </row>
    <row r="3855" spans="11:25" s="88" customFormat="1" hidden="1">
      <c r="K3855" s="575"/>
      <c r="L3855" s="575"/>
      <c r="M3855" s="575"/>
      <c r="N3855" s="575"/>
      <c r="O3855" s="575"/>
      <c r="P3855" s="575"/>
      <c r="Q3855" s="575"/>
      <c r="R3855" s="575"/>
      <c r="S3855" s="575"/>
      <c r="T3855" s="575"/>
      <c r="U3855" s="575"/>
      <c r="V3855" s="575"/>
      <c r="W3855" s="575"/>
      <c r="X3855" s="575"/>
      <c r="Y3855" s="575"/>
    </row>
    <row r="3856" spans="11:25" s="88" customFormat="1" hidden="1">
      <c r="K3856" s="575"/>
      <c r="L3856" s="575"/>
      <c r="M3856" s="575"/>
      <c r="N3856" s="575"/>
      <c r="O3856" s="575"/>
      <c r="P3856" s="575"/>
      <c r="Q3856" s="575"/>
      <c r="R3856" s="575"/>
      <c r="S3856" s="575"/>
      <c r="T3856" s="575"/>
      <c r="U3856" s="575"/>
      <c r="V3856" s="575"/>
      <c r="W3856" s="575"/>
      <c r="X3856" s="575"/>
      <c r="Y3856" s="575"/>
    </row>
    <row r="3857" spans="11:25" s="88" customFormat="1" hidden="1">
      <c r="K3857" s="575"/>
      <c r="L3857" s="575"/>
      <c r="M3857" s="575"/>
      <c r="N3857" s="575"/>
      <c r="O3857" s="575"/>
      <c r="P3857" s="575"/>
      <c r="Q3857" s="575"/>
      <c r="R3857" s="575"/>
      <c r="S3857" s="575"/>
      <c r="T3857" s="575"/>
      <c r="U3857" s="575"/>
      <c r="V3857" s="575"/>
      <c r="W3857" s="575"/>
      <c r="X3857" s="575"/>
      <c r="Y3857" s="575"/>
    </row>
    <row r="3858" spans="11:25" s="88" customFormat="1" hidden="1">
      <c r="K3858" s="575"/>
      <c r="L3858" s="575"/>
      <c r="M3858" s="575"/>
      <c r="N3858" s="575"/>
      <c r="O3858" s="575"/>
      <c r="P3858" s="575"/>
      <c r="Q3858" s="575"/>
      <c r="R3858" s="575"/>
      <c r="S3858" s="575"/>
      <c r="T3858" s="575"/>
      <c r="U3858" s="575"/>
      <c r="V3858" s="575"/>
      <c r="W3858" s="575"/>
      <c r="X3858" s="575"/>
      <c r="Y3858" s="575"/>
    </row>
    <row r="3859" spans="11:25" s="88" customFormat="1" hidden="1">
      <c r="K3859" s="575"/>
      <c r="L3859" s="575"/>
      <c r="M3859" s="575"/>
      <c r="N3859" s="575"/>
      <c r="O3859" s="575"/>
      <c r="P3859" s="575"/>
      <c r="Q3859" s="575"/>
      <c r="R3859" s="575"/>
      <c r="S3859" s="575"/>
      <c r="T3859" s="575"/>
      <c r="U3859" s="575"/>
      <c r="V3859" s="575"/>
      <c r="W3859" s="575"/>
      <c r="X3859" s="575"/>
      <c r="Y3859" s="575"/>
    </row>
    <row r="3860" spans="11:25" s="88" customFormat="1" hidden="1">
      <c r="K3860" s="575"/>
      <c r="L3860" s="575"/>
      <c r="M3860" s="575"/>
      <c r="N3860" s="575"/>
      <c r="O3860" s="575"/>
      <c r="P3860" s="575"/>
      <c r="Q3860" s="575"/>
      <c r="R3860" s="575"/>
      <c r="S3860" s="575"/>
      <c r="T3860" s="575"/>
      <c r="U3860" s="575"/>
      <c r="V3860" s="575"/>
      <c r="W3860" s="575"/>
      <c r="X3860" s="575"/>
      <c r="Y3860" s="575"/>
    </row>
    <row r="3861" spans="11:25" s="88" customFormat="1" hidden="1">
      <c r="K3861" s="575"/>
      <c r="L3861" s="575"/>
      <c r="M3861" s="575"/>
      <c r="N3861" s="575"/>
      <c r="O3861" s="575"/>
      <c r="P3861" s="575"/>
      <c r="Q3861" s="575"/>
      <c r="R3861" s="575"/>
      <c r="S3861" s="575"/>
      <c r="T3861" s="575"/>
      <c r="U3861" s="575"/>
      <c r="V3861" s="575"/>
      <c r="W3861" s="575"/>
      <c r="X3861" s="575"/>
      <c r="Y3861" s="575"/>
    </row>
    <row r="3862" spans="11:25" s="88" customFormat="1" hidden="1">
      <c r="K3862" s="575"/>
      <c r="L3862" s="575"/>
      <c r="M3862" s="575"/>
      <c r="N3862" s="575"/>
      <c r="O3862" s="575"/>
      <c r="P3862" s="575"/>
      <c r="Q3862" s="575"/>
      <c r="R3862" s="575"/>
      <c r="S3862" s="575"/>
      <c r="T3862" s="575"/>
      <c r="U3862" s="575"/>
      <c r="V3862" s="575"/>
      <c r="W3862" s="575"/>
      <c r="X3862" s="575"/>
      <c r="Y3862" s="575"/>
    </row>
    <row r="3863" spans="11:25" s="88" customFormat="1" hidden="1">
      <c r="K3863" s="575"/>
      <c r="L3863" s="575"/>
      <c r="M3863" s="575"/>
      <c r="N3863" s="575"/>
      <c r="O3863" s="575"/>
      <c r="P3863" s="575"/>
      <c r="Q3863" s="575"/>
      <c r="R3863" s="575"/>
      <c r="S3863" s="575"/>
      <c r="T3863" s="575"/>
      <c r="U3863" s="575"/>
      <c r="V3863" s="575"/>
      <c r="W3863" s="575"/>
      <c r="X3863" s="575"/>
      <c r="Y3863" s="575"/>
    </row>
    <row r="3864" spans="11:25" s="88" customFormat="1" hidden="1">
      <c r="K3864" s="575"/>
      <c r="L3864" s="575"/>
      <c r="M3864" s="575"/>
      <c r="N3864" s="575"/>
      <c r="O3864" s="575"/>
      <c r="P3864" s="575"/>
      <c r="Q3864" s="575"/>
      <c r="R3864" s="575"/>
      <c r="S3864" s="575"/>
      <c r="T3864" s="575"/>
      <c r="U3864" s="575"/>
      <c r="V3864" s="575"/>
      <c r="W3864" s="575"/>
      <c r="X3864" s="575"/>
      <c r="Y3864" s="575"/>
    </row>
    <row r="3865" spans="11:25" s="88" customFormat="1" hidden="1">
      <c r="K3865" s="575"/>
      <c r="L3865" s="575"/>
      <c r="M3865" s="575"/>
      <c r="N3865" s="575"/>
      <c r="O3865" s="575"/>
      <c r="P3865" s="575"/>
      <c r="Q3865" s="575"/>
      <c r="R3865" s="575"/>
      <c r="S3865" s="575"/>
      <c r="T3865" s="575"/>
      <c r="U3865" s="575"/>
      <c r="V3865" s="575"/>
      <c r="W3865" s="575"/>
      <c r="X3865" s="575"/>
      <c r="Y3865" s="575"/>
    </row>
    <row r="3866" spans="11:25" s="88" customFormat="1" hidden="1">
      <c r="K3866" s="575"/>
      <c r="L3866" s="575"/>
      <c r="M3866" s="575"/>
      <c r="N3866" s="575"/>
      <c r="O3866" s="575"/>
      <c r="P3866" s="575"/>
      <c r="Q3866" s="575"/>
      <c r="R3866" s="575"/>
      <c r="S3866" s="575"/>
      <c r="T3866" s="575"/>
      <c r="U3866" s="575"/>
      <c r="V3866" s="575"/>
      <c r="W3866" s="575"/>
      <c r="X3866" s="575"/>
      <c r="Y3866" s="575"/>
    </row>
    <row r="3867" spans="11:25" s="88" customFormat="1" hidden="1">
      <c r="K3867" s="575"/>
      <c r="L3867" s="575"/>
      <c r="M3867" s="575"/>
      <c r="N3867" s="575"/>
      <c r="O3867" s="575"/>
      <c r="P3867" s="575"/>
      <c r="Q3867" s="575"/>
      <c r="R3867" s="575"/>
      <c r="S3867" s="575"/>
      <c r="T3867" s="575"/>
      <c r="U3867" s="575"/>
      <c r="V3867" s="575"/>
      <c r="W3867" s="575"/>
      <c r="X3867" s="575"/>
      <c r="Y3867" s="575"/>
    </row>
    <row r="3868" spans="11:25" s="88" customFormat="1" hidden="1">
      <c r="K3868" s="575"/>
      <c r="L3868" s="575"/>
      <c r="M3868" s="575"/>
      <c r="N3868" s="575"/>
      <c r="O3868" s="575"/>
      <c r="P3868" s="575"/>
      <c r="Q3868" s="575"/>
      <c r="R3868" s="575"/>
      <c r="S3868" s="575"/>
      <c r="T3868" s="575"/>
      <c r="U3868" s="575"/>
      <c r="V3868" s="575"/>
      <c r="W3868" s="575"/>
      <c r="X3868" s="575"/>
      <c r="Y3868" s="575"/>
    </row>
    <row r="3869" spans="11:25" s="88" customFormat="1" hidden="1">
      <c r="K3869" s="575"/>
      <c r="L3869" s="575"/>
      <c r="M3869" s="575"/>
      <c r="N3869" s="575"/>
      <c r="O3869" s="575"/>
      <c r="P3869" s="575"/>
      <c r="Q3869" s="575"/>
      <c r="R3869" s="575"/>
      <c r="S3869" s="575"/>
      <c r="T3869" s="575"/>
      <c r="U3869" s="575"/>
      <c r="V3869" s="575"/>
      <c r="W3869" s="575"/>
      <c r="X3869" s="575"/>
      <c r="Y3869" s="575"/>
    </row>
    <row r="3870" spans="11:25" s="88" customFormat="1" hidden="1">
      <c r="K3870" s="575"/>
      <c r="L3870" s="575"/>
      <c r="M3870" s="575"/>
      <c r="N3870" s="575"/>
      <c r="O3870" s="575"/>
      <c r="P3870" s="575"/>
      <c r="Q3870" s="575"/>
      <c r="R3870" s="575"/>
      <c r="S3870" s="575"/>
      <c r="T3870" s="575"/>
      <c r="U3870" s="575"/>
      <c r="V3870" s="575"/>
      <c r="W3870" s="575"/>
      <c r="X3870" s="575"/>
      <c r="Y3870" s="575"/>
    </row>
    <row r="3871" spans="11:25" s="88" customFormat="1" hidden="1">
      <c r="K3871" s="575"/>
      <c r="L3871" s="575"/>
      <c r="M3871" s="575"/>
      <c r="N3871" s="575"/>
      <c r="O3871" s="575"/>
      <c r="P3871" s="575"/>
      <c r="Q3871" s="575"/>
      <c r="R3871" s="575"/>
      <c r="S3871" s="575"/>
      <c r="T3871" s="575"/>
      <c r="U3871" s="575"/>
      <c r="V3871" s="575"/>
      <c r="W3871" s="575"/>
      <c r="X3871" s="575"/>
      <c r="Y3871" s="575"/>
    </row>
    <row r="3872" spans="11:25" s="88" customFormat="1" hidden="1">
      <c r="K3872" s="575"/>
      <c r="L3872" s="575"/>
      <c r="M3872" s="575"/>
      <c r="N3872" s="575"/>
      <c r="O3872" s="575"/>
      <c r="P3872" s="575"/>
      <c r="Q3872" s="575"/>
      <c r="R3872" s="575"/>
      <c r="S3872" s="575"/>
      <c r="T3872" s="575"/>
      <c r="U3872" s="575"/>
      <c r="V3872" s="575"/>
      <c r="W3872" s="575"/>
      <c r="X3872" s="575"/>
      <c r="Y3872" s="575"/>
    </row>
    <row r="3873" spans="11:25" s="88" customFormat="1" hidden="1">
      <c r="K3873" s="575"/>
      <c r="L3873" s="575"/>
      <c r="M3873" s="575"/>
      <c r="N3873" s="575"/>
      <c r="O3873" s="575"/>
      <c r="P3873" s="575"/>
      <c r="Q3873" s="575"/>
      <c r="R3873" s="575"/>
      <c r="S3873" s="575"/>
      <c r="T3873" s="575"/>
      <c r="U3873" s="575"/>
      <c r="V3873" s="575"/>
      <c r="W3873" s="575"/>
      <c r="X3873" s="575"/>
      <c r="Y3873" s="575"/>
    </row>
    <row r="3874" spans="11:25" s="88" customFormat="1" hidden="1">
      <c r="K3874" s="575"/>
      <c r="L3874" s="575"/>
      <c r="M3874" s="575"/>
      <c r="N3874" s="575"/>
      <c r="O3874" s="575"/>
      <c r="P3874" s="575"/>
      <c r="Q3874" s="575"/>
      <c r="R3874" s="575"/>
      <c r="S3874" s="575"/>
      <c r="T3874" s="575"/>
      <c r="U3874" s="575"/>
      <c r="V3874" s="575"/>
      <c r="W3874" s="575"/>
      <c r="X3874" s="575"/>
      <c r="Y3874" s="575"/>
    </row>
    <row r="3875" spans="11:25" s="88" customFormat="1" hidden="1">
      <c r="K3875" s="575"/>
      <c r="L3875" s="575"/>
      <c r="M3875" s="575"/>
      <c r="N3875" s="575"/>
      <c r="O3875" s="575"/>
      <c r="P3875" s="575"/>
      <c r="Q3875" s="575"/>
      <c r="R3875" s="575"/>
      <c r="S3875" s="575"/>
      <c r="T3875" s="575"/>
      <c r="U3875" s="575"/>
      <c r="V3875" s="575"/>
      <c r="W3875" s="575"/>
      <c r="X3875" s="575"/>
      <c r="Y3875" s="575"/>
    </row>
    <row r="3876" spans="11:25" s="88" customFormat="1" hidden="1">
      <c r="K3876" s="575"/>
      <c r="L3876" s="575"/>
      <c r="M3876" s="575"/>
      <c r="N3876" s="575"/>
      <c r="O3876" s="575"/>
      <c r="P3876" s="575"/>
      <c r="Q3876" s="575"/>
      <c r="R3876" s="575"/>
      <c r="S3876" s="575"/>
      <c r="T3876" s="575"/>
      <c r="U3876" s="575"/>
      <c r="V3876" s="575"/>
      <c r="W3876" s="575"/>
      <c r="X3876" s="575"/>
      <c r="Y3876" s="575"/>
    </row>
    <row r="3877" spans="11:25" s="88" customFormat="1" hidden="1">
      <c r="K3877" s="575"/>
      <c r="L3877" s="575"/>
      <c r="M3877" s="575"/>
      <c r="N3877" s="575"/>
      <c r="O3877" s="575"/>
      <c r="P3877" s="575"/>
      <c r="Q3877" s="575"/>
      <c r="R3877" s="575"/>
      <c r="S3877" s="575"/>
      <c r="T3877" s="575"/>
      <c r="U3877" s="575"/>
      <c r="V3877" s="575"/>
      <c r="W3877" s="575"/>
      <c r="X3877" s="575"/>
      <c r="Y3877" s="575"/>
    </row>
    <row r="3878" spans="11:25" s="88" customFormat="1" hidden="1">
      <c r="K3878" s="575"/>
      <c r="L3878" s="575"/>
      <c r="M3878" s="575"/>
      <c r="N3878" s="575"/>
      <c r="O3878" s="575"/>
      <c r="P3878" s="575"/>
      <c r="Q3878" s="575"/>
      <c r="R3878" s="575"/>
      <c r="S3878" s="575"/>
      <c r="T3878" s="575"/>
      <c r="U3878" s="575"/>
      <c r="V3878" s="575"/>
      <c r="W3878" s="575"/>
      <c r="X3878" s="575"/>
      <c r="Y3878" s="575"/>
    </row>
    <row r="3879" spans="11:25" s="88" customFormat="1" hidden="1">
      <c r="K3879" s="575"/>
      <c r="L3879" s="575"/>
      <c r="M3879" s="575"/>
      <c r="N3879" s="575"/>
      <c r="O3879" s="575"/>
      <c r="P3879" s="575"/>
      <c r="Q3879" s="575"/>
      <c r="R3879" s="575"/>
      <c r="S3879" s="575"/>
      <c r="T3879" s="575"/>
      <c r="U3879" s="575"/>
      <c r="V3879" s="575"/>
      <c r="W3879" s="575"/>
      <c r="X3879" s="575"/>
      <c r="Y3879" s="575"/>
    </row>
    <row r="3880" spans="11:25" s="88" customFormat="1" hidden="1">
      <c r="K3880" s="575"/>
      <c r="L3880" s="575"/>
      <c r="M3880" s="575"/>
      <c r="N3880" s="575"/>
      <c r="O3880" s="575"/>
      <c r="P3880" s="575"/>
      <c r="Q3880" s="575"/>
      <c r="R3880" s="575"/>
      <c r="S3880" s="575"/>
      <c r="T3880" s="575"/>
      <c r="U3880" s="575"/>
      <c r="V3880" s="575"/>
      <c r="W3880" s="575"/>
      <c r="X3880" s="575"/>
      <c r="Y3880" s="575"/>
    </row>
    <row r="3881" spans="11:25" s="88" customFormat="1" hidden="1">
      <c r="K3881" s="575"/>
      <c r="L3881" s="575"/>
      <c r="M3881" s="575"/>
      <c r="N3881" s="575"/>
      <c r="O3881" s="575"/>
      <c r="P3881" s="575"/>
      <c r="Q3881" s="575"/>
      <c r="R3881" s="575"/>
      <c r="S3881" s="575"/>
      <c r="T3881" s="575"/>
      <c r="U3881" s="575"/>
      <c r="V3881" s="575"/>
      <c r="W3881" s="575"/>
      <c r="X3881" s="575"/>
      <c r="Y3881" s="575"/>
    </row>
    <row r="3882" spans="11:25" s="88" customFormat="1" hidden="1">
      <c r="K3882" s="575"/>
      <c r="L3882" s="575"/>
      <c r="M3882" s="575"/>
      <c r="N3882" s="575"/>
      <c r="O3882" s="575"/>
      <c r="P3882" s="575"/>
      <c r="Q3882" s="575"/>
      <c r="R3882" s="575"/>
      <c r="S3882" s="575"/>
      <c r="T3882" s="575"/>
      <c r="U3882" s="575"/>
      <c r="V3882" s="575"/>
      <c r="W3882" s="575"/>
      <c r="X3882" s="575"/>
      <c r="Y3882" s="575"/>
    </row>
    <row r="3883" spans="11:25" s="88" customFormat="1" hidden="1">
      <c r="K3883" s="575"/>
      <c r="L3883" s="575"/>
      <c r="M3883" s="575"/>
      <c r="N3883" s="575"/>
      <c r="O3883" s="575"/>
      <c r="P3883" s="575"/>
      <c r="Q3883" s="575"/>
      <c r="R3883" s="575"/>
      <c r="S3883" s="575"/>
      <c r="T3883" s="575"/>
      <c r="U3883" s="575"/>
      <c r="V3883" s="575"/>
      <c r="W3883" s="575"/>
      <c r="X3883" s="575"/>
      <c r="Y3883" s="575"/>
    </row>
    <row r="3884" spans="11:25" s="88" customFormat="1" hidden="1">
      <c r="K3884" s="575"/>
      <c r="L3884" s="575"/>
      <c r="M3884" s="575"/>
      <c r="N3884" s="575"/>
      <c r="O3884" s="575"/>
      <c r="P3884" s="575"/>
      <c r="Q3884" s="575"/>
      <c r="R3884" s="575"/>
      <c r="S3884" s="575"/>
      <c r="T3884" s="575"/>
      <c r="U3884" s="575"/>
      <c r="V3884" s="575"/>
      <c r="W3884" s="575"/>
      <c r="X3884" s="575"/>
      <c r="Y3884" s="575"/>
    </row>
    <row r="3885" spans="11:25" s="88" customFormat="1" hidden="1">
      <c r="K3885" s="575"/>
      <c r="L3885" s="575"/>
      <c r="M3885" s="575"/>
      <c r="N3885" s="575"/>
      <c r="O3885" s="575"/>
      <c r="P3885" s="575"/>
      <c r="Q3885" s="575"/>
      <c r="R3885" s="575"/>
      <c r="S3885" s="575"/>
      <c r="T3885" s="575"/>
      <c r="U3885" s="575"/>
      <c r="V3885" s="575"/>
      <c r="W3885" s="575"/>
      <c r="X3885" s="575"/>
      <c r="Y3885" s="575"/>
    </row>
    <row r="3886" spans="11:25" s="88" customFormat="1" hidden="1">
      <c r="K3886" s="575"/>
      <c r="L3886" s="575"/>
      <c r="M3886" s="575"/>
      <c r="N3886" s="575"/>
      <c r="O3886" s="575"/>
      <c r="P3886" s="575"/>
      <c r="Q3886" s="575"/>
      <c r="R3886" s="575"/>
      <c r="S3886" s="575"/>
      <c r="T3886" s="575"/>
      <c r="U3886" s="575"/>
      <c r="V3886" s="575"/>
      <c r="W3886" s="575"/>
      <c r="X3886" s="575"/>
      <c r="Y3886" s="575"/>
    </row>
    <row r="3887" spans="11:25" s="88" customFormat="1" hidden="1">
      <c r="K3887" s="575"/>
      <c r="L3887" s="575"/>
      <c r="M3887" s="575"/>
      <c r="N3887" s="575"/>
      <c r="O3887" s="575"/>
      <c r="P3887" s="575"/>
      <c r="Q3887" s="575"/>
      <c r="R3887" s="575"/>
      <c r="S3887" s="575"/>
      <c r="T3887" s="575"/>
      <c r="U3887" s="575"/>
      <c r="V3887" s="575"/>
      <c r="W3887" s="575"/>
      <c r="X3887" s="575"/>
      <c r="Y3887" s="575"/>
    </row>
    <row r="3888" spans="11:25" s="88" customFormat="1" hidden="1">
      <c r="K3888" s="575"/>
      <c r="L3888" s="575"/>
      <c r="M3888" s="575"/>
      <c r="N3888" s="575"/>
      <c r="O3888" s="575"/>
      <c r="P3888" s="575"/>
      <c r="Q3888" s="575"/>
      <c r="R3888" s="575"/>
      <c r="S3888" s="575"/>
      <c r="T3888" s="575"/>
      <c r="U3888" s="575"/>
      <c r="V3888" s="575"/>
      <c r="W3888" s="575"/>
      <c r="X3888" s="575"/>
      <c r="Y3888" s="575"/>
    </row>
    <row r="3889" spans="11:25" s="88" customFormat="1" hidden="1">
      <c r="K3889" s="575"/>
      <c r="L3889" s="575"/>
      <c r="M3889" s="575"/>
      <c r="N3889" s="575"/>
      <c r="O3889" s="575"/>
      <c r="P3889" s="575"/>
      <c r="Q3889" s="575"/>
      <c r="R3889" s="575"/>
      <c r="S3889" s="575"/>
      <c r="T3889" s="575"/>
      <c r="U3889" s="575"/>
      <c r="V3889" s="575"/>
      <c r="W3889" s="575"/>
      <c r="X3889" s="575"/>
      <c r="Y3889" s="575"/>
    </row>
    <row r="3890" spans="11:25" s="88" customFormat="1" hidden="1">
      <c r="K3890" s="575"/>
      <c r="L3890" s="575"/>
      <c r="M3890" s="575"/>
      <c r="N3890" s="575"/>
      <c r="O3890" s="575"/>
      <c r="P3890" s="575"/>
      <c r="Q3890" s="575"/>
      <c r="R3890" s="575"/>
      <c r="S3890" s="575"/>
      <c r="T3890" s="575"/>
      <c r="U3890" s="575"/>
      <c r="V3890" s="575"/>
      <c r="W3890" s="575"/>
      <c r="X3890" s="575"/>
      <c r="Y3890" s="575"/>
    </row>
    <row r="3891" spans="11:25" s="88" customFormat="1" hidden="1">
      <c r="K3891" s="575"/>
      <c r="L3891" s="575"/>
      <c r="M3891" s="575"/>
      <c r="N3891" s="575"/>
      <c r="O3891" s="575"/>
      <c r="P3891" s="575"/>
      <c r="Q3891" s="575"/>
      <c r="R3891" s="575"/>
      <c r="S3891" s="575"/>
      <c r="T3891" s="575"/>
      <c r="U3891" s="575"/>
      <c r="V3891" s="575"/>
      <c r="W3891" s="575"/>
      <c r="X3891" s="575"/>
      <c r="Y3891" s="575"/>
    </row>
    <row r="3892" spans="11:25" s="88" customFormat="1" hidden="1">
      <c r="K3892" s="575"/>
      <c r="L3892" s="575"/>
      <c r="M3892" s="575"/>
      <c r="N3892" s="575"/>
      <c r="O3892" s="575"/>
      <c r="P3892" s="575"/>
      <c r="Q3892" s="575"/>
      <c r="R3892" s="575"/>
      <c r="S3892" s="575"/>
      <c r="T3892" s="575"/>
      <c r="U3892" s="575"/>
      <c r="V3892" s="575"/>
      <c r="W3892" s="575"/>
      <c r="X3892" s="575"/>
      <c r="Y3892" s="575"/>
    </row>
    <row r="3893" spans="11:25" s="88" customFormat="1" hidden="1">
      <c r="K3893" s="575"/>
      <c r="L3893" s="575"/>
      <c r="M3893" s="575"/>
      <c r="N3893" s="575"/>
      <c r="O3893" s="575"/>
      <c r="P3893" s="575"/>
      <c r="Q3893" s="575"/>
      <c r="R3893" s="575"/>
      <c r="S3893" s="575"/>
      <c r="T3893" s="575"/>
      <c r="U3893" s="575"/>
      <c r="V3893" s="575"/>
      <c r="W3893" s="575"/>
      <c r="X3893" s="575"/>
      <c r="Y3893" s="575"/>
    </row>
    <row r="3894" spans="11:25" s="88" customFormat="1" hidden="1">
      <c r="K3894" s="575"/>
      <c r="L3894" s="575"/>
      <c r="M3894" s="575"/>
      <c r="N3894" s="575"/>
      <c r="O3894" s="575"/>
      <c r="P3894" s="575"/>
      <c r="Q3894" s="575"/>
      <c r="R3894" s="575"/>
      <c r="S3894" s="575"/>
      <c r="T3894" s="575"/>
      <c r="U3894" s="575"/>
      <c r="V3894" s="575"/>
      <c r="W3894" s="575"/>
      <c r="X3894" s="575"/>
      <c r="Y3894" s="575"/>
    </row>
    <row r="3895" spans="11:25" s="88" customFormat="1" hidden="1">
      <c r="K3895" s="575"/>
      <c r="L3895" s="575"/>
      <c r="M3895" s="575"/>
      <c r="N3895" s="575"/>
      <c r="O3895" s="575"/>
      <c r="P3895" s="575"/>
      <c r="Q3895" s="575"/>
      <c r="R3895" s="575"/>
      <c r="S3895" s="575"/>
      <c r="T3895" s="575"/>
      <c r="U3895" s="575"/>
      <c r="V3895" s="575"/>
      <c r="W3895" s="575"/>
      <c r="X3895" s="575"/>
      <c r="Y3895" s="575"/>
    </row>
    <row r="3896" spans="11:25" s="88" customFormat="1" hidden="1">
      <c r="K3896" s="575"/>
      <c r="L3896" s="575"/>
      <c r="M3896" s="575"/>
      <c r="N3896" s="575"/>
      <c r="O3896" s="575"/>
      <c r="P3896" s="575"/>
      <c r="Q3896" s="575"/>
      <c r="R3896" s="575"/>
      <c r="S3896" s="575"/>
      <c r="T3896" s="575"/>
      <c r="U3896" s="575"/>
      <c r="V3896" s="575"/>
      <c r="W3896" s="575"/>
      <c r="X3896" s="575"/>
      <c r="Y3896" s="575"/>
    </row>
    <row r="3897" spans="11:25" s="88" customFormat="1" hidden="1">
      <c r="K3897" s="575"/>
      <c r="L3897" s="575"/>
      <c r="M3897" s="575"/>
      <c r="N3897" s="575"/>
      <c r="O3897" s="575"/>
      <c r="P3897" s="575"/>
      <c r="Q3897" s="575"/>
      <c r="R3897" s="575"/>
      <c r="S3897" s="575"/>
      <c r="T3897" s="575"/>
      <c r="U3897" s="575"/>
      <c r="V3897" s="575"/>
      <c r="W3897" s="575"/>
      <c r="X3897" s="575"/>
      <c r="Y3897" s="575"/>
    </row>
    <row r="3898" spans="11:25" s="88" customFormat="1" hidden="1">
      <c r="K3898" s="575"/>
      <c r="L3898" s="575"/>
      <c r="M3898" s="575"/>
      <c r="N3898" s="575"/>
      <c r="O3898" s="575"/>
      <c r="P3898" s="575"/>
      <c r="Q3898" s="575"/>
      <c r="R3898" s="575"/>
      <c r="S3898" s="575"/>
      <c r="T3898" s="575"/>
      <c r="U3898" s="575"/>
      <c r="V3898" s="575"/>
      <c r="W3898" s="575"/>
      <c r="X3898" s="575"/>
      <c r="Y3898" s="575"/>
    </row>
    <row r="3899" spans="11:25" s="88" customFormat="1" hidden="1">
      <c r="K3899" s="575"/>
      <c r="L3899" s="575"/>
      <c r="M3899" s="575"/>
      <c r="N3899" s="575"/>
      <c r="O3899" s="575"/>
      <c r="P3899" s="575"/>
      <c r="Q3899" s="575"/>
      <c r="R3899" s="575"/>
      <c r="S3899" s="575"/>
      <c r="T3899" s="575"/>
      <c r="U3899" s="575"/>
      <c r="V3899" s="575"/>
      <c r="W3899" s="575"/>
      <c r="X3899" s="575"/>
      <c r="Y3899" s="575"/>
    </row>
    <row r="3900" spans="11:25" s="88" customFormat="1" hidden="1">
      <c r="K3900" s="575"/>
      <c r="L3900" s="575"/>
      <c r="M3900" s="575"/>
      <c r="N3900" s="575"/>
      <c r="O3900" s="575"/>
      <c r="P3900" s="575"/>
      <c r="Q3900" s="575"/>
      <c r="R3900" s="575"/>
      <c r="S3900" s="575"/>
      <c r="T3900" s="575"/>
      <c r="U3900" s="575"/>
      <c r="V3900" s="575"/>
      <c r="W3900" s="575"/>
      <c r="X3900" s="575"/>
      <c r="Y3900" s="575"/>
    </row>
    <row r="3901" spans="11:25" s="88" customFormat="1" hidden="1">
      <c r="K3901" s="575"/>
      <c r="L3901" s="575"/>
      <c r="M3901" s="575"/>
      <c r="N3901" s="575"/>
      <c r="O3901" s="575"/>
      <c r="P3901" s="575"/>
      <c r="Q3901" s="575"/>
      <c r="R3901" s="575"/>
      <c r="S3901" s="575"/>
      <c r="T3901" s="575"/>
      <c r="U3901" s="575"/>
      <c r="V3901" s="575"/>
      <c r="W3901" s="575"/>
      <c r="X3901" s="575"/>
      <c r="Y3901" s="575"/>
    </row>
    <row r="3902" spans="11:25" s="88" customFormat="1" hidden="1">
      <c r="K3902" s="575"/>
      <c r="L3902" s="575"/>
      <c r="M3902" s="575"/>
      <c r="N3902" s="575"/>
      <c r="O3902" s="575"/>
      <c r="P3902" s="575"/>
      <c r="Q3902" s="575"/>
      <c r="R3902" s="575"/>
      <c r="S3902" s="575"/>
      <c r="T3902" s="575"/>
      <c r="U3902" s="575"/>
      <c r="V3902" s="575"/>
      <c r="W3902" s="575"/>
      <c r="X3902" s="575"/>
      <c r="Y3902" s="575"/>
    </row>
    <row r="3903" spans="11:25" s="88" customFormat="1" hidden="1">
      <c r="K3903" s="575"/>
      <c r="L3903" s="575"/>
      <c r="M3903" s="575"/>
      <c r="N3903" s="575"/>
      <c r="O3903" s="575"/>
      <c r="P3903" s="575"/>
      <c r="Q3903" s="575"/>
      <c r="R3903" s="575"/>
      <c r="S3903" s="575"/>
      <c r="T3903" s="575"/>
      <c r="U3903" s="575"/>
      <c r="V3903" s="575"/>
      <c r="W3903" s="575"/>
      <c r="X3903" s="575"/>
      <c r="Y3903" s="575"/>
    </row>
    <row r="3904" spans="11:25" s="88" customFormat="1" hidden="1">
      <c r="K3904" s="575"/>
      <c r="L3904" s="575"/>
      <c r="M3904" s="575"/>
      <c r="N3904" s="575"/>
      <c r="O3904" s="575"/>
      <c r="P3904" s="575"/>
      <c r="Q3904" s="575"/>
      <c r="R3904" s="575"/>
      <c r="S3904" s="575"/>
      <c r="T3904" s="575"/>
      <c r="U3904" s="575"/>
      <c r="V3904" s="575"/>
      <c r="W3904" s="575"/>
      <c r="X3904" s="575"/>
      <c r="Y3904" s="575"/>
    </row>
    <row r="3905" spans="11:25" s="88" customFormat="1" hidden="1">
      <c r="K3905" s="575"/>
      <c r="L3905" s="575"/>
      <c r="M3905" s="575"/>
      <c r="N3905" s="575"/>
      <c r="O3905" s="575"/>
      <c r="P3905" s="575"/>
      <c r="Q3905" s="575"/>
      <c r="R3905" s="575"/>
      <c r="S3905" s="575"/>
      <c r="T3905" s="575"/>
      <c r="U3905" s="575"/>
      <c r="V3905" s="575"/>
      <c r="W3905" s="575"/>
      <c r="X3905" s="575"/>
      <c r="Y3905" s="575"/>
    </row>
    <row r="3906" spans="11:25" s="88" customFormat="1" hidden="1">
      <c r="K3906" s="575"/>
      <c r="L3906" s="575"/>
      <c r="M3906" s="575"/>
      <c r="N3906" s="575"/>
      <c r="O3906" s="575"/>
      <c r="P3906" s="575"/>
      <c r="Q3906" s="575"/>
      <c r="R3906" s="575"/>
      <c r="S3906" s="575"/>
      <c r="T3906" s="575"/>
      <c r="U3906" s="575"/>
      <c r="V3906" s="575"/>
      <c r="W3906" s="575"/>
      <c r="X3906" s="575"/>
      <c r="Y3906" s="575"/>
    </row>
    <row r="3907" spans="11:25" s="88" customFormat="1" hidden="1">
      <c r="K3907" s="575"/>
      <c r="L3907" s="575"/>
      <c r="M3907" s="575"/>
      <c r="N3907" s="575"/>
      <c r="O3907" s="575"/>
      <c r="P3907" s="575"/>
      <c r="Q3907" s="575"/>
      <c r="R3907" s="575"/>
      <c r="S3907" s="575"/>
      <c r="T3907" s="575"/>
      <c r="U3907" s="575"/>
      <c r="V3907" s="575"/>
      <c r="W3907" s="575"/>
      <c r="X3907" s="575"/>
      <c r="Y3907" s="575"/>
    </row>
    <row r="3908" spans="11:25" s="88" customFormat="1" hidden="1">
      <c r="K3908" s="575"/>
      <c r="L3908" s="575"/>
      <c r="M3908" s="575"/>
      <c r="N3908" s="575"/>
      <c r="O3908" s="575"/>
      <c r="P3908" s="575"/>
      <c r="Q3908" s="575"/>
      <c r="R3908" s="575"/>
      <c r="S3908" s="575"/>
      <c r="T3908" s="575"/>
      <c r="U3908" s="575"/>
      <c r="V3908" s="575"/>
      <c r="W3908" s="575"/>
      <c r="X3908" s="575"/>
      <c r="Y3908" s="575"/>
    </row>
    <row r="3909" spans="11:25" s="88" customFormat="1" hidden="1">
      <c r="K3909" s="575"/>
      <c r="L3909" s="575"/>
      <c r="M3909" s="575"/>
      <c r="N3909" s="575"/>
      <c r="O3909" s="575"/>
      <c r="P3909" s="575"/>
      <c r="Q3909" s="575"/>
      <c r="R3909" s="575"/>
      <c r="S3909" s="575"/>
      <c r="T3909" s="575"/>
      <c r="U3909" s="575"/>
      <c r="V3909" s="575"/>
      <c r="W3909" s="575"/>
      <c r="X3909" s="575"/>
      <c r="Y3909" s="575"/>
    </row>
    <row r="3910" spans="11:25" s="88" customFormat="1" hidden="1">
      <c r="K3910" s="575"/>
      <c r="L3910" s="575"/>
      <c r="M3910" s="575"/>
      <c r="N3910" s="575"/>
      <c r="O3910" s="575"/>
      <c r="P3910" s="575"/>
      <c r="Q3910" s="575"/>
      <c r="R3910" s="575"/>
      <c r="S3910" s="575"/>
      <c r="T3910" s="575"/>
      <c r="U3910" s="575"/>
      <c r="V3910" s="575"/>
      <c r="W3910" s="575"/>
      <c r="X3910" s="575"/>
      <c r="Y3910" s="575"/>
    </row>
    <row r="3911" spans="11:25" s="88" customFormat="1" hidden="1">
      <c r="K3911" s="575"/>
      <c r="L3911" s="575"/>
      <c r="M3911" s="575"/>
      <c r="N3911" s="575"/>
      <c r="O3911" s="575"/>
      <c r="P3911" s="575"/>
      <c r="Q3911" s="575"/>
      <c r="R3911" s="575"/>
      <c r="S3911" s="575"/>
      <c r="T3911" s="575"/>
      <c r="U3911" s="575"/>
      <c r="V3911" s="575"/>
      <c r="W3911" s="575"/>
      <c r="X3911" s="575"/>
      <c r="Y3911" s="575"/>
    </row>
    <row r="3912" spans="11:25" s="88" customFormat="1" hidden="1">
      <c r="K3912" s="575"/>
      <c r="L3912" s="575"/>
      <c r="M3912" s="575"/>
      <c r="N3912" s="575"/>
      <c r="O3912" s="575"/>
      <c r="P3912" s="575"/>
      <c r="Q3912" s="575"/>
      <c r="R3912" s="575"/>
      <c r="S3912" s="575"/>
      <c r="T3912" s="575"/>
      <c r="U3912" s="575"/>
      <c r="V3912" s="575"/>
      <c r="W3912" s="575"/>
      <c r="X3912" s="575"/>
      <c r="Y3912" s="575"/>
    </row>
    <row r="3913" spans="11:25" s="88" customFormat="1" hidden="1">
      <c r="K3913" s="575"/>
      <c r="L3913" s="575"/>
      <c r="M3913" s="575"/>
      <c r="N3913" s="575"/>
      <c r="O3913" s="575"/>
      <c r="P3913" s="575"/>
      <c r="Q3913" s="575"/>
      <c r="R3913" s="575"/>
      <c r="S3913" s="575"/>
      <c r="T3913" s="575"/>
      <c r="U3913" s="575"/>
      <c r="V3913" s="575"/>
      <c r="W3913" s="575"/>
      <c r="X3913" s="575"/>
      <c r="Y3913" s="575"/>
    </row>
    <row r="3914" spans="11:25" s="88" customFormat="1" hidden="1">
      <c r="K3914" s="575"/>
      <c r="L3914" s="575"/>
      <c r="M3914" s="575"/>
      <c r="N3914" s="575"/>
      <c r="O3914" s="575"/>
      <c r="P3914" s="575"/>
      <c r="Q3914" s="575"/>
      <c r="R3914" s="575"/>
      <c r="S3914" s="575"/>
      <c r="T3914" s="575"/>
      <c r="U3914" s="575"/>
      <c r="V3914" s="575"/>
      <c r="W3914" s="575"/>
      <c r="X3914" s="575"/>
      <c r="Y3914" s="575"/>
    </row>
    <row r="3915" spans="11:25" s="88" customFormat="1" hidden="1">
      <c r="K3915" s="575"/>
      <c r="L3915" s="575"/>
      <c r="M3915" s="575"/>
      <c r="N3915" s="575"/>
      <c r="O3915" s="575"/>
      <c r="P3915" s="575"/>
      <c r="Q3915" s="575"/>
      <c r="R3915" s="575"/>
      <c r="S3915" s="575"/>
      <c r="T3915" s="575"/>
      <c r="U3915" s="575"/>
      <c r="V3915" s="575"/>
      <c r="W3915" s="575"/>
      <c r="X3915" s="575"/>
      <c r="Y3915" s="575"/>
    </row>
    <row r="3916" spans="11:25" s="88" customFormat="1" hidden="1">
      <c r="K3916" s="575"/>
      <c r="L3916" s="575"/>
      <c r="M3916" s="575"/>
      <c r="N3916" s="575"/>
      <c r="O3916" s="575"/>
      <c r="P3916" s="575"/>
      <c r="Q3916" s="575"/>
      <c r="R3916" s="575"/>
      <c r="S3916" s="575"/>
      <c r="T3916" s="575"/>
      <c r="U3916" s="575"/>
      <c r="V3916" s="575"/>
      <c r="W3916" s="575"/>
      <c r="X3916" s="575"/>
      <c r="Y3916" s="575"/>
    </row>
    <row r="3917" spans="11:25" s="88" customFormat="1" hidden="1">
      <c r="K3917" s="575"/>
      <c r="L3917" s="575"/>
      <c r="M3917" s="575"/>
      <c r="N3917" s="575"/>
      <c r="O3917" s="575"/>
      <c r="P3917" s="575"/>
      <c r="Q3917" s="575"/>
      <c r="R3917" s="575"/>
      <c r="S3917" s="575"/>
      <c r="T3917" s="575"/>
      <c r="U3917" s="575"/>
      <c r="V3917" s="575"/>
      <c r="W3917" s="575"/>
      <c r="X3917" s="575"/>
      <c r="Y3917" s="575"/>
    </row>
    <row r="3918" spans="11:25" s="88" customFormat="1" hidden="1">
      <c r="K3918" s="575"/>
      <c r="L3918" s="575"/>
      <c r="M3918" s="575"/>
      <c r="N3918" s="575"/>
      <c r="O3918" s="575"/>
      <c r="P3918" s="575"/>
      <c r="Q3918" s="575"/>
      <c r="R3918" s="575"/>
      <c r="S3918" s="575"/>
      <c r="T3918" s="575"/>
      <c r="U3918" s="575"/>
      <c r="V3918" s="575"/>
      <c r="W3918" s="575"/>
      <c r="X3918" s="575"/>
      <c r="Y3918" s="575"/>
    </row>
    <row r="3919" spans="11:25" s="88" customFormat="1" hidden="1">
      <c r="K3919" s="575"/>
      <c r="L3919" s="575"/>
      <c r="M3919" s="575"/>
      <c r="N3919" s="575"/>
      <c r="O3919" s="575"/>
      <c r="P3919" s="575"/>
      <c r="Q3919" s="575"/>
      <c r="R3919" s="575"/>
      <c r="S3919" s="575"/>
      <c r="T3919" s="575"/>
      <c r="U3919" s="575"/>
      <c r="V3919" s="575"/>
      <c r="W3919" s="575"/>
      <c r="X3919" s="575"/>
      <c r="Y3919" s="575"/>
    </row>
    <row r="3920" spans="11:25" s="88" customFormat="1" hidden="1">
      <c r="K3920" s="575"/>
      <c r="L3920" s="575"/>
      <c r="M3920" s="575"/>
      <c r="N3920" s="575"/>
      <c r="O3920" s="575"/>
      <c r="P3920" s="575"/>
      <c r="Q3920" s="575"/>
      <c r="R3920" s="575"/>
      <c r="S3920" s="575"/>
      <c r="T3920" s="575"/>
      <c r="U3920" s="575"/>
      <c r="V3920" s="575"/>
      <c r="W3920" s="575"/>
      <c r="X3920" s="575"/>
      <c r="Y3920" s="575"/>
    </row>
    <row r="3921" spans="1:25" s="88" customFormat="1" hidden="1">
      <c r="K3921" s="575"/>
      <c r="L3921" s="575"/>
      <c r="M3921" s="575"/>
      <c r="N3921" s="575"/>
      <c r="O3921" s="575"/>
      <c r="P3921" s="575"/>
      <c r="Q3921" s="575"/>
      <c r="R3921" s="575"/>
      <c r="S3921" s="575"/>
      <c r="T3921" s="575"/>
      <c r="U3921" s="575"/>
      <c r="V3921" s="575"/>
      <c r="W3921" s="575"/>
      <c r="X3921" s="575"/>
      <c r="Y3921" s="575"/>
    </row>
    <row r="3922" spans="1:25" s="88" customFormat="1" hidden="1">
      <c r="K3922" s="575"/>
      <c r="L3922" s="575"/>
      <c r="M3922" s="575"/>
      <c r="N3922" s="575"/>
      <c r="O3922" s="575"/>
      <c r="P3922" s="575"/>
      <c r="Q3922" s="575"/>
      <c r="R3922" s="575"/>
      <c r="S3922" s="575"/>
      <c r="T3922" s="575"/>
      <c r="U3922" s="575"/>
      <c r="V3922" s="575"/>
      <c r="W3922" s="575"/>
      <c r="X3922" s="575"/>
      <c r="Y3922" s="575"/>
    </row>
    <row r="3923" spans="1:25" s="88" customFormat="1" hidden="1">
      <c r="K3923" s="575"/>
      <c r="L3923" s="575"/>
      <c r="M3923" s="575"/>
      <c r="N3923" s="575"/>
      <c r="O3923" s="575"/>
      <c r="P3923" s="575"/>
      <c r="Q3923" s="575"/>
      <c r="R3923" s="575"/>
      <c r="S3923" s="575"/>
      <c r="T3923" s="575"/>
      <c r="U3923" s="575"/>
      <c r="V3923" s="575"/>
      <c r="W3923" s="575"/>
      <c r="X3923" s="575"/>
      <c r="Y3923" s="575"/>
    </row>
    <row r="3924" spans="1:25" s="88" customFormat="1" hidden="1">
      <c r="K3924" s="575"/>
      <c r="L3924" s="575"/>
      <c r="M3924" s="575"/>
      <c r="N3924" s="575"/>
      <c r="O3924" s="575"/>
      <c r="P3924" s="575"/>
      <c r="Q3924" s="575"/>
      <c r="R3924" s="575"/>
      <c r="S3924" s="575"/>
      <c r="T3924" s="575"/>
      <c r="U3924" s="575"/>
      <c r="V3924" s="575"/>
      <c r="W3924" s="575"/>
      <c r="X3924" s="575"/>
      <c r="Y3924" s="575"/>
    </row>
    <row r="3925" spans="1:25" s="88" customFormat="1" hidden="1">
      <c r="K3925" s="575"/>
      <c r="L3925" s="575"/>
      <c r="M3925" s="575"/>
      <c r="N3925" s="575"/>
      <c r="O3925" s="575"/>
      <c r="P3925" s="575"/>
      <c r="Q3925" s="575"/>
      <c r="R3925" s="575"/>
      <c r="S3925" s="575"/>
      <c r="T3925" s="575"/>
      <c r="U3925" s="575"/>
      <c r="V3925" s="575"/>
      <c r="W3925" s="575"/>
      <c r="X3925" s="575"/>
      <c r="Y3925" s="575"/>
    </row>
    <row r="3926" spans="1:25" s="88" customFormat="1" hidden="1">
      <c r="K3926" s="575"/>
      <c r="L3926" s="575"/>
      <c r="M3926" s="575"/>
      <c r="N3926" s="575"/>
      <c r="O3926" s="575"/>
      <c r="P3926" s="575"/>
      <c r="Q3926" s="575"/>
      <c r="R3926" s="575"/>
      <c r="S3926" s="575"/>
      <c r="T3926" s="575"/>
      <c r="U3926" s="575"/>
      <c r="V3926" s="575"/>
      <c r="W3926" s="575"/>
      <c r="X3926" s="575"/>
      <c r="Y3926" s="575"/>
    </row>
    <row r="3927" spans="1:25" s="88" customFormat="1" hidden="1">
      <c r="K3927" s="575"/>
      <c r="L3927" s="575"/>
      <c r="M3927" s="575"/>
      <c r="N3927" s="575"/>
      <c r="O3927" s="575"/>
      <c r="P3927" s="575"/>
      <c r="Q3927" s="575"/>
      <c r="R3927" s="575"/>
      <c r="S3927" s="575"/>
      <c r="T3927" s="575"/>
      <c r="U3927" s="575"/>
      <c r="V3927" s="575"/>
      <c r="W3927" s="575"/>
      <c r="X3927" s="575"/>
      <c r="Y3927" s="575"/>
    </row>
    <row r="3928" spans="1:25" s="88" customFormat="1" hidden="1">
      <c r="K3928" s="575"/>
      <c r="L3928" s="575"/>
      <c r="M3928" s="575"/>
      <c r="N3928" s="575"/>
      <c r="O3928" s="575"/>
      <c r="P3928" s="575"/>
      <c r="Q3928" s="575"/>
      <c r="R3928" s="575"/>
      <c r="S3928" s="575"/>
      <c r="T3928" s="575"/>
      <c r="U3928" s="575"/>
      <c r="V3928" s="575"/>
      <c r="W3928" s="575"/>
      <c r="X3928" s="575"/>
      <c r="Y3928" s="575"/>
    </row>
    <row r="3929" spans="1:25" s="88" customFormat="1" hidden="1">
      <c r="K3929" s="575"/>
      <c r="L3929" s="575"/>
      <c r="M3929" s="575"/>
      <c r="N3929" s="575"/>
      <c r="O3929" s="575"/>
      <c r="P3929" s="575"/>
      <c r="Q3929" s="575"/>
      <c r="R3929" s="575"/>
      <c r="S3929" s="575"/>
      <c r="T3929" s="575"/>
      <c r="U3929" s="575"/>
      <c r="V3929" s="575"/>
      <c r="W3929" s="575"/>
      <c r="X3929" s="575"/>
      <c r="Y3929" s="575"/>
    </row>
    <row r="3930" spans="1:25" s="88" customFormat="1" ht="3" customHeight="1">
      <c r="A3930" s="263"/>
      <c r="B3930" s="263"/>
      <c r="C3930" s="266"/>
      <c r="D3930" s="263"/>
      <c r="E3930" s="263"/>
      <c r="F3930" s="263"/>
      <c r="G3930" s="331"/>
      <c r="H3930" s="644"/>
      <c r="I3930" s="645"/>
      <c r="J3930" s="645"/>
      <c r="K3930" s="575"/>
      <c r="L3930" s="575"/>
      <c r="M3930" s="575"/>
      <c r="N3930" s="575"/>
      <c r="O3930" s="575"/>
      <c r="P3930" s="575"/>
      <c r="Q3930" s="575"/>
      <c r="R3930" s="575"/>
      <c r="S3930" s="575"/>
      <c r="T3930" s="575"/>
      <c r="U3930" s="575"/>
      <c r="V3930" s="575"/>
      <c r="W3930" s="575"/>
      <c r="X3930" s="575"/>
      <c r="Y3930" s="575"/>
    </row>
    <row r="3931" spans="1:25" s="88" customFormat="1">
      <c r="A3931" s="263"/>
      <c r="B3931" s="263"/>
      <c r="C3931" s="273" t="s">
        <v>3561</v>
      </c>
      <c r="D3931" s="263"/>
      <c r="E3931" s="263"/>
      <c r="F3931" s="263"/>
      <c r="G3931" s="421" t="s">
        <v>4309</v>
      </c>
      <c r="H3931" s="634"/>
      <c r="I3931" s="635"/>
      <c r="J3931" s="635"/>
      <c r="K3931" s="575"/>
      <c r="L3931" s="575"/>
      <c r="M3931" s="575"/>
      <c r="N3931" s="575"/>
      <c r="O3931" s="575"/>
      <c r="P3931" s="575"/>
      <c r="Q3931" s="575"/>
      <c r="R3931" s="575"/>
      <c r="S3931" s="575"/>
      <c r="T3931" s="575"/>
      <c r="U3931" s="575"/>
      <c r="V3931" s="575"/>
      <c r="W3931" s="575"/>
      <c r="X3931" s="575"/>
      <c r="Y3931" s="575"/>
    </row>
    <row r="3932" spans="1:25" s="88" customFormat="1">
      <c r="A3932" s="422"/>
      <c r="B3932" s="301"/>
      <c r="C3932" s="321" t="s">
        <v>4411</v>
      </c>
      <c r="D3932" s="264"/>
      <c r="E3932" s="264"/>
      <c r="F3932" s="322"/>
      <c r="G3932" s="323" t="s">
        <v>183</v>
      </c>
      <c r="H3932" s="667"/>
      <c r="I3932" s="650"/>
      <c r="J3932" s="668"/>
      <c r="K3932" s="575"/>
      <c r="L3932" s="575"/>
      <c r="M3932" s="575"/>
      <c r="N3932" s="575"/>
      <c r="O3932" s="575"/>
      <c r="P3932" s="575"/>
      <c r="Q3932" s="575"/>
      <c r="R3932" s="575"/>
      <c r="S3932" s="575"/>
      <c r="T3932" s="575"/>
      <c r="U3932" s="575"/>
      <c r="V3932" s="575"/>
      <c r="W3932" s="575"/>
      <c r="X3932" s="575"/>
      <c r="Y3932" s="575"/>
    </row>
    <row r="3933" spans="1:25" s="88" customFormat="1">
      <c r="A3933" s="263"/>
      <c r="B3933" s="263"/>
      <c r="C3933" s="273"/>
      <c r="D3933" s="357">
        <v>630</v>
      </c>
      <c r="E3933" s="357"/>
      <c r="F3933" s="357"/>
      <c r="G3933" s="358" t="s">
        <v>183</v>
      </c>
      <c r="H3933" s="634"/>
      <c r="I3933" s="635"/>
      <c r="J3933" s="635"/>
      <c r="K3933" s="575"/>
      <c r="L3933" s="575"/>
      <c r="M3933" s="575"/>
      <c r="N3933" s="575"/>
      <c r="O3933" s="575"/>
      <c r="P3933" s="575"/>
      <c r="Q3933" s="575"/>
      <c r="R3933" s="575"/>
      <c r="S3933" s="575"/>
      <c r="T3933" s="575"/>
      <c r="U3933" s="575"/>
      <c r="V3933" s="575"/>
      <c r="W3933" s="575"/>
      <c r="X3933" s="575"/>
      <c r="Y3933" s="575"/>
    </row>
    <row r="3934" spans="1:25" s="88" customFormat="1" hidden="1">
      <c r="A3934" s="263"/>
      <c r="B3934" s="263"/>
      <c r="C3934" s="266"/>
      <c r="D3934" s="263"/>
      <c r="E3934" s="263"/>
      <c r="F3934" s="425">
        <v>411</v>
      </c>
      <c r="G3934" s="420" t="s">
        <v>4173</v>
      </c>
      <c r="H3934" s="634"/>
      <c r="I3934" s="635"/>
      <c r="J3934" s="635">
        <f>SUM(H3934:I3934)</f>
        <v>0</v>
      </c>
      <c r="K3934" s="575"/>
      <c r="L3934" s="575"/>
      <c r="M3934" s="575"/>
      <c r="N3934" s="575"/>
      <c r="O3934" s="575"/>
      <c r="P3934" s="575"/>
      <c r="Q3934" s="575"/>
      <c r="R3934" s="575"/>
      <c r="S3934" s="575"/>
      <c r="T3934" s="575"/>
      <c r="U3934" s="575"/>
      <c r="V3934" s="575"/>
      <c r="W3934" s="575"/>
      <c r="X3934" s="575"/>
      <c r="Y3934" s="575"/>
    </row>
    <row r="3935" spans="1:25" s="88" customFormat="1" hidden="1">
      <c r="A3935" s="263"/>
      <c r="B3935" s="263"/>
      <c r="C3935" s="266"/>
      <c r="D3935" s="263"/>
      <c r="E3935" s="263"/>
      <c r="F3935" s="425">
        <v>412</v>
      </c>
      <c r="G3935" s="418" t="s">
        <v>3770</v>
      </c>
      <c r="H3935" s="634"/>
      <c r="I3935" s="635"/>
      <c r="J3935" s="635">
        <f t="shared" ref="J3935:J3993" si="121">SUM(H3935:I3935)</f>
        <v>0</v>
      </c>
      <c r="K3935" s="575"/>
      <c r="L3935" s="575"/>
      <c r="M3935" s="575"/>
      <c r="N3935" s="575"/>
      <c r="O3935" s="575"/>
      <c r="P3935" s="575"/>
      <c r="Q3935" s="575"/>
      <c r="R3935" s="575"/>
      <c r="S3935" s="575"/>
      <c r="T3935" s="575"/>
      <c r="U3935" s="575"/>
      <c r="V3935" s="575"/>
      <c r="W3935" s="575"/>
      <c r="X3935" s="575"/>
      <c r="Y3935" s="575"/>
    </row>
    <row r="3936" spans="1:25" s="88" customFormat="1" hidden="1">
      <c r="A3936" s="263"/>
      <c r="B3936" s="263"/>
      <c r="C3936" s="266"/>
      <c r="D3936" s="263"/>
      <c r="E3936" s="263"/>
      <c r="F3936" s="425">
        <v>413</v>
      </c>
      <c r="G3936" s="420" t="s">
        <v>4174</v>
      </c>
      <c r="H3936" s="634"/>
      <c r="I3936" s="635"/>
      <c r="J3936" s="635">
        <f t="shared" si="121"/>
        <v>0</v>
      </c>
      <c r="K3936" s="575"/>
      <c r="L3936" s="575"/>
      <c r="M3936" s="575"/>
      <c r="N3936" s="575"/>
      <c r="O3936" s="575"/>
      <c r="P3936" s="575"/>
      <c r="Q3936" s="575"/>
      <c r="R3936" s="575"/>
      <c r="S3936" s="575"/>
      <c r="T3936" s="575"/>
      <c r="U3936" s="575"/>
      <c r="V3936" s="575"/>
      <c r="W3936" s="575"/>
      <c r="X3936" s="575"/>
      <c r="Y3936" s="575"/>
    </row>
    <row r="3937" spans="1:25" s="88" customFormat="1" hidden="1">
      <c r="A3937" s="263"/>
      <c r="B3937" s="263"/>
      <c r="C3937" s="266"/>
      <c r="D3937" s="263"/>
      <c r="E3937" s="263"/>
      <c r="F3937" s="425">
        <v>414</v>
      </c>
      <c r="G3937" s="420" t="s">
        <v>3773</v>
      </c>
      <c r="H3937" s="634"/>
      <c r="I3937" s="635"/>
      <c r="J3937" s="635">
        <f t="shared" si="121"/>
        <v>0</v>
      </c>
      <c r="K3937" s="575"/>
      <c r="L3937" s="575"/>
      <c r="M3937" s="575"/>
      <c r="N3937" s="575"/>
      <c r="O3937" s="575"/>
      <c r="P3937" s="575"/>
      <c r="Q3937" s="575"/>
      <c r="R3937" s="575"/>
      <c r="S3937" s="575"/>
      <c r="T3937" s="575"/>
      <c r="U3937" s="575"/>
      <c r="V3937" s="575"/>
      <c r="W3937" s="575"/>
      <c r="X3937" s="575"/>
      <c r="Y3937" s="575"/>
    </row>
    <row r="3938" spans="1:25" s="88" customFormat="1" hidden="1">
      <c r="A3938" s="263"/>
      <c r="B3938" s="263"/>
      <c r="C3938" s="266"/>
      <c r="D3938" s="263"/>
      <c r="E3938" s="263"/>
      <c r="F3938" s="425">
        <v>415</v>
      </c>
      <c r="G3938" s="420" t="s">
        <v>4183</v>
      </c>
      <c r="H3938" s="634"/>
      <c r="I3938" s="635"/>
      <c r="J3938" s="635">
        <f t="shared" si="121"/>
        <v>0</v>
      </c>
      <c r="K3938" s="575"/>
      <c r="L3938" s="575"/>
      <c r="M3938" s="575"/>
      <c r="N3938" s="575"/>
      <c r="O3938" s="575"/>
      <c r="P3938" s="575"/>
      <c r="Q3938" s="575"/>
      <c r="R3938" s="575"/>
      <c r="S3938" s="575"/>
      <c r="T3938" s="575"/>
      <c r="U3938" s="575"/>
      <c r="V3938" s="575"/>
      <c r="W3938" s="575"/>
      <c r="X3938" s="575"/>
      <c r="Y3938" s="575"/>
    </row>
    <row r="3939" spans="1:25" s="88" customFormat="1" hidden="1">
      <c r="A3939" s="263"/>
      <c r="B3939" s="263"/>
      <c r="C3939" s="266"/>
      <c r="D3939" s="263"/>
      <c r="E3939" s="263"/>
      <c r="F3939" s="425">
        <v>416</v>
      </c>
      <c r="G3939" s="420" t="s">
        <v>4184</v>
      </c>
      <c r="H3939" s="634"/>
      <c r="I3939" s="635"/>
      <c r="J3939" s="635">
        <f t="shared" si="121"/>
        <v>0</v>
      </c>
      <c r="K3939" s="575"/>
      <c r="L3939" s="575"/>
      <c r="M3939" s="575"/>
      <c r="N3939" s="575"/>
      <c r="O3939" s="575"/>
      <c r="P3939" s="575"/>
      <c r="Q3939" s="575"/>
      <c r="R3939" s="575"/>
      <c r="S3939" s="575"/>
      <c r="T3939" s="575"/>
      <c r="U3939" s="575"/>
      <c r="V3939" s="575"/>
      <c r="W3939" s="575"/>
      <c r="X3939" s="575"/>
      <c r="Y3939" s="575"/>
    </row>
    <row r="3940" spans="1:25" s="88" customFormat="1" hidden="1">
      <c r="A3940" s="263"/>
      <c r="B3940" s="263"/>
      <c r="C3940" s="266"/>
      <c r="D3940" s="263"/>
      <c r="E3940" s="263"/>
      <c r="F3940" s="425">
        <v>417</v>
      </c>
      <c r="G3940" s="420" t="s">
        <v>4185</v>
      </c>
      <c r="H3940" s="634"/>
      <c r="I3940" s="635"/>
      <c r="J3940" s="635">
        <f t="shared" si="121"/>
        <v>0</v>
      </c>
      <c r="K3940" s="575"/>
      <c r="L3940" s="575"/>
      <c r="M3940" s="575"/>
      <c r="N3940" s="575"/>
      <c r="O3940" s="575"/>
      <c r="P3940" s="575"/>
      <c r="Q3940" s="575"/>
      <c r="R3940" s="575"/>
      <c r="S3940" s="575"/>
      <c r="T3940" s="575"/>
      <c r="U3940" s="575"/>
      <c r="V3940" s="575"/>
      <c r="W3940" s="575"/>
      <c r="X3940" s="575"/>
      <c r="Y3940" s="575"/>
    </row>
    <row r="3941" spans="1:25" s="88" customFormat="1" hidden="1">
      <c r="A3941" s="263"/>
      <c r="B3941" s="263"/>
      <c r="C3941" s="266"/>
      <c r="D3941" s="263"/>
      <c r="E3941" s="263"/>
      <c r="F3941" s="425">
        <v>418</v>
      </c>
      <c r="G3941" s="420" t="s">
        <v>3779</v>
      </c>
      <c r="H3941" s="634"/>
      <c r="I3941" s="635"/>
      <c r="J3941" s="635">
        <f t="shared" si="121"/>
        <v>0</v>
      </c>
      <c r="K3941" s="575"/>
      <c r="L3941" s="575"/>
      <c r="M3941" s="575"/>
      <c r="N3941" s="575"/>
      <c r="O3941" s="575"/>
      <c r="P3941" s="575"/>
      <c r="Q3941" s="575"/>
      <c r="R3941" s="575"/>
      <c r="S3941" s="575"/>
      <c r="T3941" s="575"/>
      <c r="U3941" s="575"/>
      <c r="V3941" s="575"/>
      <c r="W3941" s="575"/>
      <c r="X3941" s="575"/>
      <c r="Y3941" s="575"/>
    </row>
    <row r="3942" spans="1:25" s="88" customFormat="1" hidden="1">
      <c r="A3942" s="263"/>
      <c r="B3942" s="263"/>
      <c r="C3942" s="266"/>
      <c r="D3942" s="263"/>
      <c r="E3942" s="263"/>
      <c r="F3942" s="425">
        <v>421</v>
      </c>
      <c r="G3942" s="420" t="s">
        <v>3783</v>
      </c>
      <c r="H3942" s="634"/>
      <c r="I3942" s="635"/>
      <c r="J3942" s="635">
        <f t="shared" si="121"/>
        <v>0</v>
      </c>
      <c r="K3942" s="575"/>
      <c r="L3942" s="575"/>
      <c r="M3942" s="575"/>
      <c r="N3942" s="575"/>
      <c r="O3942" s="575"/>
      <c r="P3942" s="575"/>
      <c r="Q3942" s="575"/>
      <c r="R3942" s="575"/>
      <c r="S3942" s="575"/>
      <c r="T3942" s="575"/>
      <c r="U3942" s="575"/>
      <c r="V3942" s="575"/>
      <c r="W3942" s="575"/>
      <c r="X3942" s="575"/>
      <c r="Y3942" s="575"/>
    </row>
    <row r="3943" spans="1:25" s="88" customFormat="1" hidden="1">
      <c r="A3943" s="263"/>
      <c r="B3943" s="263"/>
      <c r="C3943" s="266"/>
      <c r="D3943" s="263"/>
      <c r="E3943" s="263"/>
      <c r="F3943" s="425">
        <v>422</v>
      </c>
      <c r="G3943" s="420" t="s">
        <v>3784</v>
      </c>
      <c r="H3943" s="634"/>
      <c r="I3943" s="635"/>
      <c r="J3943" s="635">
        <f t="shared" si="121"/>
        <v>0</v>
      </c>
      <c r="K3943" s="575"/>
      <c r="L3943" s="575"/>
      <c r="M3943" s="575"/>
      <c r="N3943" s="575"/>
      <c r="O3943" s="575"/>
      <c r="P3943" s="575"/>
      <c r="Q3943" s="575"/>
      <c r="R3943" s="575"/>
      <c r="S3943" s="575"/>
      <c r="T3943" s="575"/>
      <c r="U3943" s="575"/>
      <c r="V3943" s="575"/>
      <c r="W3943" s="575"/>
      <c r="X3943" s="575"/>
      <c r="Y3943" s="575"/>
    </row>
    <row r="3944" spans="1:25" s="88" customFormat="1" hidden="1">
      <c r="A3944" s="263"/>
      <c r="B3944" s="263"/>
      <c r="C3944" s="266"/>
      <c r="D3944" s="263"/>
      <c r="E3944" s="263"/>
      <c r="F3944" s="425">
        <v>423</v>
      </c>
      <c r="G3944" s="420" t="s">
        <v>3785</v>
      </c>
      <c r="H3944" s="634"/>
      <c r="I3944" s="635"/>
      <c r="J3944" s="635">
        <f t="shared" si="121"/>
        <v>0</v>
      </c>
      <c r="K3944" s="575"/>
      <c r="L3944" s="575"/>
      <c r="M3944" s="575"/>
      <c r="N3944" s="575"/>
      <c r="O3944" s="575"/>
      <c r="P3944" s="575"/>
      <c r="Q3944" s="575"/>
      <c r="R3944" s="575"/>
      <c r="S3944" s="575"/>
      <c r="T3944" s="575"/>
      <c r="U3944" s="575"/>
      <c r="V3944" s="575"/>
      <c r="W3944" s="575"/>
      <c r="X3944" s="575"/>
      <c r="Y3944" s="575"/>
    </row>
    <row r="3945" spans="1:25" s="88" customFormat="1" hidden="1">
      <c r="A3945" s="263"/>
      <c r="B3945" s="263"/>
      <c r="C3945" s="266"/>
      <c r="D3945" s="263"/>
      <c r="E3945" s="263"/>
      <c r="F3945" s="425">
        <v>424</v>
      </c>
      <c r="G3945" s="420" t="s">
        <v>3787</v>
      </c>
      <c r="H3945" s="634"/>
      <c r="I3945" s="635"/>
      <c r="J3945" s="635">
        <f t="shared" si="121"/>
        <v>0</v>
      </c>
      <c r="K3945" s="575"/>
      <c r="L3945" s="575"/>
      <c r="M3945" s="575"/>
      <c r="N3945" s="575"/>
      <c r="O3945" s="575"/>
      <c r="P3945" s="575"/>
      <c r="Q3945" s="575"/>
      <c r="R3945" s="575"/>
      <c r="S3945" s="575"/>
      <c r="T3945" s="575"/>
      <c r="U3945" s="575"/>
      <c r="V3945" s="575"/>
      <c r="W3945" s="575"/>
      <c r="X3945" s="575"/>
      <c r="Y3945" s="575"/>
    </row>
    <row r="3946" spans="1:25" s="88" customFormat="1" hidden="1">
      <c r="A3946" s="263"/>
      <c r="B3946" s="263"/>
      <c r="C3946" s="266"/>
      <c r="D3946" s="263"/>
      <c r="E3946" s="263"/>
      <c r="F3946" s="425">
        <v>425</v>
      </c>
      <c r="G3946" s="420" t="s">
        <v>4186</v>
      </c>
      <c r="H3946" s="634"/>
      <c r="I3946" s="635"/>
      <c r="J3946" s="635">
        <f t="shared" si="121"/>
        <v>0</v>
      </c>
      <c r="K3946" s="575"/>
      <c r="L3946" s="575"/>
      <c r="M3946" s="575"/>
      <c r="N3946" s="575"/>
      <c r="O3946" s="575"/>
      <c r="P3946" s="575"/>
      <c r="Q3946" s="575"/>
      <c r="R3946" s="575"/>
      <c r="S3946" s="575"/>
      <c r="T3946" s="575"/>
      <c r="U3946" s="575"/>
      <c r="V3946" s="575"/>
      <c r="W3946" s="575"/>
      <c r="X3946" s="575"/>
      <c r="Y3946" s="575"/>
    </row>
    <row r="3947" spans="1:25" s="88" customFormat="1" hidden="1">
      <c r="A3947" s="263"/>
      <c r="B3947" s="263"/>
      <c r="C3947" s="266"/>
      <c r="D3947" s="263"/>
      <c r="E3947" s="263"/>
      <c r="F3947" s="425">
        <v>426</v>
      </c>
      <c r="G3947" s="420" t="s">
        <v>3791</v>
      </c>
      <c r="H3947" s="634"/>
      <c r="I3947" s="635"/>
      <c r="J3947" s="635">
        <f t="shared" si="121"/>
        <v>0</v>
      </c>
      <c r="K3947" s="575"/>
      <c r="L3947" s="575"/>
      <c r="M3947" s="575"/>
      <c r="N3947" s="575"/>
      <c r="O3947" s="575"/>
      <c r="P3947" s="575"/>
      <c r="Q3947" s="575"/>
      <c r="R3947" s="575"/>
      <c r="S3947" s="575"/>
      <c r="T3947" s="575"/>
      <c r="U3947" s="575"/>
      <c r="V3947" s="575"/>
      <c r="W3947" s="575"/>
      <c r="X3947" s="575"/>
      <c r="Y3947" s="575"/>
    </row>
    <row r="3948" spans="1:25" s="88" customFormat="1" hidden="1">
      <c r="A3948" s="263"/>
      <c r="B3948" s="263"/>
      <c r="C3948" s="266"/>
      <c r="D3948" s="263"/>
      <c r="E3948" s="263"/>
      <c r="F3948" s="425">
        <v>431</v>
      </c>
      <c r="G3948" s="420" t="s">
        <v>4187</v>
      </c>
      <c r="H3948" s="634"/>
      <c r="I3948" s="635"/>
      <c r="J3948" s="635">
        <f t="shared" si="121"/>
        <v>0</v>
      </c>
      <c r="K3948" s="575"/>
      <c r="L3948" s="575"/>
      <c r="M3948" s="575"/>
      <c r="N3948" s="575"/>
      <c r="O3948" s="575"/>
      <c r="P3948" s="575"/>
      <c r="Q3948" s="575"/>
      <c r="R3948" s="575"/>
      <c r="S3948" s="575"/>
      <c r="T3948" s="575"/>
      <c r="U3948" s="575"/>
      <c r="V3948" s="575"/>
      <c r="W3948" s="575"/>
      <c r="X3948" s="575"/>
      <c r="Y3948" s="575"/>
    </row>
    <row r="3949" spans="1:25" s="88" customFormat="1" hidden="1">
      <c r="A3949" s="263"/>
      <c r="B3949" s="263"/>
      <c r="C3949" s="266"/>
      <c r="D3949" s="263"/>
      <c r="E3949" s="263"/>
      <c r="F3949" s="425">
        <v>432</v>
      </c>
      <c r="G3949" s="420" t="s">
        <v>4188</v>
      </c>
      <c r="H3949" s="634"/>
      <c r="I3949" s="635"/>
      <c r="J3949" s="635">
        <f t="shared" si="121"/>
        <v>0</v>
      </c>
      <c r="K3949" s="575"/>
      <c r="L3949" s="575"/>
      <c r="M3949" s="575"/>
      <c r="N3949" s="575"/>
      <c r="O3949" s="575"/>
      <c r="P3949" s="575"/>
      <c r="Q3949" s="575"/>
      <c r="R3949" s="575"/>
      <c r="S3949" s="575"/>
      <c r="T3949" s="575"/>
      <c r="U3949" s="575"/>
      <c r="V3949" s="575"/>
      <c r="W3949" s="575"/>
      <c r="X3949" s="575"/>
      <c r="Y3949" s="575"/>
    </row>
    <row r="3950" spans="1:25" s="88" customFormat="1" hidden="1">
      <c r="A3950" s="263"/>
      <c r="B3950" s="263"/>
      <c r="C3950" s="266"/>
      <c r="D3950" s="263"/>
      <c r="E3950" s="263"/>
      <c r="F3950" s="425">
        <v>433</v>
      </c>
      <c r="G3950" s="420" t="s">
        <v>4189</v>
      </c>
      <c r="H3950" s="634"/>
      <c r="I3950" s="635"/>
      <c r="J3950" s="635">
        <f t="shared" si="121"/>
        <v>0</v>
      </c>
      <c r="K3950" s="575"/>
      <c r="L3950" s="575"/>
      <c r="M3950" s="575"/>
      <c r="N3950" s="575"/>
      <c r="O3950" s="575"/>
      <c r="P3950" s="575"/>
      <c r="Q3950" s="575"/>
      <c r="R3950" s="575"/>
      <c r="S3950" s="575"/>
      <c r="T3950" s="575"/>
      <c r="U3950" s="575"/>
      <c r="V3950" s="575"/>
      <c r="W3950" s="575"/>
      <c r="X3950" s="575"/>
      <c r="Y3950" s="575"/>
    </row>
    <row r="3951" spans="1:25" s="88" customFormat="1" hidden="1">
      <c r="A3951" s="263"/>
      <c r="B3951" s="263"/>
      <c r="C3951" s="266"/>
      <c r="D3951" s="263"/>
      <c r="E3951" s="263"/>
      <c r="F3951" s="425">
        <v>434</v>
      </c>
      <c r="G3951" s="420" t="s">
        <v>4190</v>
      </c>
      <c r="H3951" s="634"/>
      <c r="I3951" s="635"/>
      <c r="J3951" s="635">
        <f t="shared" si="121"/>
        <v>0</v>
      </c>
      <c r="K3951" s="575"/>
      <c r="L3951" s="575"/>
      <c r="M3951" s="575"/>
      <c r="N3951" s="575"/>
      <c r="O3951" s="575"/>
      <c r="P3951" s="575"/>
      <c r="Q3951" s="575"/>
      <c r="R3951" s="575"/>
      <c r="S3951" s="575"/>
      <c r="T3951" s="575"/>
      <c r="U3951" s="575"/>
      <c r="V3951" s="575"/>
      <c r="W3951" s="575"/>
      <c r="X3951" s="575"/>
      <c r="Y3951" s="575"/>
    </row>
    <row r="3952" spans="1:25" s="88" customFormat="1" hidden="1">
      <c r="A3952" s="263"/>
      <c r="B3952" s="263"/>
      <c r="C3952" s="266"/>
      <c r="D3952" s="263"/>
      <c r="E3952" s="263"/>
      <c r="F3952" s="425">
        <v>435</v>
      </c>
      <c r="G3952" s="420" t="s">
        <v>3798</v>
      </c>
      <c r="H3952" s="634"/>
      <c r="I3952" s="635"/>
      <c r="J3952" s="635">
        <f t="shared" si="121"/>
        <v>0</v>
      </c>
      <c r="K3952" s="575"/>
      <c r="L3952" s="575"/>
      <c r="M3952" s="575"/>
      <c r="N3952" s="575"/>
      <c r="O3952" s="575"/>
      <c r="P3952" s="575"/>
      <c r="Q3952" s="575"/>
      <c r="R3952" s="575"/>
      <c r="S3952" s="575"/>
      <c r="T3952" s="575"/>
      <c r="U3952" s="575"/>
      <c r="V3952" s="575"/>
      <c r="W3952" s="575"/>
      <c r="X3952" s="575"/>
      <c r="Y3952" s="575"/>
    </row>
    <row r="3953" spans="1:25" s="88" customFormat="1" hidden="1">
      <c r="A3953" s="263"/>
      <c r="B3953" s="263"/>
      <c r="C3953" s="266"/>
      <c r="D3953" s="263"/>
      <c r="E3953" s="263"/>
      <c r="F3953" s="425">
        <v>441</v>
      </c>
      <c r="G3953" s="420" t="s">
        <v>4191</v>
      </c>
      <c r="H3953" s="634"/>
      <c r="I3953" s="635"/>
      <c r="J3953" s="635">
        <f t="shared" si="121"/>
        <v>0</v>
      </c>
      <c r="K3953" s="575"/>
      <c r="L3953" s="575"/>
      <c r="M3953" s="575"/>
      <c r="N3953" s="575"/>
      <c r="O3953" s="575"/>
      <c r="P3953" s="575"/>
      <c r="Q3953" s="575"/>
      <c r="R3953" s="575"/>
      <c r="S3953" s="575"/>
      <c r="T3953" s="575"/>
      <c r="U3953" s="575"/>
      <c r="V3953" s="575"/>
      <c r="W3953" s="575"/>
      <c r="X3953" s="575"/>
      <c r="Y3953" s="575"/>
    </row>
    <row r="3954" spans="1:25" s="88" customFormat="1" hidden="1">
      <c r="A3954" s="263"/>
      <c r="B3954" s="263"/>
      <c r="C3954" s="266"/>
      <c r="D3954" s="263"/>
      <c r="E3954" s="263"/>
      <c r="F3954" s="425">
        <v>442</v>
      </c>
      <c r="G3954" s="420" t="s">
        <v>4192</v>
      </c>
      <c r="H3954" s="634"/>
      <c r="I3954" s="635"/>
      <c r="J3954" s="635">
        <f t="shared" si="121"/>
        <v>0</v>
      </c>
      <c r="K3954" s="575"/>
      <c r="L3954" s="575"/>
      <c r="M3954" s="575"/>
      <c r="N3954" s="575"/>
      <c r="O3954" s="575"/>
      <c r="P3954" s="575"/>
      <c r="Q3954" s="575"/>
      <c r="R3954" s="575"/>
      <c r="S3954" s="575"/>
      <c r="T3954" s="575"/>
      <c r="U3954" s="575"/>
      <c r="V3954" s="575"/>
      <c r="W3954" s="575"/>
      <c r="X3954" s="575"/>
      <c r="Y3954" s="575"/>
    </row>
    <row r="3955" spans="1:25" s="88" customFormat="1" hidden="1">
      <c r="A3955" s="263"/>
      <c r="B3955" s="263"/>
      <c r="C3955" s="266"/>
      <c r="D3955" s="263"/>
      <c r="E3955" s="263"/>
      <c r="F3955" s="425">
        <v>443</v>
      </c>
      <c r="G3955" s="420" t="s">
        <v>3803</v>
      </c>
      <c r="H3955" s="634"/>
      <c r="I3955" s="635"/>
      <c r="J3955" s="635">
        <f t="shared" si="121"/>
        <v>0</v>
      </c>
      <c r="K3955" s="575"/>
      <c r="L3955" s="575"/>
      <c r="M3955" s="575"/>
      <c r="N3955" s="575"/>
      <c r="O3955" s="575"/>
      <c r="P3955" s="575"/>
      <c r="Q3955" s="575"/>
      <c r="R3955" s="575"/>
      <c r="S3955" s="575"/>
      <c r="T3955" s="575"/>
      <c r="U3955" s="575"/>
      <c r="V3955" s="575"/>
      <c r="W3955" s="575"/>
      <c r="X3955" s="575"/>
      <c r="Y3955" s="575"/>
    </row>
    <row r="3956" spans="1:25" s="88" customFormat="1" hidden="1">
      <c r="A3956" s="263"/>
      <c r="B3956" s="263"/>
      <c r="C3956" s="266"/>
      <c r="D3956" s="263"/>
      <c r="E3956" s="263"/>
      <c r="F3956" s="425">
        <v>444</v>
      </c>
      <c r="G3956" s="420" t="s">
        <v>3804</v>
      </c>
      <c r="H3956" s="634"/>
      <c r="I3956" s="635"/>
      <c r="J3956" s="635">
        <f t="shared" si="121"/>
        <v>0</v>
      </c>
      <c r="K3956" s="575"/>
      <c r="L3956" s="575"/>
      <c r="M3956" s="575"/>
      <c r="N3956" s="575"/>
      <c r="O3956" s="575"/>
      <c r="P3956" s="575"/>
      <c r="Q3956" s="575"/>
      <c r="R3956" s="575"/>
      <c r="S3956" s="575"/>
      <c r="T3956" s="575"/>
      <c r="U3956" s="575"/>
      <c r="V3956" s="575"/>
      <c r="W3956" s="575"/>
      <c r="X3956" s="575"/>
      <c r="Y3956" s="575"/>
    </row>
    <row r="3957" spans="1:25" s="88" customFormat="1" ht="30" hidden="1">
      <c r="A3957" s="263"/>
      <c r="B3957" s="263"/>
      <c r="C3957" s="266"/>
      <c r="D3957" s="263"/>
      <c r="E3957" s="263"/>
      <c r="F3957" s="425">
        <v>4511</v>
      </c>
      <c r="G3957" s="268" t="s">
        <v>1690</v>
      </c>
      <c r="H3957" s="634"/>
      <c r="I3957" s="635"/>
      <c r="J3957" s="635">
        <f t="shared" si="121"/>
        <v>0</v>
      </c>
      <c r="K3957" s="575"/>
      <c r="L3957" s="575"/>
      <c r="M3957" s="575"/>
      <c r="N3957" s="575"/>
      <c r="O3957" s="575"/>
      <c r="P3957" s="575"/>
      <c r="Q3957" s="575"/>
      <c r="R3957" s="575"/>
      <c r="S3957" s="575"/>
      <c r="T3957" s="575"/>
      <c r="U3957" s="575"/>
      <c r="V3957" s="575"/>
      <c r="W3957" s="575"/>
      <c r="X3957" s="575"/>
      <c r="Y3957" s="575"/>
    </row>
    <row r="3958" spans="1:25" s="88" customFormat="1" ht="75.75" customHeight="1" thickBot="1">
      <c r="A3958" s="263"/>
      <c r="B3958" s="263"/>
      <c r="C3958" s="266"/>
      <c r="D3958" s="263"/>
      <c r="E3958" s="263">
        <v>68</v>
      </c>
      <c r="F3958" s="787">
        <v>4512</v>
      </c>
      <c r="G3958" s="779" t="s">
        <v>5266</v>
      </c>
      <c r="H3958" s="634">
        <v>12960000</v>
      </c>
      <c r="I3958" s="635"/>
      <c r="J3958" s="635">
        <f t="shared" si="121"/>
        <v>12960000</v>
      </c>
      <c r="K3958" s="575"/>
      <c r="L3958" s="575"/>
      <c r="M3958" s="575"/>
      <c r="N3958" s="575"/>
      <c r="O3958" s="575"/>
      <c r="P3958" s="575"/>
      <c r="Q3958" s="575"/>
      <c r="R3958" s="575"/>
      <c r="S3958" s="575"/>
      <c r="T3958" s="575"/>
      <c r="U3958" s="575"/>
      <c r="V3958" s="575"/>
      <c r="W3958" s="575"/>
      <c r="X3958" s="575"/>
      <c r="Y3958" s="575"/>
    </row>
    <row r="3959" spans="1:25" s="88" customFormat="1" hidden="1">
      <c r="A3959" s="263"/>
      <c r="B3959" s="263"/>
      <c r="C3959" s="266"/>
      <c r="D3959" s="263"/>
      <c r="E3959" s="263"/>
      <c r="F3959" s="425">
        <v>452</v>
      </c>
      <c r="G3959" s="420" t="s">
        <v>4193</v>
      </c>
      <c r="H3959" s="634"/>
      <c r="I3959" s="635"/>
      <c r="J3959" s="635">
        <f t="shared" si="121"/>
        <v>0</v>
      </c>
      <c r="K3959" s="575"/>
      <c r="L3959" s="575"/>
      <c r="M3959" s="575"/>
      <c r="N3959" s="575"/>
      <c r="O3959" s="575"/>
      <c r="P3959" s="575"/>
      <c r="Q3959" s="575"/>
      <c r="R3959" s="575"/>
      <c r="S3959" s="575"/>
      <c r="T3959" s="575"/>
      <c r="U3959" s="575"/>
      <c r="V3959" s="575"/>
      <c r="W3959" s="575"/>
      <c r="X3959" s="575"/>
      <c r="Y3959" s="575"/>
    </row>
    <row r="3960" spans="1:25" s="88" customFormat="1" hidden="1">
      <c r="A3960" s="263"/>
      <c r="B3960" s="263"/>
      <c r="C3960" s="266"/>
      <c r="D3960" s="263"/>
      <c r="E3960" s="263"/>
      <c r="F3960" s="425">
        <v>453</v>
      </c>
      <c r="G3960" s="420" t="s">
        <v>4194</v>
      </c>
      <c r="H3960" s="634"/>
      <c r="I3960" s="635"/>
      <c r="J3960" s="635">
        <f t="shared" si="121"/>
        <v>0</v>
      </c>
      <c r="K3960" s="575"/>
      <c r="L3960" s="575"/>
      <c r="M3960" s="575"/>
      <c r="N3960" s="575"/>
      <c r="O3960" s="575"/>
      <c r="P3960" s="575"/>
      <c r="Q3960" s="575"/>
      <c r="R3960" s="575"/>
      <c r="S3960" s="575"/>
      <c r="T3960" s="575"/>
      <c r="U3960" s="575"/>
      <c r="V3960" s="575"/>
      <c r="W3960" s="575"/>
      <c r="X3960" s="575"/>
      <c r="Y3960" s="575"/>
    </row>
    <row r="3961" spans="1:25" s="88" customFormat="1" hidden="1">
      <c r="A3961" s="263"/>
      <c r="B3961" s="263"/>
      <c r="C3961" s="266"/>
      <c r="D3961" s="263"/>
      <c r="E3961" s="263"/>
      <c r="F3961" s="425">
        <v>454</v>
      </c>
      <c r="G3961" s="420" t="s">
        <v>3809</v>
      </c>
      <c r="H3961" s="634"/>
      <c r="I3961" s="635"/>
      <c r="J3961" s="635">
        <f t="shared" si="121"/>
        <v>0</v>
      </c>
      <c r="K3961" s="575"/>
      <c r="L3961" s="575"/>
      <c r="M3961" s="575"/>
      <c r="N3961" s="575"/>
      <c r="O3961" s="575"/>
      <c r="P3961" s="575"/>
      <c r="Q3961" s="575"/>
      <c r="R3961" s="575"/>
      <c r="S3961" s="575"/>
      <c r="T3961" s="575"/>
      <c r="U3961" s="575"/>
      <c r="V3961" s="575"/>
      <c r="W3961" s="575"/>
      <c r="X3961" s="575"/>
      <c r="Y3961" s="575"/>
    </row>
    <row r="3962" spans="1:25" s="88" customFormat="1" hidden="1">
      <c r="A3962" s="263"/>
      <c r="B3962" s="263"/>
      <c r="C3962" s="266"/>
      <c r="D3962" s="263"/>
      <c r="E3962" s="263"/>
      <c r="F3962" s="425">
        <v>461</v>
      </c>
      <c r="G3962" s="420" t="s">
        <v>4175</v>
      </c>
      <c r="H3962" s="634"/>
      <c r="I3962" s="635"/>
      <c r="J3962" s="635">
        <f t="shared" si="121"/>
        <v>0</v>
      </c>
      <c r="K3962" s="575"/>
      <c r="L3962" s="575"/>
      <c r="M3962" s="575"/>
      <c r="N3962" s="575"/>
      <c r="O3962" s="575"/>
      <c r="P3962" s="575"/>
      <c r="Q3962" s="575"/>
      <c r="R3962" s="575"/>
      <c r="S3962" s="575"/>
      <c r="T3962" s="575"/>
      <c r="U3962" s="575"/>
      <c r="V3962" s="575"/>
      <c r="W3962" s="575"/>
      <c r="X3962" s="575"/>
      <c r="Y3962" s="575"/>
    </row>
    <row r="3963" spans="1:25" s="88" customFormat="1" hidden="1">
      <c r="A3963" s="263"/>
      <c r="B3963" s="263"/>
      <c r="C3963" s="266"/>
      <c r="D3963" s="263"/>
      <c r="E3963" s="263"/>
      <c r="F3963" s="425">
        <v>462</v>
      </c>
      <c r="G3963" s="420" t="s">
        <v>3812</v>
      </c>
      <c r="H3963" s="634"/>
      <c r="I3963" s="635"/>
      <c r="J3963" s="635">
        <f t="shared" si="121"/>
        <v>0</v>
      </c>
      <c r="K3963" s="575"/>
      <c r="L3963" s="575"/>
      <c r="M3963" s="575"/>
      <c r="N3963" s="575"/>
      <c r="O3963" s="575"/>
      <c r="P3963" s="575"/>
      <c r="Q3963" s="575"/>
      <c r="R3963" s="575"/>
      <c r="S3963" s="575"/>
      <c r="T3963" s="575"/>
      <c r="U3963" s="575"/>
      <c r="V3963" s="575"/>
      <c r="W3963" s="575"/>
      <c r="X3963" s="575"/>
      <c r="Y3963" s="575"/>
    </row>
    <row r="3964" spans="1:25" s="88" customFormat="1" hidden="1">
      <c r="A3964" s="263"/>
      <c r="B3964" s="263"/>
      <c r="C3964" s="266"/>
      <c r="D3964" s="263"/>
      <c r="E3964" s="263"/>
      <c r="F3964" s="425">
        <v>4631</v>
      </c>
      <c r="G3964" s="420" t="s">
        <v>3813</v>
      </c>
      <c r="H3964" s="634"/>
      <c r="I3964" s="635"/>
      <c r="J3964" s="635">
        <f t="shared" si="121"/>
        <v>0</v>
      </c>
      <c r="K3964" s="575"/>
      <c r="L3964" s="575"/>
      <c r="M3964" s="575"/>
      <c r="N3964" s="575"/>
      <c r="O3964" s="575"/>
      <c r="P3964" s="575"/>
      <c r="Q3964" s="575"/>
      <c r="R3964" s="575"/>
      <c r="S3964" s="575"/>
      <c r="T3964" s="575"/>
      <c r="U3964" s="575"/>
      <c r="V3964" s="575"/>
      <c r="W3964" s="575"/>
      <c r="X3964" s="575"/>
      <c r="Y3964" s="575"/>
    </row>
    <row r="3965" spans="1:25" s="88" customFormat="1" hidden="1">
      <c r="A3965" s="263"/>
      <c r="B3965" s="263"/>
      <c r="C3965" s="266"/>
      <c r="D3965" s="263"/>
      <c r="E3965" s="263"/>
      <c r="F3965" s="425">
        <v>4632</v>
      </c>
      <c r="G3965" s="420" t="s">
        <v>3814</v>
      </c>
      <c r="H3965" s="634"/>
      <c r="I3965" s="635"/>
      <c r="J3965" s="635">
        <f t="shared" si="121"/>
        <v>0</v>
      </c>
      <c r="K3965" s="575"/>
      <c r="L3965" s="575"/>
      <c r="M3965" s="575"/>
      <c r="N3965" s="575"/>
      <c r="O3965" s="575"/>
      <c r="P3965" s="575"/>
      <c r="Q3965" s="575"/>
      <c r="R3965" s="575"/>
      <c r="S3965" s="575"/>
      <c r="T3965" s="575"/>
      <c r="U3965" s="575"/>
      <c r="V3965" s="575"/>
      <c r="W3965" s="575"/>
      <c r="X3965" s="575"/>
      <c r="Y3965" s="575"/>
    </row>
    <row r="3966" spans="1:25" s="88" customFormat="1" hidden="1">
      <c r="A3966" s="263"/>
      <c r="B3966" s="263"/>
      <c r="C3966" s="266"/>
      <c r="D3966" s="263"/>
      <c r="E3966" s="263"/>
      <c r="F3966" s="425">
        <v>464</v>
      </c>
      <c r="G3966" s="420" t="s">
        <v>3815</v>
      </c>
      <c r="H3966" s="634"/>
      <c r="I3966" s="635"/>
      <c r="J3966" s="635">
        <f t="shared" si="121"/>
        <v>0</v>
      </c>
      <c r="K3966" s="575"/>
      <c r="L3966" s="575"/>
      <c r="M3966" s="575"/>
      <c r="N3966" s="575"/>
      <c r="O3966" s="575"/>
      <c r="P3966" s="575"/>
      <c r="Q3966" s="575"/>
      <c r="R3966" s="575"/>
      <c r="S3966" s="575"/>
      <c r="T3966" s="575"/>
      <c r="U3966" s="575"/>
      <c r="V3966" s="575"/>
      <c r="W3966" s="575"/>
      <c r="X3966" s="575"/>
      <c r="Y3966" s="575"/>
    </row>
    <row r="3967" spans="1:25" s="88" customFormat="1" hidden="1">
      <c r="A3967" s="263"/>
      <c r="B3967" s="263"/>
      <c r="C3967" s="266"/>
      <c r="D3967" s="263"/>
      <c r="E3967" s="263"/>
      <c r="F3967" s="425">
        <v>465</v>
      </c>
      <c r="G3967" s="420" t="s">
        <v>4176</v>
      </c>
      <c r="H3967" s="634"/>
      <c r="I3967" s="635"/>
      <c r="J3967" s="635">
        <f t="shared" si="121"/>
        <v>0</v>
      </c>
      <c r="K3967" s="575"/>
      <c r="L3967" s="575"/>
      <c r="M3967" s="575"/>
      <c r="N3967" s="575"/>
      <c r="O3967" s="575"/>
      <c r="P3967" s="575"/>
      <c r="Q3967" s="575"/>
      <c r="R3967" s="575"/>
      <c r="S3967" s="575"/>
      <c r="T3967" s="575"/>
      <c r="U3967" s="575"/>
      <c r="V3967" s="575"/>
      <c r="W3967" s="575"/>
      <c r="X3967" s="575"/>
      <c r="Y3967" s="575"/>
    </row>
    <row r="3968" spans="1:25" s="88" customFormat="1" hidden="1">
      <c r="A3968" s="263"/>
      <c r="B3968" s="263"/>
      <c r="C3968" s="266"/>
      <c r="D3968" s="263"/>
      <c r="E3968" s="263"/>
      <c r="F3968" s="425">
        <v>472</v>
      </c>
      <c r="G3968" s="420" t="s">
        <v>3819</v>
      </c>
      <c r="H3968" s="634"/>
      <c r="I3968" s="635"/>
      <c r="J3968" s="635">
        <f t="shared" si="121"/>
        <v>0</v>
      </c>
      <c r="K3968" s="575"/>
      <c r="L3968" s="575"/>
      <c r="M3968" s="575"/>
      <c r="N3968" s="575"/>
      <c r="O3968" s="575"/>
      <c r="P3968" s="575"/>
      <c r="Q3968" s="575"/>
      <c r="R3968" s="575"/>
      <c r="S3968" s="575"/>
      <c r="T3968" s="575"/>
      <c r="U3968" s="575"/>
      <c r="V3968" s="575"/>
      <c r="W3968" s="575"/>
      <c r="X3968" s="575"/>
      <c r="Y3968" s="575"/>
    </row>
    <row r="3969" spans="1:25" s="88" customFormat="1" hidden="1">
      <c r="A3969" s="263"/>
      <c r="B3969" s="263"/>
      <c r="C3969" s="266"/>
      <c r="D3969" s="263"/>
      <c r="E3969" s="263"/>
      <c r="F3969" s="425">
        <v>481</v>
      </c>
      <c r="G3969" s="420" t="s">
        <v>4195</v>
      </c>
      <c r="H3969" s="634"/>
      <c r="I3969" s="635"/>
      <c r="J3969" s="635">
        <f t="shared" si="121"/>
        <v>0</v>
      </c>
      <c r="K3969" s="575"/>
      <c r="L3969" s="575"/>
      <c r="M3969" s="575"/>
      <c r="N3969" s="575"/>
      <c r="O3969" s="575"/>
      <c r="P3969" s="575"/>
      <c r="Q3969" s="575"/>
      <c r="R3969" s="575"/>
      <c r="S3969" s="575"/>
      <c r="T3969" s="575"/>
      <c r="U3969" s="575"/>
      <c r="V3969" s="575"/>
      <c r="W3969" s="575"/>
      <c r="X3969" s="575"/>
      <c r="Y3969" s="575"/>
    </row>
    <row r="3970" spans="1:25" s="88" customFormat="1" hidden="1">
      <c r="A3970" s="263"/>
      <c r="B3970" s="263"/>
      <c r="C3970" s="266"/>
      <c r="D3970" s="263"/>
      <c r="E3970" s="263"/>
      <c r="F3970" s="425">
        <v>482</v>
      </c>
      <c r="G3970" s="420" t="s">
        <v>4196</v>
      </c>
      <c r="H3970" s="634"/>
      <c r="I3970" s="635"/>
      <c r="J3970" s="635">
        <f t="shared" si="121"/>
        <v>0</v>
      </c>
      <c r="K3970" s="575"/>
      <c r="L3970" s="575"/>
      <c r="M3970" s="575"/>
      <c r="N3970" s="575"/>
      <c r="O3970" s="575"/>
      <c r="P3970" s="575"/>
      <c r="Q3970" s="575"/>
      <c r="R3970" s="575"/>
      <c r="S3970" s="575"/>
      <c r="T3970" s="575"/>
      <c r="U3970" s="575"/>
      <c r="V3970" s="575"/>
      <c r="W3970" s="575"/>
      <c r="X3970" s="575"/>
      <c r="Y3970" s="575"/>
    </row>
    <row r="3971" spans="1:25" s="88" customFormat="1" hidden="1">
      <c r="A3971" s="263"/>
      <c r="B3971" s="263"/>
      <c r="C3971" s="266"/>
      <c r="D3971" s="263"/>
      <c r="E3971" s="263"/>
      <c r="F3971" s="425">
        <v>483</v>
      </c>
      <c r="G3971" s="423" t="s">
        <v>4197</v>
      </c>
      <c r="H3971" s="634"/>
      <c r="I3971" s="635"/>
      <c r="J3971" s="635">
        <f t="shared" si="121"/>
        <v>0</v>
      </c>
      <c r="K3971" s="575"/>
      <c r="L3971" s="575"/>
      <c r="M3971" s="575"/>
      <c r="N3971" s="575"/>
      <c r="O3971" s="575"/>
      <c r="P3971" s="575"/>
      <c r="Q3971" s="575"/>
      <c r="R3971" s="575"/>
      <c r="S3971" s="575"/>
      <c r="T3971" s="575"/>
      <c r="U3971" s="575"/>
      <c r="V3971" s="575"/>
      <c r="W3971" s="575"/>
      <c r="X3971" s="575"/>
      <c r="Y3971" s="575"/>
    </row>
    <row r="3972" spans="1:25" s="88" customFormat="1" ht="30" hidden="1">
      <c r="A3972" s="263"/>
      <c r="B3972" s="263"/>
      <c r="C3972" s="266"/>
      <c r="D3972" s="263"/>
      <c r="E3972" s="263"/>
      <c r="F3972" s="425">
        <v>484</v>
      </c>
      <c r="G3972" s="420" t="s">
        <v>4198</v>
      </c>
      <c r="H3972" s="634"/>
      <c r="I3972" s="635"/>
      <c r="J3972" s="635">
        <f t="shared" si="121"/>
        <v>0</v>
      </c>
      <c r="K3972" s="575"/>
      <c r="L3972" s="575"/>
      <c r="M3972" s="575"/>
      <c r="N3972" s="575"/>
      <c r="O3972" s="575"/>
      <c r="P3972" s="575"/>
      <c r="Q3972" s="575"/>
      <c r="R3972" s="575"/>
      <c r="S3972" s="575"/>
      <c r="T3972" s="575"/>
      <c r="U3972" s="575"/>
      <c r="V3972" s="575"/>
      <c r="W3972" s="575"/>
      <c r="X3972" s="575"/>
      <c r="Y3972" s="575"/>
    </row>
    <row r="3973" spans="1:25" s="88" customFormat="1" ht="30" hidden="1">
      <c r="A3973" s="263"/>
      <c r="B3973" s="263"/>
      <c r="C3973" s="266"/>
      <c r="D3973" s="263"/>
      <c r="E3973" s="263"/>
      <c r="F3973" s="425">
        <v>485</v>
      </c>
      <c r="G3973" s="420" t="s">
        <v>4199</v>
      </c>
      <c r="H3973" s="634"/>
      <c r="I3973" s="635"/>
      <c r="J3973" s="635">
        <f t="shared" si="121"/>
        <v>0</v>
      </c>
      <c r="K3973" s="575"/>
      <c r="L3973" s="575"/>
      <c r="M3973" s="575"/>
      <c r="N3973" s="575"/>
      <c r="O3973" s="575"/>
      <c r="P3973" s="575"/>
      <c r="Q3973" s="575"/>
      <c r="R3973" s="575"/>
      <c r="S3973" s="575"/>
      <c r="T3973" s="575"/>
      <c r="U3973" s="575"/>
      <c r="V3973" s="575"/>
      <c r="W3973" s="575"/>
      <c r="X3973" s="575"/>
      <c r="Y3973" s="575"/>
    </row>
    <row r="3974" spans="1:25" s="88" customFormat="1" ht="30" hidden="1">
      <c r="A3974" s="263"/>
      <c r="B3974" s="263"/>
      <c r="C3974" s="266"/>
      <c r="D3974" s="263"/>
      <c r="E3974" s="263"/>
      <c r="F3974" s="425">
        <v>489</v>
      </c>
      <c r="G3974" s="420" t="s">
        <v>3827</v>
      </c>
      <c r="H3974" s="634"/>
      <c r="I3974" s="635"/>
      <c r="J3974" s="635">
        <f t="shared" si="121"/>
        <v>0</v>
      </c>
      <c r="K3974" s="575"/>
      <c r="L3974" s="575"/>
      <c r="M3974" s="575"/>
      <c r="N3974" s="575"/>
      <c r="O3974" s="575"/>
      <c r="P3974" s="575"/>
      <c r="Q3974" s="575"/>
      <c r="R3974" s="575"/>
      <c r="S3974" s="575"/>
      <c r="T3974" s="575"/>
      <c r="U3974" s="575"/>
      <c r="V3974" s="575"/>
      <c r="W3974" s="575"/>
      <c r="X3974" s="575"/>
      <c r="Y3974" s="575"/>
    </row>
    <row r="3975" spans="1:25" s="88" customFormat="1" hidden="1">
      <c r="A3975" s="263"/>
      <c r="B3975" s="263"/>
      <c r="C3975" s="266"/>
      <c r="D3975" s="263"/>
      <c r="E3975" s="263"/>
      <c r="F3975" s="425">
        <v>494</v>
      </c>
      <c r="G3975" s="420" t="s">
        <v>4177</v>
      </c>
      <c r="H3975" s="634"/>
      <c r="I3975" s="635"/>
      <c r="J3975" s="635">
        <f t="shared" si="121"/>
        <v>0</v>
      </c>
      <c r="K3975" s="575"/>
      <c r="L3975" s="575"/>
      <c r="M3975" s="575"/>
      <c r="N3975" s="575"/>
      <c r="O3975" s="575"/>
      <c r="P3975" s="575"/>
      <c r="Q3975" s="575"/>
      <c r="R3975" s="575"/>
      <c r="S3975" s="575"/>
      <c r="T3975" s="575"/>
      <c r="U3975" s="575"/>
      <c r="V3975" s="575"/>
      <c r="W3975" s="575"/>
      <c r="X3975" s="575"/>
      <c r="Y3975" s="575"/>
    </row>
    <row r="3976" spans="1:25" s="88" customFormat="1" ht="30" hidden="1">
      <c r="A3976" s="263"/>
      <c r="B3976" s="263"/>
      <c r="C3976" s="266"/>
      <c r="D3976" s="263"/>
      <c r="E3976" s="263"/>
      <c r="F3976" s="425">
        <v>495</v>
      </c>
      <c r="G3976" s="420" t="s">
        <v>4178</v>
      </c>
      <c r="H3976" s="634"/>
      <c r="I3976" s="635"/>
      <c r="J3976" s="635">
        <f t="shared" si="121"/>
        <v>0</v>
      </c>
      <c r="K3976" s="575"/>
      <c r="L3976" s="575"/>
      <c r="M3976" s="575"/>
      <c r="N3976" s="575"/>
      <c r="O3976" s="575"/>
      <c r="P3976" s="575"/>
      <c r="Q3976" s="575"/>
      <c r="R3976" s="575"/>
      <c r="S3976" s="575"/>
      <c r="T3976" s="575"/>
      <c r="U3976" s="575"/>
      <c r="V3976" s="575"/>
      <c r="W3976" s="575"/>
      <c r="X3976" s="575"/>
      <c r="Y3976" s="575"/>
    </row>
    <row r="3977" spans="1:25" s="88" customFormat="1" ht="30" hidden="1">
      <c r="A3977" s="263"/>
      <c r="B3977" s="263"/>
      <c r="C3977" s="266"/>
      <c r="D3977" s="263"/>
      <c r="E3977" s="263"/>
      <c r="F3977" s="425">
        <v>496</v>
      </c>
      <c r="G3977" s="420" t="s">
        <v>4179</v>
      </c>
      <c r="H3977" s="634"/>
      <c r="I3977" s="635"/>
      <c r="J3977" s="635">
        <f t="shared" si="121"/>
        <v>0</v>
      </c>
      <c r="K3977" s="575"/>
      <c r="L3977" s="575"/>
      <c r="M3977" s="575"/>
      <c r="N3977" s="575"/>
      <c r="O3977" s="575"/>
      <c r="P3977" s="575"/>
      <c r="Q3977" s="575"/>
      <c r="R3977" s="575"/>
      <c r="S3977" s="575"/>
      <c r="T3977" s="575"/>
      <c r="U3977" s="575"/>
      <c r="V3977" s="575"/>
      <c r="W3977" s="575"/>
      <c r="X3977" s="575"/>
      <c r="Y3977" s="575"/>
    </row>
    <row r="3978" spans="1:25" s="88" customFormat="1" hidden="1">
      <c r="A3978" s="263"/>
      <c r="B3978" s="263"/>
      <c r="C3978" s="266"/>
      <c r="D3978" s="263"/>
      <c r="E3978" s="263"/>
      <c r="F3978" s="425">
        <v>499</v>
      </c>
      <c r="G3978" s="420" t="s">
        <v>4180</v>
      </c>
      <c r="H3978" s="634"/>
      <c r="I3978" s="635"/>
      <c r="J3978" s="635">
        <f t="shared" si="121"/>
        <v>0</v>
      </c>
      <c r="K3978" s="575"/>
      <c r="L3978" s="575"/>
      <c r="M3978" s="575"/>
      <c r="N3978" s="575"/>
      <c r="O3978" s="575"/>
      <c r="P3978" s="575"/>
      <c r="Q3978" s="575"/>
      <c r="R3978" s="575"/>
      <c r="S3978" s="575"/>
      <c r="T3978" s="575"/>
      <c r="U3978" s="575"/>
      <c r="V3978" s="575"/>
      <c r="W3978" s="575"/>
      <c r="X3978" s="575"/>
      <c r="Y3978" s="575"/>
    </row>
    <row r="3979" spans="1:25" s="88" customFormat="1" hidden="1">
      <c r="A3979" s="263"/>
      <c r="B3979" s="263"/>
      <c r="C3979" s="266"/>
      <c r="D3979" s="263"/>
      <c r="E3979" s="263"/>
      <c r="F3979" s="425">
        <v>511</v>
      </c>
      <c r="G3979" s="423" t="s">
        <v>4200</v>
      </c>
      <c r="H3979" s="634"/>
      <c r="I3979" s="635"/>
      <c r="J3979" s="635">
        <f t="shared" si="121"/>
        <v>0</v>
      </c>
      <c r="K3979" s="575"/>
      <c r="L3979" s="575"/>
      <c r="M3979" s="575"/>
      <c r="N3979" s="575"/>
      <c r="O3979" s="575"/>
      <c r="P3979" s="575"/>
      <c r="Q3979" s="575"/>
      <c r="R3979" s="575"/>
      <c r="S3979" s="575"/>
      <c r="T3979" s="575"/>
      <c r="U3979" s="575"/>
      <c r="V3979" s="575"/>
      <c r="W3979" s="575"/>
      <c r="X3979" s="575"/>
      <c r="Y3979" s="575"/>
    </row>
    <row r="3980" spans="1:25" s="88" customFormat="1" hidden="1">
      <c r="A3980" s="263"/>
      <c r="B3980" s="263"/>
      <c r="C3980" s="266"/>
      <c r="D3980" s="263"/>
      <c r="E3980" s="263"/>
      <c r="F3980" s="425">
        <v>512</v>
      </c>
      <c r="G3980" s="423" t="s">
        <v>4201</v>
      </c>
      <c r="H3980" s="634"/>
      <c r="I3980" s="635"/>
      <c r="J3980" s="635">
        <f t="shared" si="121"/>
        <v>0</v>
      </c>
      <c r="K3980" s="575"/>
      <c r="L3980" s="575"/>
      <c r="M3980" s="575"/>
      <c r="N3980" s="575"/>
      <c r="O3980" s="575"/>
      <c r="P3980" s="575"/>
      <c r="Q3980" s="575"/>
      <c r="R3980" s="575"/>
      <c r="S3980" s="575"/>
      <c r="T3980" s="575"/>
      <c r="U3980" s="575"/>
      <c r="V3980" s="575"/>
      <c r="W3980" s="575"/>
      <c r="X3980" s="575"/>
      <c r="Y3980" s="575"/>
    </row>
    <row r="3981" spans="1:25" s="88" customFormat="1" hidden="1">
      <c r="A3981" s="263"/>
      <c r="B3981" s="263"/>
      <c r="C3981" s="266"/>
      <c r="D3981" s="263"/>
      <c r="E3981" s="263"/>
      <c r="F3981" s="425">
        <v>513</v>
      </c>
      <c r="G3981" s="423" t="s">
        <v>4202</v>
      </c>
      <c r="H3981" s="634"/>
      <c r="I3981" s="635"/>
      <c r="J3981" s="635">
        <f t="shared" si="121"/>
        <v>0</v>
      </c>
      <c r="K3981" s="575"/>
      <c r="L3981" s="575"/>
      <c r="M3981" s="575"/>
      <c r="N3981" s="575"/>
      <c r="O3981" s="575"/>
      <c r="P3981" s="575"/>
      <c r="Q3981" s="575"/>
      <c r="R3981" s="575"/>
      <c r="S3981" s="575"/>
      <c r="T3981" s="575"/>
      <c r="U3981" s="575"/>
      <c r="V3981" s="575"/>
      <c r="W3981" s="575"/>
      <c r="X3981" s="575"/>
      <c r="Y3981" s="575"/>
    </row>
    <row r="3982" spans="1:25" s="88" customFormat="1" hidden="1">
      <c r="A3982" s="263"/>
      <c r="B3982" s="263"/>
      <c r="C3982" s="266"/>
      <c r="D3982" s="263"/>
      <c r="E3982" s="263"/>
      <c r="F3982" s="425">
        <v>514</v>
      </c>
      <c r="G3982" s="420" t="s">
        <v>4203</v>
      </c>
      <c r="H3982" s="634"/>
      <c r="I3982" s="635"/>
      <c r="J3982" s="635">
        <f t="shared" si="121"/>
        <v>0</v>
      </c>
      <c r="K3982" s="575"/>
      <c r="L3982" s="575"/>
      <c r="M3982" s="575"/>
      <c r="N3982" s="575"/>
      <c r="O3982" s="575"/>
      <c r="P3982" s="575"/>
      <c r="Q3982" s="575"/>
      <c r="R3982" s="575"/>
      <c r="S3982" s="575"/>
      <c r="T3982" s="575"/>
      <c r="U3982" s="575"/>
      <c r="V3982" s="575"/>
      <c r="W3982" s="575"/>
      <c r="X3982" s="575"/>
      <c r="Y3982" s="575"/>
    </row>
    <row r="3983" spans="1:25" s="88" customFormat="1" hidden="1">
      <c r="A3983" s="263"/>
      <c r="B3983" s="263"/>
      <c r="C3983" s="266"/>
      <c r="D3983" s="263"/>
      <c r="E3983" s="263"/>
      <c r="F3983" s="425">
        <v>515</v>
      </c>
      <c r="G3983" s="420" t="s">
        <v>3838</v>
      </c>
      <c r="H3983" s="634"/>
      <c r="I3983" s="635"/>
      <c r="J3983" s="635">
        <f t="shared" si="121"/>
        <v>0</v>
      </c>
      <c r="K3983" s="575"/>
      <c r="L3983" s="575"/>
      <c r="M3983" s="575"/>
      <c r="N3983" s="575"/>
      <c r="O3983" s="575"/>
      <c r="P3983" s="575"/>
      <c r="Q3983" s="575"/>
      <c r="R3983" s="575"/>
      <c r="S3983" s="575"/>
      <c r="T3983" s="575"/>
      <c r="U3983" s="575"/>
      <c r="V3983" s="575"/>
      <c r="W3983" s="575"/>
      <c r="X3983" s="575"/>
      <c r="Y3983" s="575"/>
    </row>
    <row r="3984" spans="1:25" s="88" customFormat="1" hidden="1">
      <c r="A3984" s="263"/>
      <c r="B3984" s="263"/>
      <c r="C3984" s="266"/>
      <c r="D3984" s="263"/>
      <c r="E3984" s="263"/>
      <c r="F3984" s="425">
        <v>521</v>
      </c>
      <c r="G3984" s="420" t="s">
        <v>4204</v>
      </c>
      <c r="H3984" s="634"/>
      <c r="I3984" s="635"/>
      <c r="J3984" s="635">
        <f t="shared" si="121"/>
        <v>0</v>
      </c>
      <c r="K3984" s="575"/>
      <c r="L3984" s="575"/>
      <c r="M3984" s="575"/>
      <c r="N3984" s="575"/>
      <c r="O3984" s="575"/>
      <c r="P3984" s="575"/>
      <c r="Q3984" s="575"/>
      <c r="R3984" s="575"/>
      <c r="S3984" s="575"/>
      <c r="T3984" s="575"/>
      <c r="U3984" s="575"/>
      <c r="V3984" s="575"/>
      <c r="W3984" s="575"/>
      <c r="X3984" s="575"/>
      <c r="Y3984" s="575"/>
    </row>
    <row r="3985" spans="1:25" s="88" customFormat="1" hidden="1">
      <c r="A3985" s="263"/>
      <c r="B3985" s="263"/>
      <c r="C3985" s="266"/>
      <c r="D3985" s="263"/>
      <c r="E3985" s="263"/>
      <c r="F3985" s="425">
        <v>522</v>
      </c>
      <c r="G3985" s="420" t="s">
        <v>4205</v>
      </c>
      <c r="H3985" s="634"/>
      <c r="I3985" s="635"/>
      <c r="J3985" s="635">
        <f t="shared" si="121"/>
        <v>0</v>
      </c>
      <c r="K3985" s="575"/>
      <c r="L3985" s="575"/>
      <c r="M3985" s="575"/>
      <c r="N3985" s="575"/>
      <c r="O3985" s="575"/>
      <c r="P3985" s="575"/>
      <c r="Q3985" s="575"/>
      <c r="R3985" s="575"/>
      <c r="S3985" s="575"/>
      <c r="T3985" s="575"/>
      <c r="U3985" s="575"/>
      <c r="V3985" s="575"/>
      <c r="W3985" s="575"/>
      <c r="X3985" s="575"/>
      <c r="Y3985" s="575"/>
    </row>
    <row r="3986" spans="1:25" s="88" customFormat="1" hidden="1">
      <c r="A3986" s="263"/>
      <c r="B3986" s="263"/>
      <c r="C3986" s="266"/>
      <c r="D3986" s="263"/>
      <c r="E3986" s="263"/>
      <c r="F3986" s="425">
        <v>523</v>
      </c>
      <c r="G3986" s="420" t="s">
        <v>3843</v>
      </c>
      <c r="H3986" s="634"/>
      <c r="I3986" s="635"/>
      <c r="J3986" s="635">
        <f t="shared" si="121"/>
        <v>0</v>
      </c>
      <c r="K3986" s="575"/>
      <c r="L3986" s="575"/>
      <c r="M3986" s="575"/>
      <c r="N3986" s="575"/>
      <c r="O3986" s="575"/>
      <c r="P3986" s="575"/>
      <c r="Q3986" s="575"/>
      <c r="R3986" s="575"/>
      <c r="S3986" s="575"/>
      <c r="T3986" s="575"/>
      <c r="U3986" s="575"/>
      <c r="V3986" s="575"/>
      <c r="W3986" s="575"/>
      <c r="X3986" s="575"/>
      <c r="Y3986" s="575"/>
    </row>
    <row r="3987" spans="1:25" s="88" customFormat="1" hidden="1">
      <c r="A3987" s="263"/>
      <c r="B3987" s="263"/>
      <c r="C3987" s="266"/>
      <c r="D3987" s="263"/>
      <c r="E3987" s="263"/>
      <c r="F3987" s="425">
        <v>531</v>
      </c>
      <c r="G3987" s="418" t="s">
        <v>4181</v>
      </c>
      <c r="H3987" s="634"/>
      <c r="I3987" s="635"/>
      <c r="J3987" s="635">
        <f t="shared" si="121"/>
        <v>0</v>
      </c>
      <c r="K3987" s="575"/>
      <c r="L3987" s="575"/>
      <c r="M3987" s="575"/>
      <c r="N3987" s="575"/>
      <c r="O3987" s="575"/>
      <c r="P3987" s="575"/>
      <c r="Q3987" s="575"/>
      <c r="R3987" s="575"/>
      <c r="S3987" s="575"/>
      <c r="T3987" s="575"/>
      <c r="U3987" s="575"/>
      <c r="V3987" s="575"/>
      <c r="W3987" s="575"/>
      <c r="X3987" s="575"/>
      <c r="Y3987" s="575"/>
    </row>
    <row r="3988" spans="1:25" s="88" customFormat="1" hidden="1">
      <c r="A3988" s="263"/>
      <c r="B3988" s="263"/>
      <c r="C3988" s="266"/>
      <c r="D3988" s="263"/>
      <c r="E3988" s="263"/>
      <c r="F3988" s="425">
        <v>541</v>
      </c>
      <c r="G3988" s="420" t="s">
        <v>4206</v>
      </c>
      <c r="H3988" s="634"/>
      <c r="I3988" s="635"/>
      <c r="J3988" s="635">
        <f t="shared" si="121"/>
        <v>0</v>
      </c>
      <c r="K3988" s="575"/>
      <c r="L3988" s="575"/>
      <c r="M3988" s="575"/>
      <c r="N3988" s="575"/>
      <c r="O3988" s="575"/>
      <c r="P3988" s="575"/>
      <c r="Q3988" s="575"/>
      <c r="R3988" s="575"/>
      <c r="S3988" s="575"/>
      <c r="T3988" s="575"/>
      <c r="U3988" s="575"/>
      <c r="V3988" s="575"/>
      <c r="W3988" s="575"/>
      <c r="X3988" s="575"/>
      <c r="Y3988" s="575"/>
    </row>
    <row r="3989" spans="1:25" s="88" customFormat="1" hidden="1">
      <c r="A3989" s="263"/>
      <c r="B3989" s="263"/>
      <c r="C3989" s="266"/>
      <c r="D3989" s="263"/>
      <c r="E3989" s="263"/>
      <c r="F3989" s="425">
        <v>542</v>
      </c>
      <c r="G3989" s="420" t="s">
        <v>4207</v>
      </c>
      <c r="H3989" s="634"/>
      <c r="I3989" s="635"/>
      <c r="J3989" s="635">
        <f t="shared" si="121"/>
        <v>0</v>
      </c>
      <c r="K3989" s="575"/>
      <c r="L3989" s="575"/>
      <c r="M3989" s="575"/>
      <c r="N3989" s="575"/>
      <c r="O3989" s="575"/>
      <c r="P3989" s="575"/>
      <c r="Q3989" s="575"/>
      <c r="R3989" s="575"/>
      <c r="S3989" s="575"/>
      <c r="T3989" s="575"/>
      <c r="U3989" s="575"/>
      <c r="V3989" s="575"/>
      <c r="W3989" s="575"/>
      <c r="X3989" s="575"/>
      <c r="Y3989" s="575"/>
    </row>
    <row r="3990" spans="1:25" s="88" customFormat="1" hidden="1">
      <c r="A3990" s="263"/>
      <c r="B3990" s="263"/>
      <c r="C3990" s="266"/>
      <c r="D3990" s="263"/>
      <c r="E3990" s="263"/>
      <c r="F3990" s="425">
        <v>543</v>
      </c>
      <c r="G3990" s="420" t="s">
        <v>3848</v>
      </c>
      <c r="H3990" s="634"/>
      <c r="I3990" s="635"/>
      <c r="J3990" s="635">
        <f t="shared" si="121"/>
        <v>0</v>
      </c>
      <c r="K3990" s="575"/>
      <c r="L3990" s="575"/>
      <c r="M3990" s="575"/>
      <c r="N3990" s="575"/>
      <c r="O3990" s="575"/>
      <c r="P3990" s="575"/>
      <c r="Q3990" s="575"/>
      <c r="R3990" s="575"/>
      <c r="S3990" s="575"/>
      <c r="T3990" s="575"/>
      <c r="U3990" s="575"/>
      <c r="V3990" s="575"/>
      <c r="W3990" s="575"/>
      <c r="X3990" s="575"/>
      <c r="Y3990" s="575"/>
    </row>
    <row r="3991" spans="1:25" s="88" customFormat="1" ht="30" hidden="1">
      <c r="A3991" s="263"/>
      <c r="B3991" s="263"/>
      <c r="C3991" s="266"/>
      <c r="D3991" s="263"/>
      <c r="E3991" s="263"/>
      <c r="F3991" s="425">
        <v>551</v>
      </c>
      <c r="G3991" s="420" t="s">
        <v>4182</v>
      </c>
      <c r="H3991" s="634"/>
      <c r="I3991" s="635"/>
      <c r="J3991" s="635">
        <f t="shared" si="121"/>
        <v>0</v>
      </c>
      <c r="K3991" s="575"/>
      <c r="L3991" s="575"/>
      <c r="M3991" s="575"/>
      <c r="N3991" s="575"/>
      <c r="O3991" s="575"/>
      <c r="P3991" s="575"/>
      <c r="Q3991" s="575"/>
      <c r="R3991" s="575"/>
      <c r="S3991" s="575"/>
      <c r="T3991" s="575"/>
      <c r="U3991" s="575"/>
      <c r="V3991" s="575"/>
      <c r="W3991" s="575"/>
      <c r="X3991" s="575"/>
      <c r="Y3991" s="575"/>
    </row>
    <row r="3992" spans="1:25" s="88" customFormat="1" hidden="1">
      <c r="A3992" s="263"/>
      <c r="B3992" s="263"/>
      <c r="C3992" s="266"/>
      <c r="D3992" s="263"/>
      <c r="E3992" s="263"/>
      <c r="F3992" s="426">
        <v>611</v>
      </c>
      <c r="G3992" s="424" t="s">
        <v>3854</v>
      </c>
      <c r="H3992" s="634"/>
      <c r="I3992" s="635"/>
      <c r="J3992" s="635">
        <f t="shared" si="121"/>
        <v>0</v>
      </c>
      <c r="K3992" s="575"/>
      <c r="L3992" s="575"/>
      <c r="M3992" s="575"/>
      <c r="N3992" s="575"/>
      <c r="O3992" s="575"/>
      <c r="P3992" s="575"/>
      <c r="Q3992" s="575"/>
      <c r="R3992" s="575"/>
      <c r="S3992" s="575"/>
      <c r="T3992" s="575"/>
      <c r="U3992" s="575"/>
      <c r="V3992" s="575"/>
      <c r="W3992" s="575"/>
      <c r="X3992" s="575"/>
      <c r="Y3992" s="575"/>
    </row>
    <row r="3993" spans="1:25" s="88" customFormat="1" ht="0.75" hidden="1" customHeight="1" thickBot="1">
      <c r="A3993" s="263"/>
      <c r="B3993" s="263"/>
      <c r="C3993" s="266"/>
      <c r="D3993" s="263"/>
      <c r="E3993" s="263"/>
      <c r="F3993" s="426">
        <v>620</v>
      </c>
      <c r="G3993" s="424" t="s">
        <v>88</v>
      </c>
      <c r="H3993" s="634"/>
      <c r="I3993" s="635"/>
      <c r="J3993" s="635">
        <f t="shared" si="121"/>
        <v>0</v>
      </c>
      <c r="K3993" s="575"/>
      <c r="L3993" s="575"/>
      <c r="M3993" s="575"/>
      <c r="N3993" s="575"/>
      <c r="O3993" s="575"/>
      <c r="P3993" s="575"/>
      <c r="Q3993" s="575"/>
      <c r="R3993" s="575"/>
      <c r="S3993" s="575"/>
      <c r="T3993" s="575"/>
      <c r="U3993" s="575"/>
      <c r="V3993" s="575"/>
      <c r="W3993" s="575"/>
      <c r="X3993" s="575"/>
      <c r="Y3993" s="575"/>
    </row>
    <row r="3994" spans="1:25" s="88" customFormat="1">
      <c r="A3994" s="263"/>
      <c r="B3994" s="263"/>
      <c r="C3994" s="266"/>
      <c r="D3994" s="263"/>
      <c r="E3994" s="419"/>
      <c r="F3994" s="426"/>
      <c r="G3994" s="372" t="s">
        <v>4402</v>
      </c>
      <c r="H3994" s="636"/>
      <c r="I3994" s="662"/>
      <c r="J3994" s="637"/>
      <c r="K3994" s="575"/>
      <c r="L3994" s="575"/>
      <c r="M3994" s="575"/>
      <c r="N3994" s="575"/>
      <c r="O3994" s="575"/>
      <c r="P3994" s="575"/>
      <c r="Q3994" s="575"/>
      <c r="R3994" s="575"/>
      <c r="S3994" s="575"/>
      <c r="T3994" s="575"/>
      <c r="U3994" s="575"/>
      <c r="V3994" s="575"/>
      <c r="W3994" s="575"/>
      <c r="X3994" s="575"/>
      <c r="Y3994" s="575"/>
    </row>
    <row r="3995" spans="1:25" s="88" customFormat="1" ht="15.75" thickBot="1">
      <c r="A3995" s="263"/>
      <c r="B3995" s="263"/>
      <c r="C3995" s="266"/>
      <c r="D3995" s="263"/>
      <c r="E3995" s="267"/>
      <c r="F3995" s="294" t="s">
        <v>234</v>
      </c>
      <c r="G3995" s="297" t="s">
        <v>235</v>
      </c>
      <c r="H3995" s="638">
        <f>SUM(H3934:H3993)</f>
        <v>12960000</v>
      </c>
      <c r="I3995" s="639"/>
      <c r="J3995" s="639">
        <f t="shared" ref="J3995:J4010" si="122">SUM(H3995:I3995)</f>
        <v>12960000</v>
      </c>
      <c r="K3995" s="575"/>
      <c r="L3995" s="575"/>
      <c r="M3995" s="575"/>
      <c r="N3995" s="575"/>
      <c r="O3995" s="575"/>
      <c r="P3995" s="575"/>
      <c r="Q3995" s="575"/>
      <c r="R3995" s="575"/>
      <c r="S3995" s="575"/>
      <c r="T3995" s="575"/>
      <c r="U3995" s="575"/>
      <c r="V3995" s="575"/>
      <c r="W3995" s="575"/>
      <c r="X3995" s="575"/>
      <c r="Y3995" s="575"/>
    </row>
    <row r="3996" spans="1:25" s="88" customFormat="1" hidden="1">
      <c r="A3996" s="263"/>
      <c r="B3996" s="263"/>
      <c r="C3996" s="266"/>
      <c r="D3996" s="263"/>
      <c r="E3996" s="263"/>
      <c r="F3996" s="294" t="s">
        <v>236</v>
      </c>
      <c r="G3996" s="297" t="s">
        <v>237</v>
      </c>
      <c r="H3996" s="634"/>
      <c r="I3996" s="635"/>
      <c r="J3996" s="639">
        <f t="shared" si="122"/>
        <v>0</v>
      </c>
      <c r="K3996" s="575"/>
      <c r="L3996" s="575"/>
      <c r="M3996" s="575"/>
      <c r="N3996" s="575"/>
      <c r="O3996" s="575"/>
      <c r="P3996" s="575"/>
      <c r="Q3996" s="575"/>
      <c r="R3996" s="575"/>
      <c r="S3996" s="575"/>
      <c r="T3996" s="575"/>
      <c r="U3996" s="575"/>
      <c r="V3996" s="575"/>
      <c r="W3996" s="575"/>
      <c r="X3996" s="575"/>
      <c r="Y3996" s="575"/>
    </row>
    <row r="3997" spans="1:25" s="88" customFormat="1" hidden="1">
      <c r="A3997" s="263"/>
      <c r="B3997" s="263"/>
      <c r="C3997" s="266"/>
      <c r="D3997" s="263"/>
      <c r="E3997" s="263"/>
      <c r="F3997" s="294" t="s">
        <v>238</v>
      </c>
      <c r="G3997" s="297" t="s">
        <v>239</v>
      </c>
      <c r="H3997" s="634"/>
      <c r="I3997" s="635"/>
      <c r="J3997" s="639">
        <f t="shared" si="122"/>
        <v>0</v>
      </c>
      <c r="K3997" s="575"/>
      <c r="L3997" s="575"/>
      <c r="M3997" s="575"/>
      <c r="N3997" s="575"/>
      <c r="O3997" s="575"/>
      <c r="P3997" s="575"/>
      <c r="Q3997" s="575"/>
      <c r="R3997" s="575"/>
      <c r="S3997" s="575"/>
      <c r="T3997" s="575"/>
      <c r="U3997" s="575"/>
      <c r="V3997" s="575"/>
      <c r="W3997" s="575"/>
      <c r="X3997" s="575"/>
      <c r="Y3997" s="575"/>
    </row>
    <row r="3998" spans="1:25" s="88" customFormat="1" hidden="1">
      <c r="A3998" s="263"/>
      <c r="B3998" s="263"/>
      <c r="C3998" s="266"/>
      <c r="D3998" s="263"/>
      <c r="E3998" s="263"/>
      <c r="F3998" s="294" t="s">
        <v>240</v>
      </c>
      <c r="G3998" s="297" t="s">
        <v>241</v>
      </c>
      <c r="H3998" s="634"/>
      <c r="I3998" s="635"/>
      <c r="J3998" s="639">
        <f t="shared" si="122"/>
        <v>0</v>
      </c>
      <c r="K3998" s="575"/>
      <c r="L3998" s="575"/>
      <c r="M3998" s="575"/>
      <c r="N3998" s="575"/>
      <c r="O3998" s="575"/>
      <c r="P3998" s="575"/>
      <c r="Q3998" s="575"/>
      <c r="R3998" s="575"/>
      <c r="S3998" s="575"/>
      <c r="T3998" s="575"/>
      <c r="U3998" s="575"/>
      <c r="V3998" s="575"/>
      <c r="W3998" s="575"/>
      <c r="X3998" s="575"/>
      <c r="Y3998" s="575"/>
    </row>
    <row r="3999" spans="1:25" s="88" customFormat="1" hidden="1">
      <c r="A3999" s="263"/>
      <c r="B3999" s="263"/>
      <c r="C3999" s="266"/>
      <c r="D3999" s="263"/>
      <c r="E3999" s="263"/>
      <c r="F3999" s="294" t="s">
        <v>242</v>
      </c>
      <c r="G3999" s="297" t="s">
        <v>243</v>
      </c>
      <c r="H3999" s="634"/>
      <c r="I3999" s="635"/>
      <c r="J3999" s="639">
        <f t="shared" si="122"/>
        <v>0</v>
      </c>
      <c r="K3999" s="575"/>
      <c r="L3999" s="575"/>
      <c r="M3999" s="575"/>
      <c r="N3999" s="575"/>
      <c r="O3999" s="575"/>
      <c r="P3999" s="575"/>
      <c r="Q3999" s="575"/>
      <c r="R3999" s="575"/>
      <c r="S3999" s="575"/>
      <c r="T3999" s="575"/>
      <c r="U3999" s="575"/>
      <c r="V3999" s="575"/>
      <c r="W3999" s="575"/>
      <c r="X3999" s="575"/>
      <c r="Y3999" s="575"/>
    </row>
    <row r="4000" spans="1:25" s="88" customFormat="1" hidden="1">
      <c r="A4000" s="263"/>
      <c r="B4000" s="263"/>
      <c r="C4000" s="266"/>
      <c r="D4000" s="263"/>
      <c r="E4000" s="263"/>
      <c r="F4000" s="294" t="s">
        <v>244</v>
      </c>
      <c r="G4000" s="297" t="s">
        <v>245</v>
      </c>
      <c r="H4000" s="634"/>
      <c r="I4000" s="635"/>
      <c r="J4000" s="639">
        <f t="shared" si="122"/>
        <v>0</v>
      </c>
      <c r="K4000" s="575"/>
      <c r="L4000" s="575"/>
      <c r="M4000" s="575"/>
      <c r="N4000" s="575"/>
      <c r="O4000" s="575"/>
      <c r="P4000" s="575"/>
      <c r="Q4000" s="575"/>
      <c r="R4000" s="575"/>
      <c r="S4000" s="575"/>
      <c r="T4000" s="575"/>
      <c r="U4000" s="575"/>
      <c r="V4000" s="575"/>
      <c r="W4000" s="575"/>
      <c r="X4000" s="575"/>
      <c r="Y4000" s="575"/>
    </row>
    <row r="4001" spans="1:25" s="88" customFormat="1" hidden="1">
      <c r="A4001" s="263"/>
      <c r="B4001" s="263"/>
      <c r="C4001" s="266"/>
      <c r="D4001" s="263"/>
      <c r="E4001" s="263"/>
      <c r="F4001" s="294" t="s">
        <v>246</v>
      </c>
      <c r="G4001" s="683" t="s">
        <v>5121</v>
      </c>
      <c r="H4001" s="634"/>
      <c r="I4001" s="635"/>
      <c r="J4001" s="639">
        <f t="shared" si="122"/>
        <v>0</v>
      </c>
      <c r="K4001" s="575"/>
      <c r="L4001" s="575"/>
      <c r="M4001" s="575"/>
      <c r="N4001" s="575"/>
      <c r="O4001" s="575"/>
      <c r="P4001" s="575"/>
      <c r="Q4001" s="575"/>
      <c r="R4001" s="575"/>
      <c r="S4001" s="575"/>
      <c r="T4001" s="575"/>
      <c r="U4001" s="575"/>
      <c r="V4001" s="575"/>
      <c r="W4001" s="575"/>
      <c r="X4001" s="575"/>
      <c r="Y4001" s="575"/>
    </row>
    <row r="4002" spans="1:25" s="88" customFormat="1" hidden="1">
      <c r="A4002" s="263"/>
      <c r="B4002" s="263"/>
      <c r="C4002" s="266"/>
      <c r="D4002" s="263"/>
      <c r="E4002" s="263"/>
      <c r="F4002" s="294" t="s">
        <v>247</v>
      </c>
      <c r="G4002" s="683" t="s">
        <v>5120</v>
      </c>
      <c r="H4002" s="634"/>
      <c r="I4002" s="635"/>
      <c r="J4002" s="639">
        <f t="shared" si="122"/>
        <v>0</v>
      </c>
      <c r="K4002" s="575"/>
      <c r="L4002" s="575"/>
      <c r="M4002" s="575"/>
      <c r="N4002" s="575"/>
      <c r="O4002" s="575"/>
      <c r="P4002" s="575"/>
      <c r="Q4002" s="575"/>
      <c r="R4002" s="575"/>
      <c r="S4002" s="575"/>
      <c r="T4002" s="575"/>
      <c r="U4002" s="575"/>
      <c r="V4002" s="575"/>
      <c r="W4002" s="575"/>
      <c r="X4002" s="575"/>
      <c r="Y4002" s="575"/>
    </row>
    <row r="4003" spans="1:25" s="88" customFormat="1" hidden="1">
      <c r="A4003" s="263"/>
      <c r="B4003" s="263"/>
      <c r="C4003" s="266"/>
      <c r="D4003" s="263"/>
      <c r="E4003" s="263"/>
      <c r="F4003" s="294" t="s">
        <v>248</v>
      </c>
      <c r="G4003" s="297" t="s">
        <v>57</v>
      </c>
      <c r="H4003" s="634"/>
      <c r="I4003" s="635"/>
      <c r="J4003" s="639">
        <f t="shared" si="122"/>
        <v>0</v>
      </c>
      <c r="K4003" s="575"/>
      <c r="L4003" s="575"/>
      <c r="M4003" s="575"/>
      <c r="N4003" s="575"/>
      <c r="O4003" s="575"/>
      <c r="P4003" s="575"/>
      <c r="Q4003" s="575"/>
      <c r="R4003" s="575"/>
      <c r="S4003" s="575"/>
      <c r="T4003" s="575"/>
      <c r="U4003" s="575"/>
      <c r="V4003" s="575"/>
      <c r="W4003" s="575"/>
      <c r="X4003" s="575"/>
      <c r="Y4003" s="575"/>
    </row>
    <row r="4004" spans="1:25" s="88" customFormat="1" hidden="1">
      <c r="A4004" s="263"/>
      <c r="B4004" s="263"/>
      <c r="C4004" s="266"/>
      <c r="D4004" s="263"/>
      <c r="E4004" s="263"/>
      <c r="F4004" s="294" t="s">
        <v>249</v>
      </c>
      <c r="G4004" s="297" t="s">
        <v>250</v>
      </c>
      <c r="H4004" s="634"/>
      <c r="I4004" s="635"/>
      <c r="J4004" s="639">
        <f t="shared" si="122"/>
        <v>0</v>
      </c>
      <c r="K4004" s="575"/>
      <c r="L4004" s="575"/>
      <c r="M4004" s="575"/>
      <c r="N4004" s="575"/>
      <c r="O4004" s="575"/>
      <c r="P4004" s="575"/>
      <c r="Q4004" s="575"/>
      <c r="R4004" s="575"/>
      <c r="S4004" s="575"/>
      <c r="T4004" s="575"/>
      <c r="U4004" s="575"/>
      <c r="V4004" s="575"/>
      <c r="W4004" s="575"/>
      <c r="X4004" s="575"/>
      <c r="Y4004" s="575"/>
    </row>
    <row r="4005" spans="1:25" s="88" customFormat="1" hidden="1">
      <c r="A4005" s="263"/>
      <c r="B4005" s="263"/>
      <c r="C4005" s="266"/>
      <c r="D4005" s="263"/>
      <c r="E4005" s="263"/>
      <c r="F4005" s="294" t="s">
        <v>251</v>
      </c>
      <c r="G4005" s="297" t="s">
        <v>252</v>
      </c>
      <c r="H4005" s="634"/>
      <c r="I4005" s="635"/>
      <c r="J4005" s="639">
        <f t="shared" si="122"/>
        <v>0</v>
      </c>
      <c r="K4005" s="575"/>
      <c r="L4005" s="575"/>
      <c r="M4005" s="575"/>
      <c r="N4005" s="575"/>
      <c r="O4005" s="575"/>
      <c r="P4005" s="575"/>
      <c r="Q4005" s="575"/>
      <c r="R4005" s="575"/>
      <c r="S4005" s="575"/>
      <c r="T4005" s="575"/>
      <c r="U4005" s="575"/>
      <c r="V4005" s="575"/>
      <c r="W4005" s="575"/>
      <c r="X4005" s="575"/>
      <c r="Y4005" s="575"/>
    </row>
    <row r="4006" spans="1:25" s="88" customFormat="1" hidden="1">
      <c r="A4006" s="263"/>
      <c r="B4006" s="263"/>
      <c r="C4006" s="266"/>
      <c r="D4006" s="263"/>
      <c r="E4006" s="263"/>
      <c r="F4006" s="294" t="s">
        <v>253</v>
      </c>
      <c r="G4006" s="297" t="s">
        <v>254</v>
      </c>
      <c r="H4006" s="634"/>
      <c r="I4006" s="635"/>
      <c r="J4006" s="639">
        <f t="shared" si="122"/>
        <v>0</v>
      </c>
      <c r="K4006" s="575"/>
      <c r="L4006" s="575"/>
      <c r="M4006" s="575"/>
      <c r="N4006" s="575"/>
      <c r="O4006" s="575"/>
      <c r="P4006" s="575"/>
      <c r="Q4006" s="575"/>
      <c r="R4006" s="575"/>
      <c r="S4006" s="575"/>
      <c r="T4006" s="575"/>
      <c r="U4006" s="575"/>
      <c r="V4006" s="575"/>
      <c r="W4006" s="575"/>
      <c r="X4006" s="575"/>
      <c r="Y4006" s="575"/>
    </row>
    <row r="4007" spans="1:25" s="88" customFormat="1" hidden="1">
      <c r="A4007" s="263"/>
      <c r="B4007" s="263"/>
      <c r="C4007" s="266"/>
      <c r="D4007" s="263"/>
      <c r="E4007" s="263"/>
      <c r="F4007" s="294" t="s">
        <v>255</v>
      </c>
      <c r="G4007" s="297" t="s">
        <v>256</v>
      </c>
      <c r="H4007" s="634"/>
      <c r="I4007" s="635"/>
      <c r="J4007" s="639">
        <f t="shared" si="122"/>
        <v>0</v>
      </c>
      <c r="K4007" s="575"/>
      <c r="L4007" s="575"/>
      <c r="M4007" s="575"/>
      <c r="N4007" s="575"/>
      <c r="O4007" s="575"/>
      <c r="P4007" s="575"/>
      <c r="Q4007" s="575"/>
      <c r="R4007" s="575"/>
      <c r="S4007" s="575"/>
      <c r="T4007" s="575"/>
      <c r="U4007" s="575"/>
      <c r="V4007" s="575"/>
      <c r="W4007" s="575"/>
      <c r="X4007" s="575"/>
      <c r="Y4007" s="575"/>
    </row>
    <row r="4008" spans="1:25" s="88" customFormat="1" hidden="1">
      <c r="A4008" s="263"/>
      <c r="B4008" s="263"/>
      <c r="C4008" s="266"/>
      <c r="D4008" s="263"/>
      <c r="E4008" s="263"/>
      <c r="F4008" s="294" t="s">
        <v>257</v>
      </c>
      <c r="G4008" s="297" t="s">
        <v>258</v>
      </c>
      <c r="H4008" s="634"/>
      <c r="I4008" s="635"/>
      <c r="J4008" s="639">
        <f t="shared" si="122"/>
        <v>0</v>
      </c>
      <c r="K4008" s="575"/>
      <c r="L4008" s="575"/>
      <c r="M4008" s="575"/>
      <c r="N4008" s="575"/>
      <c r="O4008" s="575"/>
      <c r="P4008" s="575"/>
      <c r="Q4008" s="575"/>
      <c r="R4008" s="575"/>
      <c r="S4008" s="575"/>
      <c r="T4008" s="575"/>
      <c r="U4008" s="575"/>
      <c r="V4008" s="575"/>
      <c r="W4008" s="575"/>
      <c r="X4008" s="575"/>
      <c r="Y4008" s="575"/>
    </row>
    <row r="4009" spans="1:25" s="88" customFormat="1" hidden="1">
      <c r="A4009" s="263"/>
      <c r="B4009" s="263"/>
      <c r="C4009" s="266"/>
      <c r="D4009" s="263"/>
      <c r="E4009" s="263"/>
      <c r="F4009" s="294" t="s">
        <v>259</v>
      </c>
      <c r="G4009" s="297" t="s">
        <v>260</v>
      </c>
      <c r="H4009" s="634"/>
      <c r="I4009" s="635"/>
      <c r="J4009" s="639">
        <f t="shared" si="122"/>
        <v>0</v>
      </c>
      <c r="K4009" s="575"/>
      <c r="L4009" s="575"/>
      <c r="M4009" s="575"/>
      <c r="N4009" s="575"/>
      <c r="O4009" s="575"/>
      <c r="P4009" s="575"/>
      <c r="Q4009" s="575"/>
      <c r="R4009" s="575"/>
      <c r="S4009" s="575"/>
      <c r="T4009" s="575"/>
      <c r="U4009" s="575"/>
      <c r="V4009" s="575"/>
      <c r="W4009" s="575"/>
      <c r="X4009" s="575"/>
      <c r="Y4009" s="575"/>
    </row>
    <row r="4010" spans="1:25" s="88" customFormat="1" ht="15.75" hidden="1" thickBot="1">
      <c r="A4010" s="263"/>
      <c r="B4010" s="263"/>
      <c r="C4010" s="266"/>
      <c r="D4010" s="263"/>
      <c r="E4010" s="263"/>
      <c r="F4010" s="294" t="s">
        <v>261</v>
      </c>
      <c r="G4010" s="297" t="s">
        <v>262</v>
      </c>
      <c r="H4010" s="638"/>
      <c r="I4010" s="639"/>
      <c r="J4010" s="639">
        <f t="shared" si="122"/>
        <v>0</v>
      </c>
      <c r="K4010" s="575"/>
      <c r="L4010" s="575"/>
      <c r="M4010" s="575"/>
      <c r="N4010" s="575"/>
      <c r="O4010" s="575"/>
      <c r="P4010" s="575"/>
      <c r="Q4010" s="575"/>
      <c r="R4010" s="575"/>
      <c r="S4010" s="575"/>
      <c r="T4010" s="575"/>
      <c r="U4010" s="575"/>
      <c r="V4010" s="575"/>
      <c r="W4010" s="575"/>
      <c r="X4010" s="575"/>
      <c r="Y4010" s="575"/>
    </row>
    <row r="4011" spans="1:25" s="88" customFormat="1" ht="15.75" thickBot="1">
      <c r="A4011" s="263"/>
      <c r="B4011" s="263"/>
      <c r="C4011" s="266"/>
      <c r="D4011" s="263"/>
      <c r="E4011" s="263"/>
      <c r="F4011" s="263"/>
      <c r="G4011" s="274" t="s">
        <v>4403</v>
      </c>
      <c r="H4011" s="640">
        <f>SUM(H3995:H4010)</f>
        <v>12960000</v>
      </c>
      <c r="I4011" s="641">
        <f>SUM(I3996:I4010)</f>
        <v>0</v>
      </c>
      <c r="J4011" s="641">
        <f>SUM(J3995:J4010)</f>
        <v>12960000</v>
      </c>
      <c r="K4011" s="575"/>
      <c r="L4011" s="575"/>
      <c r="M4011" s="575"/>
      <c r="N4011" s="575"/>
      <c r="O4011" s="575"/>
      <c r="P4011" s="575"/>
      <c r="Q4011" s="575"/>
      <c r="R4011" s="575"/>
      <c r="S4011" s="575"/>
      <c r="T4011" s="575"/>
      <c r="U4011" s="575"/>
      <c r="V4011" s="575"/>
      <c r="W4011" s="575"/>
      <c r="X4011" s="575"/>
      <c r="Y4011" s="575"/>
    </row>
    <row r="4012" spans="1:25" s="88" customFormat="1">
      <c r="A4012" s="263"/>
      <c r="B4012" s="263"/>
      <c r="C4012" s="266"/>
      <c r="D4012" s="263"/>
      <c r="E4012" s="419"/>
      <c r="F4012" s="426"/>
      <c r="G4012" s="276" t="s">
        <v>4412</v>
      </c>
      <c r="H4012" s="642"/>
      <c r="I4012" s="663"/>
      <c r="J4012" s="643"/>
      <c r="K4012" s="575"/>
      <c r="L4012" s="575"/>
      <c r="M4012" s="575"/>
      <c r="N4012" s="575"/>
      <c r="O4012" s="575"/>
      <c r="P4012" s="575"/>
      <c r="Q4012" s="575"/>
      <c r="R4012" s="575"/>
      <c r="S4012" s="575"/>
      <c r="T4012" s="575"/>
      <c r="U4012" s="575"/>
      <c r="V4012" s="575"/>
      <c r="W4012" s="575"/>
      <c r="X4012" s="575"/>
      <c r="Y4012" s="575"/>
    </row>
    <row r="4013" spans="1:25" s="88" customFormat="1" ht="15.75" thickBot="1">
      <c r="A4013" s="263"/>
      <c r="B4013" s="263"/>
      <c r="C4013" s="266"/>
      <c r="D4013" s="263"/>
      <c r="E4013" s="267"/>
      <c r="F4013" s="294" t="s">
        <v>234</v>
      </c>
      <c r="G4013" s="297" t="s">
        <v>235</v>
      </c>
      <c r="H4013" s="638">
        <f>SUM(H3934:H3993)</f>
        <v>12960000</v>
      </c>
      <c r="I4013" s="639"/>
      <c r="J4013" s="639">
        <f>SUM(H4013:I4013)</f>
        <v>12960000</v>
      </c>
      <c r="K4013" s="575"/>
      <c r="L4013" s="575"/>
      <c r="M4013" s="575"/>
      <c r="N4013" s="575"/>
      <c r="O4013" s="575"/>
      <c r="P4013" s="575"/>
      <c r="Q4013" s="575"/>
      <c r="R4013" s="575"/>
      <c r="S4013" s="575"/>
      <c r="T4013" s="575"/>
      <c r="U4013" s="575"/>
      <c r="V4013" s="575"/>
      <c r="W4013" s="575"/>
      <c r="X4013" s="575"/>
      <c r="Y4013" s="575"/>
    </row>
    <row r="4014" spans="1:25" s="88" customFormat="1" hidden="1">
      <c r="A4014" s="263"/>
      <c r="B4014" s="263"/>
      <c r="C4014" s="266"/>
      <c r="D4014" s="263"/>
      <c r="E4014" s="263"/>
      <c r="F4014" s="294" t="s">
        <v>236</v>
      </c>
      <c r="G4014" s="297" t="s">
        <v>237</v>
      </c>
      <c r="H4014" s="634"/>
      <c r="I4014" s="635"/>
      <c r="J4014" s="639">
        <f t="shared" ref="J4014:J4028" si="123">SUM(H4014:I4014)</f>
        <v>0</v>
      </c>
      <c r="K4014" s="575"/>
      <c r="L4014" s="575"/>
      <c r="M4014" s="575"/>
      <c r="N4014" s="575"/>
      <c r="O4014" s="575"/>
      <c r="P4014" s="575"/>
      <c r="Q4014" s="575"/>
      <c r="R4014" s="575"/>
      <c r="S4014" s="575"/>
      <c r="T4014" s="575"/>
      <c r="U4014" s="575"/>
      <c r="V4014" s="575"/>
      <c r="W4014" s="575"/>
      <c r="X4014" s="575"/>
      <c r="Y4014" s="575"/>
    </row>
    <row r="4015" spans="1:25" s="88" customFormat="1" hidden="1">
      <c r="A4015" s="263"/>
      <c r="B4015" s="263"/>
      <c r="C4015" s="266"/>
      <c r="D4015" s="263"/>
      <c r="E4015" s="263"/>
      <c r="F4015" s="294" t="s">
        <v>238</v>
      </c>
      <c r="G4015" s="297" t="s">
        <v>239</v>
      </c>
      <c r="H4015" s="634"/>
      <c r="I4015" s="635"/>
      <c r="J4015" s="639">
        <f t="shared" si="123"/>
        <v>0</v>
      </c>
      <c r="K4015" s="575"/>
      <c r="L4015" s="575"/>
      <c r="M4015" s="575"/>
      <c r="N4015" s="575"/>
      <c r="O4015" s="575"/>
      <c r="P4015" s="575"/>
      <c r="Q4015" s="575"/>
      <c r="R4015" s="575"/>
      <c r="S4015" s="575"/>
      <c r="T4015" s="575"/>
      <c r="U4015" s="575"/>
      <c r="V4015" s="575"/>
      <c r="W4015" s="575"/>
      <c r="X4015" s="575"/>
      <c r="Y4015" s="575"/>
    </row>
    <row r="4016" spans="1:25" s="88" customFormat="1" hidden="1">
      <c r="A4016" s="263"/>
      <c r="B4016" s="263"/>
      <c r="C4016" s="266"/>
      <c r="D4016" s="263"/>
      <c r="E4016" s="263"/>
      <c r="F4016" s="294" t="s">
        <v>240</v>
      </c>
      <c r="G4016" s="297" t="s">
        <v>241</v>
      </c>
      <c r="H4016" s="634"/>
      <c r="I4016" s="635"/>
      <c r="J4016" s="639">
        <f t="shared" si="123"/>
        <v>0</v>
      </c>
      <c r="K4016" s="575"/>
      <c r="L4016" s="575"/>
      <c r="M4016" s="575"/>
      <c r="N4016" s="575"/>
      <c r="O4016" s="575"/>
      <c r="P4016" s="575"/>
      <c r="Q4016" s="575"/>
      <c r="R4016" s="575"/>
      <c r="S4016" s="575"/>
      <c r="T4016" s="575"/>
      <c r="U4016" s="575"/>
      <c r="V4016" s="575"/>
      <c r="W4016" s="575"/>
      <c r="X4016" s="575"/>
      <c r="Y4016" s="575"/>
    </row>
    <row r="4017" spans="1:25" s="88" customFormat="1" hidden="1">
      <c r="A4017" s="263"/>
      <c r="B4017" s="263"/>
      <c r="C4017" s="266"/>
      <c r="D4017" s="263"/>
      <c r="E4017" s="263"/>
      <c r="F4017" s="294" t="s">
        <v>242</v>
      </c>
      <c r="G4017" s="297" t="s">
        <v>243</v>
      </c>
      <c r="H4017" s="634"/>
      <c r="I4017" s="635"/>
      <c r="J4017" s="639">
        <f t="shared" si="123"/>
        <v>0</v>
      </c>
      <c r="K4017" s="575"/>
      <c r="L4017" s="575"/>
      <c r="M4017" s="575"/>
      <c r="N4017" s="575"/>
      <c r="O4017" s="575"/>
      <c r="P4017" s="575"/>
      <c r="Q4017" s="575"/>
      <c r="R4017" s="575"/>
      <c r="S4017" s="575"/>
      <c r="T4017" s="575"/>
      <c r="U4017" s="575"/>
      <c r="V4017" s="575"/>
      <c r="W4017" s="575"/>
      <c r="X4017" s="575"/>
      <c r="Y4017" s="575"/>
    </row>
    <row r="4018" spans="1:25" s="88" customFormat="1" hidden="1">
      <c r="A4018" s="263"/>
      <c r="B4018" s="263"/>
      <c r="C4018" s="266"/>
      <c r="D4018" s="263"/>
      <c r="E4018" s="263"/>
      <c r="F4018" s="294" t="s">
        <v>244</v>
      </c>
      <c r="G4018" s="297" t="s">
        <v>245</v>
      </c>
      <c r="H4018" s="634"/>
      <c r="I4018" s="635"/>
      <c r="J4018" s="639">
        <f t="shared" si="123"/>
        <v>0</v>
      </c>
      <c r="K4018" s="575"/>
      <c r="L4018" s="575"/>
      <c r="M4018" s="575"/>
      <c r="N4018" s="575"/>
      <c r="O4018" s="575"/>
      <c r="P4018" s="575"/>
      <c r="Q4018" s="575"/>
      <c r="R4018" s="575"/>
      <c r="S4018" s="575"/>
      <c r="T4018" s="575"/>
      <c r="U4018" s="575"/>
      <c r="V4018" s="575"/>
      <c r="W4018" s="575"/>
      <c r="X4018" s="575"/>
      <c r="Y4018" s="575"/>
    </row>
    <row r="4019" spans="1:25" s="88" customFormat="1" hidden="1">
      <c r="A4019" s="263"/>
      <c r="B4019" s="263"/>
      <c r="C4019" s="266"/>
      <c r="D4019" s="263"/>
      <c r="E4019" s="263"/>
      <c r="F4019" s="294" t="s">
        <v>246</v>
      </c>
      <c r="G4019" s="683" t="s">
        <v>5121</v>
      </c>
      <c r="H4019" s="634"/>
      <c r="I4019" s="635"/>
      <c r="J4019" s="639">
        <f t="shared" si="123"/>
        <v>0</v>
      </c>
      <c r="K4019" s="575"/>
      <c r="L4019" s="575"/>
      <c r="M4019" s="575"/>
      <c r="N4019" s="575"/>
      <c r="O4019" s="575"/>
      <c r="P4019" s="575"/>
      <c r="Q4019" s="575"/>
      <c r="R4019" s="575"/>
      <c r="S4019" s="575"/>
      <c r="T4019" s="575"/>
      <c r="U4019" s="575"/>
      <c r="V4019" s="575"/>
      <c r="W4019" s="575"/>
      <c r="X4019" s="575"/>
      <c r="Y4019" s="575"/>
    </row>
    <row r="4020" spans="1:25" s="88" customFormat="1" hidden="1">
      <c r="A4020" s="263"/>
      <c r="B4020" s="263"/>
      <c r="C4020" s="266"/>
      <c r="D4020" s="263"/>
      <c r="E4020" s="263"/>
      <c r="F4020" s="294" t="s">
        <v>247</v>
      </c>
      <c r="G4020" s="683" t="s">
        <v>5120</v>
      </c>
      <c r="H4020" s="634"/>
      <c r="I4020" s="635"/>
      <c r="J4020" s="639">
        <f t="shared" si="123"/>
        <v>0</v>
      </c>
      <c r="K4020" s="575"/>
      <c r="L4020" s="575"/>
      <c r="M4020" s="575"/>
      <c r="N4020" s="575"/>
      <c r="O4020" s="575"/>
      <c r="P4020" s="575"/>
      <c r="Q4020" s="575"/>
      <c r="R4020" s="575"/>
      <c r="S4020" s="575"/>
      <c r="T4020" s="575"/>
      <c r="U4020" s="575"/>
      <c r="V4020" s="575"/>
      <c r="W4020" s="575"/>
      <c r="X4020" s="575"/>
      <c r="Y4020" s="575"/>
    </row>
    <row r="4021" spans="1:25" s="88" customFormat="1" hidden="1">
      <c r="A4021" s="263"/>
      <c r="B4021" s="263"/>
      <c r="C4021" s="266"/>
      <c r="D4021" s="263"/>
      <c r="E4021" s="263"/>
      <c r="F4021" s="294" t="s">
        <v>248</v>
      </c>
      <c r="G4021" s="297" t="s">
        <v>57</v>
      </c>
      <c r="H4021" s="634"/>
      <c r="I4021" s="635"/>
      <c r="J4021" s="639">
        <f t="shared" si="123"/>
        <v>0</v>
      </c>
      <c r="K4021" s="575"/>
      <c r="L4021" s="575"/>
      <c r="M4021" s="575"/>
      <c r="N4021" s="575"/>
      <c r="O4021" s="575"/>
      <c r="P4021" s="575"/>
      <c r="Q4021" s="575"/>
      <c r="R4021" s="575"/>
      <c r="S4021" s="575"/>
      <c r="T4021" s="575"/>
      <c r="U4021" s="575"/>
      <c r="V4021" s="575"/>
      <c r="W4021" s="575"/>
      <c r="X4021" s="575"/>
      <c r="Y4021" s="575"/>
    </row>
    <row r="4022" spans="1:25" s="88" customFormat="1" hidden="1">
      <c r="A4022" s="263"/>
      <c r="B4022" s="263"/>
      <c r="C4022" s="266"/>
      <c r="D4022" s="263"/>
      <c r="E4022" s="263"/>
      <c r="F4022" s="294" t="s">
        <v>249</v>
      </c>
      <c r="G4022" s="297" t="s">
        <v>250</v>
      </c>
      <c r="H4022" s="634"/>
      <c r="I4022" s="635"/>
      <c r="J4022" s="639">
        <f t="shared" si="123"/>
        <v>0</v>
      </c>
      <c r="K4022" s="575"/>
      <c r="L4022" s="575"/>
      <c r="M4022" s="575"/>
      <c r="N4022" s="575"/>
      <c r="O4022" s="575"/>
      <c r="P4022" s="575"/>
      <c r="Q4022" s="575"/>
      <c r="R4022" s="575"/>
      <c r="S4022" s="575"/>
      <c r="T4022" s="575"/>
      <c r="U4022" s="575"/>
      <c r="V4022" s="575"/>
      <c r="W4022" s="575"/>
      <c r="X4022" s="575"/>
      <c r="Y4022" s="575"/>
    </row>
    <row r="4023" spans="1:25" s="88" customFormat="1" hidden="1">
      <c r="A4023" s="263"/>
      <c r="B4023" s="263"/>
      <c r="C4023" s="266"/>
      <c r="D4023" s="263"/>
      <c r="E4023" s="263"/>
      <c r="F4023" s="294" t="s">
        <v>251</v>
      </c>
      <c r="G4023" s="297" t="s">
        <v>252</v>
      </c>
      <c r="H4023" s="634"/>
      <c r="I4023" s="635"/>
      <c r="J4023" s="639">
        <f t="shared" si="123"/>
        <v>0</v>
      </c>
      <c r="K4023" s="575"/>
      <c r="L4023" s="575"/>
      <c r="M4023" s="575"/>
      <c r="N4023" s="575"/>
      <c r="O4023" s="575"/>
      <c r="P4023" s="575"/>
      <c r="Q4023" s="575"/>
      <c r="R4023" s="575"/>
      <c r="S4023" s="575"/>
      <c r="T4023" s="575"/>
      <c r="U4023" s="575"/>
      <c r="V4023" s="575"/>
      <c r="W4023" s="575"/>
      <c r="X4023" s="575"/>
      <c r="Y4023" s="575"/>
    </row>
    <row r="4024" spans="1:25" s="88" customFormat="1" hidden="1">
      <c r="A4024" s="263"/>
      <c r="B4024" s="263"/>
      <c r="C4024" s="266"/>
      <c r="D4024" s="263"/>
      <c r="E4024" s="263"/>
      <c r="F4024" s="294" t="s">
        <v>253</v>
      </c>
      <c r="G4024" s="297" t="s">
        <v>254</v>
      </c>
      <c r="H4024" s="634"/>
      <c r="I4024" s="635"/>
      <c r="J4024" s="639">
        <f t="shared" si="123"/>
        <v>0</v>
      </c>
      <c r="K4024" s="575"/>
      <c r="L4024" s="575"/>
      <c r="M4024" s="575"/>
      <c r="N4024" s="575"/>
      <c r="O4024" s="575"/>
      <c r="P4024" s="575"/>
      <c r="Q4024" s="575"/>
      <c r="R4024" s="575"/>
      <c r="S4024" s="575"/>
      <c r="T4024" s="575"/>
      <c r="U4024" s="575"/>
      <c r="V4024" s="575"/>
      <c r="W4024" s="575"/>
      <c r="X4024" s="575"/>
      <c r="Y4024" s="575"/>
    </row>
    <row r="4025" spans="1:25" s="88" customFormat="1" hidden="1">
      <c r="A4025" s="263"/>
      <c r="B4025" s="263"/>
      <c r="C4025" s="266"/>
      <c r="D4025" s="263"/>
      <c r="E4025" s="263"/>
      <c r="F4025" s="294" t="s">
        <v>255</v>
      </c>
      <c r="G4025" s="297" t="s">
        <v>256</v>
      </c>
      <c r="H4025" s="634"/>
      <c r="I4025" s="635"/>
      <c r="J4025" s="639">
        <f t="shared" si="123"/>
        <v>0</v>
      </c>
      <c r="K4025" s="575"/>
      <c r="L4025" s="575"/>
      <c r="M4025" s="575"/>
      <c r="N4025" s="575"/>
      <c r="O4025" s="575"/>
      <c r="P4025" s="575"/>
      <c r="Q4025" s="575"/>
      <c r="R4025" s="575"/>
      <c r="S4025" s="575"/>
      <c r="T4025" s="575"/>
      <c r="U4025" s="575"/>
      <c r="V4025" s="575"/>
      <c r="W4025" s="575"/>
      <c r="X4025" s="575"/>
      <c r="Y4025" s="575"/>
    </row>
    <row r="4026" spans="1:25" s="88" customFormat="1" hidden="1">
      <c r="A4026" s="263"/>
      <c r="B4026" s="263"/>
      <c r="C4026" s="266"/>
      <c r="D4026" s="263"/>
      <c r="E4026" s="263"/>
      <c r="F4026" s="294" t="s">
        <v>257</v>
      </c>
      <c r="G4026" s="297" t="s">
        <v>258</v>
      </c>
      <c r="H4026" s="634"/>
      <c r="I4026" s="635"/>
      <c r="J4026" s="639">
        <f t="shared" si="123"/>
        <v>0</v>
      </c>
      <c r="K4026" s="575"/>
      <c r="L4026" s="575"/>
      <c r="M4026" s="575"/>
      <c r="N4026" s="575"/>
      <c r="O4026" s="575"/>
      <c r="P4026" s="575"/>
      <c r="Q4026" s="575"/>
      <c r="R4026" s="575"/>
      <c r="S4026" s="575"/>
      <c r="T4026" s="575"/>
      <c r="U4026" s="575"/>
      <c r="V4026" s="575"/>
      <c r="W4026" s="575"/>
      <c r="X4026" s="575"/>
      <c r="Y4026" s="575"/>
    </row>
    <row r="4027" spans="1:25" s="88" customFormat="1" hidden="1">
      <c r="A4027" s="263"/>
      <c r="B4027" s="263"/>
      <c r="C4027" s="266"/>
      <c r="D4027" s="263"/>
      <c r="E4027" s="263"/>
      <c r="F4027" s="294" t="s">
        <v>259</v>
      </c>
      <c r="G4027" s="297" t="s">
        <v>260</v>
      </c>
      <c r="H4027" s="634"/>
      <c r="I4027" s="635"/>
      <c r="J4027" s="639">
        <f t="shared" si="123"/>
        <v>0</v>
      </c>
      <c r="K4027" s="575"/>
      <c r="L4027" s="575"/>
      <c r="M4027" s="575"/>
      <c r="N4027" s="575"/>
      <c r="O4027" s="575"/>
      <c r="P4027" s="575"/>
      <c r="Q4027" s="575"/>
      <c r="R4027" s="575"/>
      <c r="S4027" s="575"/>
      <c r="T4027" s="575"/>
      <c r="U4027" s="575"/>
      <c r="V4027" s="575"/>
      <c r="W4027" s="575"/>
      <c r="X4027" s="575"/>
      <c r="Y4027" s="575"/>
    </row>
    <row r="4028" spans="1:25" s="88" customFormat="1" ht="15.75" hidden="1" thickBot="1">
      <c r="A4028" s="263"/>
      <c r="B4028" s="263"/>
      <c r="C4028" s="266"/>
      <c r="D4028" s="263"/>
      <c r="E4028" s="263"/>
      <c r="F4028" s="294" t="s">
        <v>261</v>
      </c>
      <c r="G4028" s="297" t="s">
        <v>262</v>
      </c>
      <c r="H4028" s="638"/>
      <c r="I4028" s="639"/>
      <c r="J4028" s="639">
        <f t="shared" si="123"/>
        <v>0</v>
      </c>
      <c r="K4028" s="575"/>
      <c r="L4028" s="575"/>
      <c r="M4028" s="575"/>
      <c r="N4028" s="575"/>
      <c r="O4028" s="575"/>
      <c r="P4028" s="575"/>
      <c r="Q4028" s="575"/>
      <c r="R4028" s="575"/>
      <c r="S4028" s="575"/>
      <c r="T4028" s="575"/>
      <c r="U4028" s="575"/>
      <c r="V4028" s="575"/>
      <c r="W4028" s="575"/>
      <c r="X4028" s="575"/>
      <c r="Y4028" s="575"/>
    </row>
    <row r="4029" spans="1:25" s="88" customFormat="1" ht="15.75" thickBot="1">
      <c r="A4029" s="263"/>
      <c r="B4029" s="263"/>
      <c r="C4029" s="266"/>
      <c r="D4029" s="263"/>
      <c r="E4029" s="263"/>
      <c r="F4029" s="263"/>
      <c r="G4029" s="274" t="s">
        <v>4413</v>
      </c>
      <c r="H4029" s="640">
        <f>SUM(H4013:H4028)</f>
        <v>12960000</v>
      </c>
      <c r="I4029" s="641">
        <f>SUM(I4014:I4028)</f>
        <v>0</v>
      </c>
      <c r="J4029" s="641">
        <f>SUM(J4013:J4028)</f>
        <v>12960000</v>
      </c>
      <c r="K4029" s="575"/>
      <c r="L4029" s="575"/>
      <c r="M4029" s="575"/>
      <c r="N4029" s="575"/>
      <c r="O4029" s="575"/>
      <c r="P4029" s="575"/>
      <c r="Q4029" s="575"/>
      <c r="R4029" s="575"/>
      <c r="S4029" s="575"/>
      <c r="T4029" s="575"/>
      <c r="U4029" s="575"/>
      <c r="V4029" s="575"/>
      <c r="W4029" s="575"/>
      <c r="X4029" s="575"/>
      <c r="Y4029" s="575"/>
    </row>
    <row r="4030" spans="1:25" s="88" customFormat="1" ht="4.5" customHeight="1">
      <c r="A4030" s="263"/>
      <c r="B4030" s="263"/>
      <c r="C4030" s="266"/>
      <c r="D4030" s="263"/>
      <c r="E4030" s="263"/>
      <c r="F4030" s="263"/>
      <c r="G4030" s="331"/>
      <c r="H4030" s="644"/>
      <c r="I4030" s="645"/>
      <c r="J4030" s="645"/>
      <c r="K4030" s="575"/>
      <c r="L4030" s="575"/>
      <c r="M4030" s="575"/>
      <c r="N4030" s="575"/>
      <c r="O4030" s="575"/>
      <c r="P4030" s="575"/>
      <c r="Q4030" s="575"/>
      <c r="R4030" s="575"/>
      <c r="S4030" s="575"/>
      <c r="T4030" s="575"/>
      <c r="U4030" s="575"/>
      <c r="V4030" s="575"/>
      <c r="W4030" s="575"/>
      <c r="X4030" s="575"/>
      <c r="Y4030" s="575"/>
    </row>
    <row r="4031" spans="1:25" s="88" customFormat="1">
      <c r="A4031" s="422"/>
      <c r="B4031" s="301"/>
      <c r="C4031" s="321" t="s">
        <v>4410</v>
      </c>
      <c r="D4031" s="264"/>
      <c r="E4031" s="264"/>
      <c r="F4031" s="322"/>
      <c r="G4031" s="323" t="s">
        <v>175</v>
      </c>
      <c r="H4031" s="667"/>
      <c r="I4031" s="650"/>
      <c r="J4031" s="668"/>
      <c r="K4031" s="575"/>
      <c r="L4031" s="575"/>
      <c r="M4031" s="575"/>
      <c r="N4031" s="575"/>
      <c r="O4031" s="575"/>
      <c r="P4031" s="575"/>
      <c r="Q4031" s="575"/>
      <c r="R4031" s="575"/>
      <c r="S4031" s="575"/>
      <c r="T4031" s="575"/>
      <c r="U4031" s="575"/>
      <c r="V4031" s="575"/>
      <c r="W4031" s="575"/>
      <c r="X4031" s="575"/>
      <c r="Y4031" s="575"/>
    </row>
    <row r="4032" spans="1:25" s="88" customFormat="1">
      <c r="A4032" s="263"/>
      <c r="B4032" s="263"/>
      <c r="C4032" s="273"/>
      <c r="D4032" s="357">
        <v>510</v>
      </c>
      <c r="E4032" s="357"/>
      <c r="F4032" s="357"/>
      <c r="G4032" s="358" t="s">
        <v>175</v>
      </c>
      <c r="H4032" s="634"/>
      <c r="I4032" s="635"/>
      <c r="J4032" s="635"/>
      <c r="K4032" s="575"/>
      <c r="L4032" s="575"/>
      <c r="M4032" s="575"/>
      <c r="N4032" s="575"/>
      <c r="O4032" s="575"/>
      <c r="P4032" s="575"/>
      <c r="Q4032" s="575"/>
      <c r="R4032" s="575"/>
      <c r="S4032" s="575"/>
      <c r="T4032" s="575"/>
      <c r="U4032" s="575"/>
      <c r="V4032" s="575"/>
      <c r="W4032" s="575"/>
      <c r="X4032" s="575"/>
      <c r="Y4032" s="575"/>
    </row>
    <row r="4033" spans="1:25" s="88" customFormat="1" hidden="1">
      <c r="A4033" s="263"/>
      <c r="B4033" s="263"/>
      <c r="C4033" s="266"/>
      <c r="D4033" s="263"/>
      <c r="E4033" s="263"/>
      <c r="F4033" s="425">
        <v>411</v>
      </c>
      <c r="G4033" s="420" t="s">
        <v>4173</v>
      </c>
      <c r="H4033" s="634"/>
      <c r="I4033" s="635"/>
      <c r="J4033" s="635">
        <f>SUM(H4033:I4033)</f>
        <v>0</v>
      </c>
      <c r="K4033" s="575"/>
      <c r="L4033" s="575"/>
      <c r="M4033" s="575"/>
      <c r="N4033" s="575"/>
      <c r="O4033" s="575"/>
      <c r="P4033" s="575"/>
      <c r="Q4033" s="575"/>
      <c r="R4033" s="575"/>
      <c r="S4033" s="575"/>
      <c r="T4033" s="575"/>
      <c r="U4033" s="575"/>
      <c r="V4033" s="575"/>
      <c r="W4033" s="575"/>
      <c r="X4033" s="575"/>
      <c r="Y4033" s="575"/>
    </row>
    <row r="4034" spans="1:25" s="88" customFormat="1" hidden="1">
      <c r="A4034" s="263"/>
      <c r="B4034" s="263"/>
      <c r="C4034" s="266"/>
      <c r="D4034" s="263"/>
      <c r="E4034" s="263"/>
      <c r="F4034" s="425">
        <v>412</v>
      </c>
      <c r="G4034" s="418" t="s">
        <v>3770</v>
      </c>
      <c r="H4034" s="634"/>
      <c r="I4034" s="635"/>
      <c r="J4034" s="635">
        <f t="shared" ref="J4034:J4092" si="124">SUM(H4034:I4034)</f>
        <v>0</v>
      </c>
      <c r="K4034" s="575"/>
      <c r="L4034" s="575"/>
      <c r="M4034" s="575"/>
      <c r="N4034" s="575"/>
      <c r="O4034" s="575"/>
      <c r="P4034" s="575"/>
      <c r="Q4034" s="575"/>
      <c r="R4034" s="575"/>
      <c r="S4034" s="575"/>
      <c r="T4034" s="575"/>
      <c r="U4034" s="575"/>
      <c r="V4034" s="575"/>
      <c r="W4034" s="575"/>
      <c r="X4034" s="575"/>
      <c r="Y4034" s="575"/>
    </row>
    <row r="4035" spans="1:25" s="88" customFormat="1" hidden="1">
      <c r="A4035" s="263"/>
      <c r="B4035" s="263"/>
      <c r="C4035" s="266"/>
      <c r="D4035" s="263"/>
      <c r="E4035" s="263"/>
      <c r="F4035" s="425">
        <v>413</v>
      </c>
      <c r="G4035" s="420" t="s">
        <v>4174</v>
      </c>
      <c r="H4035" s="634"/>
      <c r="I4035" s="635"/>
      <c r="J4035" s="635">
        <f t="shared" si="124"/>
        <v>0</v>
      </c>
      <c r="K4035" s="575"/>
      <c r="L4035" s="575"/>
      <c r="M4035" s="575"/>
      <c r="N4035" s="575"/>
      <c r="O4035" s="575"/>
      <c r="P4035" s="575"/>
      <c r="Q4035" s="575"/>
      <c r="R4035" s="575"/>
      <c r="S4035" s="575"/>
      <c r="T4035" s="575"/>
      <c r="U4035" s="575"/>
      <c r="V4035" s="575"/>
      <c r="W4035" s="575"/>
      <c r="X4035" s="575"/>
      <c r="Y4035" s="575"/>
    </row>
    <row r="4036" spans="1:25" s="88" customFormat="1" hidden="1">
      <c r="A4036" s="263"/>
      <c r="B4036" s="263"/>
      <c r="C4036" s="266"/>
      <c r="D4036" s="263"/>
      <c r="E4036" s="263"/>
      <c r="F4036" s="425">
        <v>414</v>
      </c>
      <c r="G4036" s="420" t="s">
        <v>3773</v>
      </c>
      <c r="H4036" s="634"/>
      <c r="I4036" s="635"/>
      <c r="J4036" s="635">
        <f t="shared" si="124"/>
        <v>0</v>
      </c>
      <c r="K4036" s="575"/>
      <c r="L4036" s="575"/>
      <c r="M4036" s="575"/>
      <c r="N4036" s="575"/>
      <c r="O4036" s="575"/>
      <c r="P4036" s="575"/>
      <c r="Q4036" s="575"/>
      <c r="R4036" s="575"/>
      <c r="S4036" s="575"/>
      <c r="T4036" s="575"/>
      <c r="U4036" s="575"/>
      <c r="V4036" s="575"/>
      <c r="W4036" s="575"/>
      <c r="X4036" s="575"/>
      <c r="Y4036" s="575"/>
    </row>
    <row r="4037" spans="1:25" s="88" customFormat="1" hidden="1">
      <c r="A4037" s="263"/>
      <c r="B4037" s="263"/>
      <c r="C4037" s="266"/>
      <c r="D4037" s="263"/>
      <c r="E4037" s="263"/>
      <c r="F4037" s="425">
        <v>415</v>
      </c>
      <c r="G4037" s="420" t="s">
        <v>4183</v>
      </c>
      <c r="H4037" s="634"/>
      <c r="I4037" s="635"/>
      <c r="J4037" s="635">
        <f t="shared" si="124"/>
        <v>0</v>
      </c>
      <c r="K4037" s="575"/>
      <c r="L4037" s="575"/>
      <c r="M4037" s="575"/>
      <c r="N4037" s="575"/>
      <c r="O4037" s="575"/>
      <c r="P4037" s="575"/>
      <c r="Q4037" s="575"/>
      <c r="R4037" s="575"/>
      <c r="S4037" s="575"/>
      <c r="T4037" s="575"/>
      <c r="U4037" s="575"/>
      <c r="V4037" s="575"/>
      <c r="W4037" s="575"/>
      <c r="X4037" s="575"/>
      <c r="Y4037" s="575"/>
    </row>
    <row r="4038" spans="1:25" s="88" customFormat="1" hidden="1">
      <c r="A4038" s="263"/>
      <c r="B4038" s="263"/>
      <c r="C4038" s="266"/>
      <c r="D4038" s="263"/>
      <c r="E4038" s="263"/>
      <c r="F4038" s="425">
        <v>416</v>
      </c>
      <c r="G4038" s="420" t="s">
        <v>4184</v>
      </c>
      <c r="H4038" s="634"/>
      <c r="I4038" s="635"/>
      <c r="J4038" s="635">
        <f t="shared" si="124"/>
        <v>0</v>
      </c>
      <c r="K4038" s="575"/>
      <c r="L4038" s="575"/>
      <c r="M4038" s="575"/>
      <c r="N4038" s="575"/>
      <c r="O4038" s="575"/>
      <c r="P4038" s="575"/>
      <c r="Q4038" s="575"/>
      <c r="R4038" s="575"/>
      <c r="S4038" s="575"/>
      <c r="T4038" s="575"/>
      <c r="U4038" s="575"/>
      <c r="V4038" s="575"/>
      <c r="W4038" s="575"/>
      <c r="X4038" s="575"/>
      <c r="Y4038" s="575"/>
    </row>
    <row r="4039" spans="1:25" s="88" customFormat="1" hidden="1">
      <c r="A4039" s="263"/>
      <c r="B4039" s="263"/>
      <c r="C4039" s="266"/>
      <c r="D4039" s="263"/>
      <c r="E4039" s="263"/>
      <c r="F4039" s="425">
        <v>417</v>
      </c>
      <c r="G4039" s="420" t="s">
        <v>4185</v>
      </c>
      <c r="H4039" s="634"/>
      <c r="I4039" s="635"/>
      <c r="J4039" s="635">
        <f t="shared" si="124"/>
        <v>0</v>
      </c>
      <c r="K4039" s="575"/>
      <c r="L4039" s="575"/>
      <c r="M4039" s="575"/>
      <c r="N4039" s="575"/>
      <c r="O4039" s="575"/>
      <c r="P4039" s="575"/>
      <c r="Q4039" s="575"/>
      <c r="R4039" s="575"/>
      <c r="S4039" s="575"/>
      <c r="T4039" s="575"/>
      <c r="U4039" s="575"/>
      <c r="V4039" s="575"/>
      <c r="W4039" s="575"/>
      <c r="X4039" s="575"/>
      <c r="Y4039" s="575"/>
    </row>
    <row r="4040" spans="1:25" s="88" customFormat="1" hidden="1">
      <c r="A4040" s="263"/>
      <c r="B4040" s="263"/>
      <c r="C4040" s="266"/>
      <c r="D4040" s="263"/>
      <c r="E4040" s="263"/>
      <c r="F4040" s="425">
        <v>418</v>
      </c>
      <c r="G4040" s="420" t="s">
        <v>3779</v>
      </c>
      <c r="H4040" s="634"/>
      <c r="I4040" s="635"/>
      <c r="J4040" s="635">
        <f t="shared" si="124"/>
        <v>0</v>
      </c>
      <c r="K4040" s="575"/>
      <c r="L4040" s="575"/>
      <c r="M4040" s="575"/>
      <c r="N4040" s="575"/>
      <c r="O4040" s="575"/>
      <c r="P4040" s="575"/>
      <c r="Q4040" s="575"/>
      <c r="R4040" s="575"/>
      <c r="S4040" s="575"/>
      <c r="T4040" s="575"/>
      <c r="U4040" s="575"/>
      <c r="V4040" s="575"/>
      <c r="W4040" s="575"/>
      <c r="X4040" s="575"/>
      <c r="Y4040" s="575"/>
    </row>
    <row r="4041" spans="1:25" s="88" customFormat="1" hidden="1">
      <c r="A4041" s="263"/>
      <c r="B4041" s="263"/>
      <c r="C4041" s="266"/>
      <c r="D4041" s="263"/>
      <c r="E4041" s="263"/>
      <c r="F4041" s="425">
        <v>421</v>
      </c>
      <c r="G4041" s="420" t="s">
        <v>3783</v>
      </c>
      <c r="H4041" s="634"/>
      <c r="I4041" s="635"/>
      <c r="J4041" s="635">
        <f t="shared" si="124"/>
        <v>0</v>
      </c>
      <c r="K4041" s="575"/>
      <c r="L4041" s="575"/>
      <c r="M4041" s="575"/>
      <c r="N4041" s="575"/>
      <c r="O4041" s="575"/>
      <c r="P4041" s="575"/>
      <c r="Q4041" s="575"/>
      <c r="R4041" s="575"/>
      <c r="S4041" s="575"/>
      <c r="T4041" s="575"/>
      <c r="U4041" s="575"/>
      <c r="V4041" s="575"/>
      <c r="W4041" s="575"/>
      <c r="X4041" s="575"/>
      <c r="Y4041" s="575"/>
    </row>
    <row r="4042" spans="1:25" s="88" customFormat="1" hidden="1">
      <c r="A4042" s="263"/>
      <c r="B4042" s="263"/>
      <c r="C4042" s="266"/>
      <c r="D4042" s="263"/>
      <c r="E4042" s="263"/>
      <c r="F4042" s="425">
        <v>422</v>
      </c>
      <c r="G4042" s="420" t="s">
        <v>3784</v>
      </c>
      <c r="H4042" s="634"/>
      <c r="I4042" s="635"/>
      <c r="J4042" s="635">
        <f t="shared" si="124"/>
        <v>0</v>
      </c>
      <c r="K4042" s="575"/>
      <c r="L4042" s="575"/>
      <c r="M4042" s="575"/>
      <c r="N4042" s="575"/>
      <c r="O4042" s="575"/>
      <c r="P4042" s="575"/>
      <c r="Q4042" s="575"/>
      <c r="R4042" s="575"/>
      <c r="S4042" s="575"/>
      <c r="T4042" s="575"/>
      <c r="U4042" s="575"/>
      <c r="V4042" s="575"/>
      <c r="W4042" s="575"/>
      <c r="X4042" s="575"/>
      <c r="Y4042" s="575"/>
    </row>
    <row r="4043" spans="1:25" s="88" customFormat="1" hidden="1">
      <c r="A4043" s="263"/>
      <c r="B4043" s="263"/>
      <c r="C4043" s="266"/>
      <c r="D4043" s="263"/>
      <c r="E4043" s="263"/>
      <c r="F4043" s="425">
        <v>423</v>
      </c>
      <c r="G4043" s="420" t="s">
        <v>3785</v>
      </c>
      <c r="H4043" s="634"/>
      <c r="I4043" s="635"/>
      <c r="J4043" s="635">
        <f t="shared" si="124"/>
        <v>0</v>
      </c>
      <c r="K4043" s="575"/>
      <c r="L4043" s="575"/>
      <c r="M4043" s="575"/>
      <c r="N4043" s="575"/>
      <c r="O4043" s="575"/>
      <c r="P4043" s="575"/>
      <c r="Q4043" s="575"/>
      <c r="R4043" s="575"/>
      <c r="S4043" s="575"/>
      <c r="T4043" s="575"/>
      <c r="U4043" s="575"/>
      <c r="V4043" s="575"/>
      <c r="W4043" s="575"/>
      <c r="X4043" s="575"/>
      <c r="Y4043" s="575"/>
    </row>
    <row r="4044" spans="1:25" s="88" customFormat="1" hidden="1">
      <c r="A4044" s="263"/>
      <c r="B4044" s="263"/>
      <c r="C4044" s="266"/>
      <c r="D4044" s="263"/>
      <c r="E4044" s="263"/>
      <c r="F4044" s="425">
        <v>424</v>
      </c>
      <c r="G4044" s="420" t="s">
        <v>3787</v>
      </c>
      <c r="H4044" s="634"/>
      <c r="I4044" s="635"/>
      <c r="J4044" s="635">
        <f t="shared" si="124"/>
        <v>0</v>
      </c>
      <c r="K4044" s="575"/>
      <c r="L4044" s="575"/>
      <c r="M4044" s="575"/>
      <c r="N4044" s="575"/>
      <c r="O4044" s="575"/>
      <c r="P4044" s="575"/>
      <c r="Q4044" s="575"/>
      <c r="R4044" s="575"/>
      <c r="S4044" s="575"/>
      <c r="T4044" s="575"/>
      <c r="U4044" s="575"/>
      <c r="V4044" s="575"/>
      <c r="W4044" s="575"/>
      <c r="X4044" s="575"/>
      <c r="Y4044" s="575"/>
    </row>
    <row r="4045" spans="1:25" s="88" customFormat="1" hidden="1">
      <c r="A4045" s="263"/>
      <c r="B4045" s="263"/>
      <c r="C4045" s="266"/>
      <c r="D4045" s="263"/>
      <c r="E4045" s="263"/>
      <c r="F4045" s="425">
        <v>425</v>
      </c>
      <c r="G4045" s="420" t="s">
        <v>4186</v>
      </c>
      <c r="H4045" s="634"/>
      <c r="I4045" s="635"/>
      <c r="J4045" s="635">
        <f t="shared" si="124"/>
        <v>0</v>
      </c>
      <c r="K4045" s="575"/>
      <c r="L4045" s="575"/>
      <c r="M4045" s="575"/>
      <c r="N4045" s="575"/>
      <c r="O4045" s="575"/>
      <c r="P4045" s="575"/>
      <c r="Q4045" s="575"/>
      <c r="R4045" s="575"/>
      <c r="S4045" s="575"/>
      <c r="T4045" s="575"/>
      <c r="U4045" s="575"/>
      <c r="V4045" s="575"/>
      <c r="W4045" s="575"/>
      <c r="X4045" s="575"/>
      <c r="Y4045" s="575"/>
    </row>
    <row r="4046" spans="1:25" s="88" customFormat="1" hidden="1">
      <c r="A4046" s="263"/>
      <c r="B4046" s="263"/>
      <c r="C4046" s="266"/>
      <c r="D4046" s="263"/>
      <c r="E4046" s="263"/>
      <c r="F4046" s="425">
        <v>426</v>
      </c>
      <c r="G4046" s="420" t="s">
        <v>3791</v>
      </c>
      <c r="H4046" s="634"/>
      <c r="I4046" s="635"/>
      <c r="J4046" s="635">
        <f t="shared" si="124"/>
        <v>0</v>
      </c>
      <c r="K4046" s="575"/>
      <c r="L4046" s="575"/>
      <c r="M4046" s="575"/>
      <c r="N4046" s="575"/>
      <c r="O4046" s="575"/>
      <c r="P4046" s="575"/>
      <c r="Q4046" s="575"/>
      <c r="R4046" s="575"/>
      <c r="S4046" s="575"/>
      <c r="T4046" s="575"/>
      <c r="U4046" s="575"/>
      <c r="V4046" s="575"/>
      <c r="W4046" s="575"/>
      <c r="X4046" s="575"/>
      <c r="Y4046" s="575"/>
    </row>
    <row r="4047" spans="1:25" s="88" customFormat="1" hidden="1">
      <c r="A4047" s="263"/>
      <c r="B4047" s="263"/>
      <c r="C4047" s="266"/>
      <c r="D4047" s="263"/>
      <c r="E4047" s="263"/>
      <c r="F4047" s="425">
        <v>431</v>
      </c>
      <c r="G4047" s="420" t="s">
        <v>4187</v>
      </c>
      <c r="H4047" s="634"/>
      <c r="I4047" s="635"/>
      <c r="J4047" s="635">
        <f t="shared" si="124"/>
        <v>0</v>
      </c>
      <c r="K4047" s="575"/>
      <c r="L4047" s="575"/>
      <c r="M4047" s="575"/>
      <c r="N4047" s="575"/>
      <c r="O4047" s="575"/>
      <c r="P4047" s="575"/>
      <c r="Q4047" s="575"/>
      <c r="R4047" s="575"/>
      <c r="S4047" s="575"/>
      <c r="T4047" s="575"/>
      <c r="U4047" s="575"/>
      <c r="V4047" s="575"/>
      <c r="W4047" s="575"/>
      <c r="X4047" s="575"/>
      <c r="Y4047" s="575"/>
    </row>
    <row r="4048" spans="1:25" s="88" customFormat="1" hidden="1">
      <c r="A4048" s="263"/>
      <c r="B4048" s="263"/>
      <c r="C4048" s="266"/>
      <c r="D4048" s="263"/>
      <c r="E4048" s="263"/>
      <c r="F4048" s="425">
        <v>432</v>
      </c>
      <c r="G4048" s="420" t="s">
        <v>4188</v>
      </c>
      <c r="H4048" s="634"/>
      <c r="I4048" s="635"/>
      <c r="J4048" s="635">
        <f t="shared" si="124"/>
        <v>0</v>
      </c>
      <c r="K4048" s="575"/>
      <c r="L4048" s="575"/>
      <c r="M4048" s="575"/>
      <c r="N4048" s="575"/>
      <c r="O4048" s="575"/>
      <c r="P4048" s="575"/>
      <c r="Q4048" s="575"/>
      <c r="R4048" s="575"/>
      <c r="S4048" s="575"/>
      <c r="T4048" s="575"/>
      <c r="U4048" s="575"/>
      <c r="V4048" s="575"/>
      <c r="W4048" s="575"/>
      <c r="X4048" s="575"/>
      <c r="Y4048" s="575"/>
    </row>
    <row r="4049" spans="1:25" s="88" customFormat="1" hidden="1">
      <c r="A4049" s="263"/>
      <c r="B4049" s="263"/>
      <c r="C4049" s="266"/>
      <c r="D4049" s="263"/>
      <c r="E4049" s="263"/>
      <c r="F4049" s="425">
        <v>433</v>
      </c>
      <c r="G4049" s="420" t="s">
        <v>4189</v>
      </c>
      <c r="H4049" s="634"/>
      <c r="I4049" s="635"/>
      <c r="J4049" s="635">
        <f t="shared" si="124"/>
        <v>0</v>
      </c>
      <c r="K4049" s="575"/>
      <c r="L4049" s="575"/>
      <c r="M4049" s="575"/>
      <c r="N4049" s="575"/>
      <c r="O4049" s="575"/>
      <c r="P4049" s="575"/>
      <c r="Q4049" s="575"/>
      <c r="R4049" s="575"/>
      <c r="S4049" s="575"/>
      <c r="T4049" s="575"/>
      <c r="U4049" s="575"/>
      <c r="V4049" s="575"/>
      <c r="W4049" s="575"/>
      <c r="X4049" s="575"/>
      <c r="Y4049" s="575"/>
    </row>
    <row r="4050" spans="1:25" s="88" customFormat="1" hidden="1">
      <c r="A4050" s="263"/>
      <c r="B4050" s="263"/>
      <c r="C4050" s="266"/>
      <c r="D4050" s="263"/>
      <c r="E4050" s="263"/>
      <c r="F4050" s="425">
        <v>434</v>
      </c>
      <c r="G4050" s="420" t="s">
        <v>4190</v>
      </c>
      <c r="H4050" s="634"/>
      <c r="I4050" s="635"/>
      <c r="J4050" s="635">
        <f t="shared" si="124"/>
        <v>0</v>
      </c>
      <c r="K4050" s="575"/>
      <c r="L4050" s="575"/>
      <c r="M4050" s="575"/>
      <c r="N4050" s="575"/>
      <c r="O4050" s="575"/>
      <c r="P4050" s="575"/>
      <c r="Q4050" s="575"/>
      <c r="R4050" s="575"/>
      <c r="S4050" s="575"/>
      <c r="T4050" s="575"/>
      <c r="U4050" s="575"/>
      <c r="V4050" s="575"/>
      <c r="W4050" s="575"/>
      <c r="X4050" s="575"/>
      <c r="Y4050" s="575"/>
    </row>
    <row r="4051" spans="1:25" s="88" customFormat="1" hidden="1">
      <c r="A4051" s="263"/>
      <c r="B4051" s="263"/>
      <c r="C4051" s="266"/>
      <c r="D4051" s="263"/>
      <c r="E4051" s="263"/>
      <c r="F4051" s="425">
        <v>435</v>
      </c>
      <c r="G4051" s="420" t="s">
        <v>3798</v>
      </c>
      <c r="H4051" s="634"/>
      <c r="I4051" s="635"/>
      <c r="J4051" s="635">
        <f t="shared" si="124"/>
        <v>0</v>
      </c>
      <c r="K4051" s="575"/>
      <c r="L4051" s="575"/>
      <c r="M4051" s="575"/>
      <c r="N4051" s="575"/>
      <c r="O4051" s="575"/>
      <c r="P4051" s="575"/>
      <c r="Q4051" s="575"/>
      <c r="R4051" s="575"/>
      <c r="S4051" s="575"/>
      <c r="T4051" s="575"/>
      <c r="U4051" s="575"/>
      <c r="V4051" s="575"/>
      <c r="W4051" s="575"/>
      <c r="X4051" s="575"/>
      <c r="Y4051" s="575"/>
    </row>
    <row r="4052" spans="1:25" s="88" customFormat="1" hidden="1">
      <c r="A4052" s="263"/>
      <c r="B4052" s="263"/>
      <c r="C4052" s="266"/>
      <c r="D4052" s="263"/>
      <c r="E4052" s="263"/>
      <c r="F4052" s="425">
        <v>441</v>
      </c>
      <c r="G4052" s="420" t="s">
        <v>4191</v>
      </c>
      <c r="H4052" s="634"/>
      <c r="I4052" s="635"/>
      <c r="J4052" s="635">
        <f t="shared" si="124"/>
        <v>0</v>
      </c>
      <c r="K4052" s="575"/>
      <c r="L4052" s="575"/>
      <c r="M4052" s="575"/>
      <c r="N4052" s="575"/>
      <c r="O4052" s="575"/>
      <c r="P4052" s="575"/>
      <c r="Q4052" s="575"/>
      <c r="R4052" s="575"/>
      <c r="S4052" s="575"/>
      <c r="T4052" s="575"/>
      <c r="U4052" s="575"/>
      <c r="V4052" s="575"/>
      <c r="W4052" s="575"/>
      <c r="X4052" s="575"/>
      <c r="Y4052" s="575"/>
    </row>
    <row r="4053" spans="1:25" s="88" customFormat="1" hidden="1">
      <c r="A4053" s="263"/>
      <c r="B4053" s="263"/>
      <c r="C4053" s="266"/>
      <c r="D4053" s="263"/>
      <c r="E4053" s="263"/>
      <c r="F4053" s="425">
        <v>442</v>
      </c>
      <c r="G4053" s="420" t="s">
        <v>4192</v>
      </c>
      <c r="H4053" s="634"/>
      <c r="I4053" s="635"/>
      <c r="J4053" s="635">
        <f t="shared" si="124"/>
        <v>0</v>
      </c>
      <c r="K4053" s="575"/>
      <c r="L4053" s="575"/>
      <c r="M4053" s="575"/>
      <c r="N4053" s="575"/>
      <c r="O4053" s="575"/>
      <c r="P4053" s="575"/>
      <c r="Q4053" s="575"/>
      <c r="R4053" s="575"/>
      <c r="S4053" s="575"/>
      <c r="T4053" s="575"/>
      <c r="U4053" s="575"/>
      <c r="V4053" s="575"/>
      <c r="W4053" s="575"/>
      <c r="X4053" s="575"/>
      <c r="Y4053" s="575"/>
    </row>
    <row r="4054" spans="1:25" s="88" customFormat="1" hidden="1">
      <c r="A4054" s="263"/>
      <c r="B4054" s="263"/>
      <c r="C4054" s="266"/>
      <c r="D4054" s="263"/>
      <c r="E4054" s="263"/>
      <c r="F4054" s="425">
        <v>443</v>
      </c>
      <c r="G4054" s="420" t="s">
        <v>3803</v>
      </c>
      <c r="H4054" s="634"/>
      <c r="I4054" s="635"/>
      <c r="J4054" s="635">
        <f t="shared" si="124"/>
        <v>0</v>
      </c>
      <c r="K4054" s="575"/>
      <c r="L4054" s="575"/>
      <c r="M4054" s="575"/>
      <c r="N4054" s="575"/>
      <c r="O4054" s="575"/>
      <c r="P4054" s="575"/>
      <c r="Q4054" s="575"/>
      <c r="R4054" s="575"/>
      <c r="S4054" s="575"/>
      <c r="T4054" s="575"/>
      <c r="U4054" s="575"/>
      <c r="V4054" s="575"/>
      <c r="W4054" s="575"/>
      <c r="X4054" s="575"/>
      <c r="Y4054" s="575"/>
    </row>
    <row r="4055" spans="1:25" s="88" customFormat="1" hidden="1">
      <c r="A4055" s="263"/>
      <c r="B4055" s="263"/>
      <c r="C4055" s="266"/>
      <c r="D4055" s="263"/>
      <c r="E4055" s="263"/>
      <c r="F4055" s="425">
        <v>444</v>
      </c>
      <c r="G4055" s="420" t="s">
        <v>3804</v>
      </c>
      <c r="H4055" s="634"/>
      <c r="I4055" s="635"/>
      <c r="J4055" s="635">
        <f t="shared" si="124"/>
        <v>0</v>
      </c>
      <c r="K4055" s="575"/>
      <c r="L4055" s="575"/>
      <c r="M4055" s="575"/>
      <c r="N4055" s="575"/>
      <c r="O4055" s="575"/>
      <c r="P4055" s="575"/>
      <c r="Q4055" s="575"/>
      <c r="R4055" s="575"/>
      <c r="S4055" s="575"/>
      <c r="T4055" s="575"/>
      <c r="U4055" s="575"/>
      <c r="V4055" s="575"/>
      <c r="W4055" s="575"/>
      <c r="X4055" s="575"/>
      <c r="Y4055" s="575"/>
    </row>
    <row r="4056" spans="1:25" s="88" customFormat="1" ht="30" hidden="1">
      <c r="A4056" s="263"/>
      <c r="B4056" s="263"/>
      <c r="C4056" s="266"/>
      <c r="D4056" s="263"/>
      <c r="E4056" s="263"/>
      <c r="F4056" s="425">
        <v>4511</v>
      </c>
      <c r="G4056" s="268" t="s">
        <v>1690</v>
      </c>
      <c r="H4056" s="634"/>
      <c r="I4056" s="635"/>
      <c r="J4056" s="635">
        <f t="shared" si="124"/>
        <v>0</v>
      </c>
      <c r="K4056" s="575"/>
      <c r="L4056" s="575"/>
      <c r="M4056" s="575"/>
      <c r="N4056" s="575"/>
      <c r="O4056" s="575"/>
      <c r="P4056" s="575"/>
      <c r="Q4056" s="575"/>
      <c r="R4056" s="575"/>
      <c r="S4056" s="575"/>
      <c r="T4056" s="575"/>
      <c r="U4056" s="575"/>
      <c r="V4056" s="575"/>
      <c r="W4056" s="575"/>
      <c r="X4056" s="575"/>
      <c r="Y4056" s="575"/>
    </row>
    <row r="4057" spans="1:25" s="88" customFormat="1" ht="59.25" customHeight="1" thickBot="1">
      <c r="A4057" s="263"/>
      <c r="B4057" s="263"/>
      <c r="C4057" s="266"/>
      <c r="D4057" s="263"/>
      <c r="E4057" s="263">
        <v>69</v>
      </c>
      <c r="F4057" s="787">
        <v>4512</v>
      </c>
      <c r="G4057" s="778" t="s">
        <v>5283</v>
      </c>
      <c r="H4057" s="634">
        <v>30170000</v>
      </c>
      <c r="I4057" s="635"/>
      <c r="J4057" s="635">
        <f t="shared" si="124"/>
        <v>30170000</v>
      </c>
      <c r="K4057" s="575"/>
      <c r="L4057" s="575"/>
      <c r="M4057" s="575"/>
      <c r="N4057" s="575"/>
      <c r="O4057" s="575"/>
      <c r="P4057" s="575"/>
      <c r="Q4057" s="575"/>
      <c r="R4057" s="575"/>
      <c r="S4057" s="575"/>
      <c r="T4057" s="575"/>
      <c r="U4057" s="575"/>
      <c r="V4057" s="575"/>
      <c r="W4057" s="575"/>
      <c r="X4057" s="575"/>
      <c r="Y4057" s="575"/>
    </row>
    <row r="4058" spans="1:25" s="88" customFormat="1" hidden="1">
      <c r="A4058" s="263"/>
      <c r="B4058" s="263"/>
      <c r="C4058" s="266"/>
      <c r="D4058" s="263"/>
      <c r="E4058" s="263"/>
      <c r="F4058" s="425">
        <v>452</v>
      </c>
      <c r="G4058" s="420" t="s">
        <v>4193</v>
      </c>
      <c r="H4058" s="634"/>
      <c r="I4058" s="635"/>
      <c r="J4058" s="635">
        <f t="shared" si="124"/>
        <v>0</v>
      </c>
      <c r="K4058" s="575"/>
      <c r="L4058" s="575"/>
      <c r="M4058" s="575"/>
      <c r="N4058" s="575"/>
      <c r="O4058" s="575"/>
      <c r="P4058" s="575"/>
      <c r="Q4058" s="575"/>
      <c r="R4058" s="575"/>
      <c r="S4058" s="575"/>
      <c r="T4058" s="575"/>
      <c r="U4058" s="575"/>
      <c r="V4058" s="575"/>
      <c r="W4058" s="575"/>
      <c r="X4058" s="575"/>
      <c r="Y4058" s="575"/>
    </row>
    <row r="4059" spans="1:25" s="88" customFormat="1" hidden="1">
      <c r="A4059" s="263"/>
      <c r="B4059" s="263"/>
      <c r="C4059" s="266"/>
      <c r="D4059" s="263"/>
      <c r="E4059" s="263"/>
      <c r="F4059" s="425">
        <v>453</v>
      </c>
      <c r="G4059" s="420" t="s">
        <v>4194</v>
      </c>
      <c r="H4059" s="634"/>
      <c r="I4059" s="635"/>
      <c r="J4059" s="635">
        <f t="shared" si="124"/>
        <v>0</v>
      </c>
      <c r="K4059" s="575"/>
      <c r="L4059" s="575"/>
      <c r="M4059" s="575"/>
      <c r="N4059" s="575"/>
      <c r="O4059" s="575"/>
      <c r="P4059" s="575"/>
      <c r="Q4059" s="575"/>
      <c r="R4059" s="575"/>
      <c r="S4059" s="575"/>
      <c r="T4059" s="575"/>
      <c r="U4059" s="575"/>
      <c r="V4059" s="575"/>
      <c r="W4059" s="575"/>
      <c r="X4059" s="575"/>
      <c r="Y4059" s="575"/>
    </row>
    <row r="4060" spans="1:25" s="88" customFormat="1" hidden="1">
      <c r="A4060" s="263"/>
      <c r="B4060" s="263"/>
      <c r="C4060" s="266"/>
      <c r="D4060" s="263"/>
      <c r="E4060" s="263"/>
      <c r="F4060" s="425">
        <v>454</v>
      </c>
      <c r="G4060" s="420" t="s">
        <v>3809</v>
      </c>
      <c r="H4060" s="634"/>
      <c r="I4060" s="635"/>
      <c r="J4060" s="635">
        <f t="shared" si="124"/>
        <v>0</v>
      </c>
      <c r="K4060" s="575"/>
      <c r="L4060" s="575"/>
      <c r="M4060" s="575"/>
      <c r="N4060" s="575"/>
      <c r="O4060" s="575"/>
      <c r="P4060" s="575"/>
      <c r="Q4060" s="575"/>
      <c r="R4060" s="575"/>
      <c r="S4060" s="575"/>
      <c r="T4060" s="575"/>
      <c r="U4060" s="575"/>
      <c r="V4060" s="575"/>
      <c r="W4060" s="575"/>
      <c r="X4060" s="575"/>
      <c r="Y4060" s="575"/>
    </row>
    <row r="4061" spans="1:25" s="88" customFormat="1" hidden="1">
      <c r="A4061" s="263"/>
      <c r="B4061" s="263"/>
      <c r="C4061" s="266"/>
      <c r="D4061" s="263"/>
      <c r="E4061" s="263"/>
      <c r="F4061" s="425">
        <v>461</v>
      </c>
      <c r="G4061" s="420" t="s">
        <v>4175</v>
      </c>
      <c r="H4061" s="634"/>
      <c r="I4061" s="635"/>
      <c r="J4061" s="635">
        <f t="shared" si="124"/>
        <v>0</v>
      </c>
      <c r="K4061" s="575"/>
      <c r="L4061" s="575"/>
      <c r="M4061" s="575"/>
      <c r="N4061" s="575"/>
      <c r="O4061" s="575"/>
      <c r="P4061" s="575"/>
      <c r="Q4061" s="575"/>
      <c r="R4061" s="575"/>
      <c r="S4061" s="575"/>
      <c r="T4061" s="575"/>
      <c r="U4061" s="575"/>
      <c r="V4061" s="575"/>
      <c r="W4061" s="575"/>
      <c r="X4061" s="575"/>
      <c r="Y4061" s="575"/>
    </row>
    <row r="4062" spans="1:25" s="88" customFormat="1" hidden="1">
      <c r="A4062" s="263"/>
      <c r="B4062" s="263"/>
      <c r="C4062" s="266"/>
      <c r="D4062" s="263"/>
      <c r="E4062" s="263"/>
      <c r="F4062" s="425">
        <v>462</v>
      </c>
      <c r="G4062" s="420" t="s">
        <v>3812</v>
      </c>
      <c r="H4062" s="634"/>
      <c r="I4062" s="635"/>
      <c r="J4062" s="635">
        <f t="shared" si="124"/>
        <v>0</v>
      </c>
      <c r="K4062" s="575"/>
      <c r="L4062" s="575"/>
      <c r="M4062" s="575"/>
      <c r="N4062" s="575"/>
      <c r="O4062" s="575"/>
      <c r="P4062" s="575"/>
      <c r="Q4062" s="575"/>
      <c r="R4062" s="575"/>
      <c r="S4062" s="575"/>
      <c r="T4062" s="575"/>
      <c r="U4062" s="575"/>
      <c r="V4062" s="575"/>
      <c r="W4062" s="575"/>
      <c r="X4062" s="575"/>
      <c r="Y4062" s="575"/>
    </row>
    <row r="4063" spans="1:25" s="88" customFormat="1" hidden="1">
      <c r="A4063" s="263"/>
      <c r="B4063" s="263"/>
      <c r="C4063" s="266"/>
      <c r="D4063" s="263"/>
      <c r="E4063" s="263"/>
      <c r="F4063" s="425">
        <v>4631</v>
      </c>
      <c r="G4063" s="420" t="s">
        <v>3813</v>
      </c>
      <c r="H4063" s="634"/>
      <c r="I4063" s="635"/>
      <c r="J4063" s="635">
        <f t="shared" si="124"/>
        <v>0</v>
      </c>
      <c r="K4063" s="575"/>
      <c r="L4063" s="575"/>
      <c r="M4063" s="575"/>
      <c r="N4063" s="575"/>
      <c r="O4063" s="575"/>
      <c r="P4063" s="575"/>
      <c r="Q4063" s="575"/>
      <c r="R4063" s="575"/>
      <c r="S4063" s="575"/>
      <c r="T4063" s="575"/>
      <c r="U4063" s="575"/>
      <c r="V4063" s="575"/>
      <c r="W4063" s="575"/>
      <c r="X4063" s="575"/>
      <c r="Y4063" s="575"/>
    </row>
    <row r="4064" spans="1:25" s="88" customFormat="1" hidden="1">
      <c r="A4064" s="263"/>
      <c r="B4064" s="263"/>
      <c r="C4064" s="266"/>
      <c r="D4064" s="263"/>
      <c r="E4064" s="263"/>
      <c r="F4064" s="425">
        <v>4632</v>
      </c>
      <c r="G4064" s="420" t="s">
        <v>3814</v>
      </c>
      <c r="H4064" s="634"/>
      <c r="I4064" s="635"/>
      <c r="J4064" s="635">
        <f t="shared" si="124"/>
        <v>0</v>
      </c>
      <c r="K4064" s="575"/>
      <c r="L4064" s="575"/>
      <c r="M4064" s="575"/>
      <c r="N4064" s="575"/>
      <c r="O4064" s="575"/>
      <c r="P4064" s="575"/>
      <c r="Q4064" s="575"/>
      <c r="R4064" s="575"/>
      <c r="S4064" s="575"/>
      <c r="T4064" s="575"/>
      <c r="U4064" s="575"/>
      <c r="V4064" s="575"/>
      <c r="W4064" s="575"/>
      <c r="X4064" s="575"/>
      <c r="Y4064" s="575"/>
    </row>
    <row r="4065" spans="1:25" s="88" customFormat="1" hidden="1">
      <c r="A4065" s="263"/>
      <c r="B4065" s="263"/>
      <c r="C4065" s="266"/>
      <c r="D4065" s="263"/>
      <c r="E4065" s="263"/>
      <c r="F4065" s="425">
        <v>464</v>
      </c>
      <c r="G4065" s="420" t="s">
        <v>3815</v>
      </c>
      <c r="H4065" s="634"/>
      <c r="I4065" s="635"/>
      <c r="J4065" s="635">
        <f t="shared" si="124"/>
        <v>0</v>
      </c>
      <c r="K4065" s="575"/>
      <c r="L4065" s="575"/>
      <c r="M4065" s="575"/>
      <c r="N4065" s="575"/>
      <c r="O4065" s="575"/>
      <c r="P4065" s="575"/>
      <c r="Q4065" s="575"/>
      <c r="R4065" s="575"/>
      <c r="S4065" s="575"/>
      <c r="T4065" s="575"/>
      <c r="U4065" s="575"/>
      <c r="V4065" s="575"/>
      <c r="W4065" s="575"/>
      <c r="X4065" s="575"/>
      <c r="Y4065" s="575"/>
    </row>
    <row r="4066" spans="1:25" s="88" customFormat="1" hidden="1">
      <c r="A4066" s="263"/>
      <c r="B4066" s="263"/>
      <c r="C4066" s="266"/>
      <c r="D4066" s="263"/>
      <c r="E4066" s="263"/>
      <c r="F4066" s="425">
        <v>465</v>
      </c>
      <c r="G4066" s="420" t="s">
        <v>4176</v>
      </c>
      <c r="H4066" s="634"/>
      <c r="I4066" s="635"/>
      <c r="J4066" s="635">
        <f t="shared" si="124"/>
        <v>0</v>
      </c>
      <c r="K4066" s="575"/>
      <c r="L4066" s="575"/>
      <c r="M4066" s="575"/>
      <c r="N4066" s="575"/>
      <c r="O4066" s="575"/>
      <c r="P4066" s="575"/>
      <c r="Q4066" s="575"/>
      <c r="R4066" s="575"/>
      <c r="S4066" s="575"/>
      <c r="T4066" s="575"/>
      <c r="U4066" s="575"/>
      <c r="V4066" s="575"/>
      <c r="W4066" s="575"/>
      <c r="X4066" s="575"/>
      <c r="Y4066" s="575"/>
    </row>
    <row r="4067" spans="1:25" s="88" customFormat="1" hidden="1">
      <c r="A4067" s="263"/>
      <c r="B4067" s="263"/>
      <c r="C4067" s="266"/>
      <c r="D4067" s="263"/>
      <c r="E4067" s="263"/>
      <c r="F4067" s="425">
        <v>472</v>
      </c>
      <c r="G4067" s="420" t="s">
        <v>3819</v>
      </c>
      <c r="H4067" s="634"/>
      <c r="I4067" s="635"/>
      <c r="J4067" s="635">
        <f t="shared" si="124"/>
        <v>0</v>
      </c>
      <c r="K4067" s="575"/>
      <c r="L4067" s="575"/>
      <c r="M4067" s="575"/>
      <c r="N4067" s="575"/>
      <c r="O4067" s="575"/>
      <c r="P4067" s="575"/>
      <c r="Q4067" s="575"/>
      <c r="R4067" s="575"/>
      <c r="S4067" s="575"/>
      <c r="T4067" s="575"/>
      <c r="U4067" s="575"/>
      <c r="V4067" s="575"/>
      <c r="W4067" s="575"/>
      <c r="X4067" s="575"/>
      <c r="Y4067" s="575"/>
    </row>
    <row r="4068" spans="1:25" s="88" customFormat="1" hidden="1">
      <c r="A4068" s="263"/>
      <c r="B4068" s="263"/>
      <c r="C4068" s="266"/>
      <c r="D4068" s="263"/>
      <c r="E4068" s="263"/>
      <c r="F4068" s="425">
        <v>481</v>
      </c>
      <c r="G4068" s="420" t="s">
        <v>4195</v>
      </c>
      <c r="H4068" s="634"/>
      <c r="I4068" s="635"/>
      <c r="J4068" s="635">
        <f t="shared" si="124"/>
        <v>0</v>
      </c>
      <c r="K4068" s="575"/>
      <c r="L4068" s="575"/>
      <c r="M4068" s="575"/>
      <c r="N4068" s="575"/>
      <c r="O4068" s="575"/>
      <c r="P4068" s="575"/>
      <c r="Q4068" s="575"/>
      <c r="R4068" s="575"/>
      <c r="S4068" s="575"/>
      <c r="T4068" s="575"/>
      <c r="U4068" s="575"/>
      <c r="V4068" s="575"/>
      <c r="W4068" s="575"/>
      <c r="X4068" s="575"/>
      <c r="Y4068" s="575"/>
    </row>
    <row r="4069" spans="1:25" s="88" customFormat="1" hidden="1">
      <c r="A4069" s="263"/>
      <c r="B4069" s="263"/>
      <c r="C4069" s="266"/>
      <c r="D4069" s="263"/>
      <c r="E4069" s="263"/>
      <c r="F4069" s="425">
        <v>482</v>
      </c>
      <c r="G4069" s="420" t="s">
        <v>4196</v>
      </c>
      <c r="H4069" s="634"/>
      <c r="I4069" s="635"/>
      <c r="J4069" s="635">
        <f t="shared" si="124"/>
        <v>0</v>
      </c>
      <c r="K4069" s="575"/>
      <c r="L4069" s="575"/>
      <c r="M4069" s="575"/>
      <c r="N4069" s="575"/>
      <c r="O4069" s="575"/>
      <c r="P4069" s="575"/>
      <c r="Q4069" s="575"/>
      <c r="R4069" s="575"/>
      <c r="S4069" s="575"/>
      <c r="T4069" s="575"/>
      <c r="U4069" s="575"/>
      <c r="V4069" s="575"/>
      <c r="W4069" s="575"/>
      <c r="X4069" s="575"/>
      <c r="Y4069" s="575"/>
    </row>
    <row r="4070" spans="1:25" s="88" customFormat="1" hidden="1">
      <c r="A4070" s="263"/>
      <c r="B4070" s="263"/>
      <c r="C4070" s="266"/>
      <c r="D4070" s="263"/>
      <c r="E4070" s="263"/>
      <c r="F4070" s="425">
        <v>483</v>
      </c>
      <c r="G4070" s="423" t="s">
        <v>4197</v>
      </c>
      <c r="H4070" s="634"/>
      <c r="I4070" s="635"/>
      <c r="J4070" s="635">
        <f t="shared" si="124"/>
        <v>0</v>
      </c>
      <c r="K4070" s="575"/>
      <c r="L4070" s="575"/>
      <c r="M4070" s="575"/>
      <c r="N4070" s="575"/>
      <c r="O4070" s="575"/>
      <c r="P4070" s="575"/>
      <c r="Q4070" s="575"/>
      <c r="R4070" s="575"/>
      <c r="S4070" s="575"/>
      <c r="T4070" s="575"/>
      <c r="U4070" s="575"/>
      <c r="V4070" s="575"/>
      <c r="W4070" s="575"/>
      <c r="X4070" s="575"/>
      <c r="Y4070" s="575"/>
    </row>
    <row r="4071" spans="1:25" s="88" customFormat="1" ht="30" hidden="1">
      <c r="A4071" s="263"/>
      <c r="B4071" s="263"/>
      <c r="C4071" s="266"/>
      <c r="D4071" s="263"/>
      <c r="E4071" s="263"/>
      <c r="F4071" s="425">
        <v>484</v>
      </c>
      <c r="G4071" s="420" t="s">
        <v>4198</v>
      </c>
      <c r="H4071" s="634"/>
      <c r="I4071" s="635"/>
      <c r="J4071" s="635">
        <f t="shared" si="124"/>
        <v>0</v>
      </c>
      <c r="K4071" s="575"/>
      <c r="L4071" s="575"/>
      <c r="M4071" s="575"/>
      <c r="N4071" s="575"/>
      <c r="O4071" s="575"/>
      <c r="P4071" s="575"/>
      <c r="Q4071" s="575"/>
      <c r="R4071" s="575"/>
      <c r="S4071" s="575"/>
      <c r="T4071" s="575"/>
      <c r="U4071" s="575"/>
      <c r="V4071" s="575"/>
      <c r="W4071" s="575"/>
      <c r="X4071" s="575"/>
      <c r="Y4071" s="575"/>
    </row>
    <row r="4072" spans="1:25" s="88" customFormat="1" ht="30" hidden="1">
      <c r="A4072" s="263"/>
      <c r="B4072" s="263"/>
      <c r="C4072" s="266"/>
      <c r="D4072" s="263"/>
      <c r="E4072" s="263"/>
      <c r="F4072" s="425">
        <v>485</v>
      </c>
      <c r="G4072" s="420" t="s">
        <v>4199</v>
      </c>
      <c r="H4072" s="634"/>
      <c r="I4072" s="635"/>
      <c r="J4072" s="635">
        <f t="shared" si="124"/>
        <v>0</v>
      </c>
      <c r="K4072" s="575"/>
      <c r="L4072" s="575"/>
      <c r="M4072" s="575"/>
      <c r="N4072" s="575"/>
      <c r="O4072" s="575"/>
      <c r="P4072" s="575"/>
      <c r="Q4072" s="575"/>
      <c r="R4072" s="575"/>
      <c r="S4072" s="575"/>
      <c r="T4072" s="575"/>
      <c r="U4072" s="575"/>
      <c r="V4072" s="575"/>
      <c r="W4072" s="575"/>
      <c r="X4072" s="575"/>
      <c r="Y4072" s="575"/>
    </row>
    <row r="4073" spans="1:25" s="88" customFormat="1" ht="30" hidden="1">
      <c r="A4073" s="263"/>
      <c r="B4073" s="263"/>
      <c r="C4073" s="266"/>
      <c r="D4073" s="263"/>
      <c r="E4073" s="263"/>
      <c r="F4073" s="425">
        <v>489</v>
      </c>
      <c r="G4073" s="420" t="s">
        <v>3827</v>
      </c>
      <c r="H4073" s="634"/>
      <c r="I4073" s="635"/>
      <c r="J4073" s="635">
        <f t="shared" si="124"/>
        <v>0</v>
      </c>
      <c r="K4073" s="575"/>
      <c r="L4073" s="575"/>
      <c r="M4073" s="575"/>
      <c r="N4073" s="575"/>
      <c r="O4073" s="575"/>
      <c r="P4073" s="575"/>
      <c r="Q4073" s="575"/>
      <c r="R4073" s="575"/>
      <c r="S4073" s="575"/>
      <c r="T4073" s="575"/>
      <c r="U4073" s="575"/>
      <c r="V4073" s="575"/>
      <c r="W4073" s="575"/>
      <c r="X4073" s="575"/>
      <c r="Y4073" s="575"/>
    </row>
    <row r="4074" spans="1:25" s="88" customFormat="1" hidden="1">
      <c r="A4074" s="263"/>
      <c r="B4074" s="263"/>
      <c r="C4074" s="266"/>
      <c r="D4074" s="263"/>
      <c r="E4074" s="263"/>
      <c r="F4074" s="425">
        <v>494</v>
      </c>
      <c r="G4074" s="420" t="s">
        <v>4177</v>
      </c>
      <c r="H4074" s="634"/>
      <c r="I4074" s="635"/>
      <c r="J4074" s="635">
        <f t="shared" si="124"/>
        <v>0</v>
      </c>
      <c r="K4074" s="575"/>
      <c r="L4074" s="575"/>
      <c r="M4074" s="575"/>
      <c r="N4074" s="575"/>
      <c r="O4074" s="575"/>
      <c r="P4074" s="575"/>
      <c r="Q4074" s="575"/>
      <c r="R4074" s="575"/>
      <c r="S4074" s="575"/>
      <c r="T4074" s="575"/>
      <c r="U4074" s="575"/>
      <c r="V4074" s="575"/>
      <c r="W4074" s="575"/>
      <c r="X4074" s="575"/>
      <c r="Y4074" s="575"/>
    </row>
    <row r="4075" spans="1:25" s="88" customFormat="1" ht="30" hidden="1">
      <c r="A4075" s="263"/>
      <c r="B4075" s="263"/>
      <c r="C4075" s="266"/>
      <c r="D4075" s="263"/>
      <c r="E4075" s="263"/>
      <c r="F4075" s="425">
        <v>495</v>
      </c>
      <c r="G4075" s="420" t="s">
        <v>4178</v>
      </c>
      <c r="H4075" s="634"/>
      <c r="I4075" s="635"/>
      <c r="J4075" s="635">
        <f t="shared" si="124"/>
        <v>0</v>
      </c>
      <c r="K4075" s="575"/>
      <c r="L4075" s="575"/>
      <c r="M4075" s="575"/>
      <c r="N4075" s="575"/>
      <c r="O4075" s="575"/>
      <c r="P4075" s="575"/>
      <c r="Q4075" s="575"/>
      <c r="R4075" s="575"/>
      <c r="S4075" s="575"/>
      <c r="T4075" s="575"/>
      <c r="U4075" s="575"/>
      <c r="V4075" s="575"/>
      <c r="W4075" s="575"/>
      <c r="X4075" s="575"/>
      <c r="Y4075" s="575"/>
    </row>
    <row r="4076" spans="1:25" s="88" customFormat="1" ht="30" hidden="1">
      <c r="A4076" s="263"/>
      <c r="B4076" s="263"/>
      <c r="C4076" s="266"/>
      <c r="D4076" s="263"/>
      <c r="E4076" s="263"/>
      <c r="F4076" s="425">
        <v>496</v>
      </c>
      <c r="G4076" s="420" t="s">
        <v>4179</v>
      </c>
      <c r="H4076" s="634"/>
      <c r="I4076" s="635"/>
      <c r="J4076" s="635">
        <f t="shared" si="124"/>
        <v>0</v>
      </c>
      <c r="K4076" s="575"/>
      <c r="L4076" s="575"/>
      <c r="M4076" s="575"/>
      <c r="N4076" s="575"/>
      <c r="O4076" s="575"/>
      <c r="P4076" s="575"/>
      <c r="Q4076" s="575"/>
      <c r="R4076" s="575"/>
      <c r="S4076" s="575"/>
      <c r="T4076" s="575"/>
      <c r="U4076" s="575"/>
      <c r="V4076" s="575"/>
      <c r="W4076" s="575"/>
      <c r="X4076" s="575"/>
      <c r="Y4076" s="575"/>
    </row>
    <row r="4077" spans="1:25" s="88" customFormat="1" hidden="1">
      <c r="A4077" s="263"/>
      <c r="B4077" s="263"/>
      <c r="C4077" s="266"/>
      <c r="D4077" s="263"/>
      <c r="E4077" s="263"/>
      <c r="F4077" s="425">
        <v>499</v>
      </c>
      <c r="G4077" s="420" t="s">
        <v>4180</v>
      </c>
      <c r="H4077" s="634"/>
      <c r="I4077" s="635"/>
      <c r="J4077" s="635">
        <f t="shared" si="124"/>
        <v>0</v>
      </c>
      <c r="K4077" s="575"/>
      <c r="L4077" s="575"/>
      <c r="M4077" s="575"/>
      <c r="N4077" s="575"/>
      <c r="O4077" s="575"/>
      <c r="P4077" s="575"/>
      <c r="Q4077" s="575"/>
      <c r="R4077" s="575"/>
      <c r="S4077" s="575"/>
      <c r="T4077" s="575"/>
      <c r="U4077" s="575"/>
      <c r="V4077" s="575"/>
      <c r="W4077" s="575"/>
      <c r="X4077" s="575"/>
      <c r="Y4077" s="575"/>
    </row>
    <row r="4078" spans="1:25" s="88" customFormat="1" hidden="1">
      <c r="A4078" s="263"/>
      <c r="B4078" s="263"/>
      <c r="C4078" s="266"/>
      <c r="D4078" s="263"/>
      <c r="E4078" s="263"/>
      <c r="F4078" s="425">
        <v>511</v>
      </c>
      <c r="G4078" s="423" t="s">
        <v>4200</v>
      </c>
      <c r="H4078" s="634"/>
      <c r="I4078" s="635"/>
      <c r="J4078" s="635">
        <f t="shared" si="124"/>
        <v>0</v>
      </c>
      <c r="K4078" s="575"/>
      <c r="L4078" s="575"/>
      <c r="M4078" s="575"/>
      <c r="N4078" s="575"/>
      <c r="O4078" s="575"/>
      <c r="P4078" s="575"/>
      <c r="Q4078" s="575"/>
      <c r="R4078" s="575"/>
      <c r="S4078" s="575"/>
      <c r="T4078" s="575"/>
      <c r="U4078" s="575"/>
      <c r="V4078" s="575"/>
      <c r="W4078" s="575"/>
      <c r="X4078" s="575"/>
      <c r="Y4078" s="575"/>
    </row>
    <row r="4079" spans="1:25" s="88" customFormat="1" hidden="1">
      <c r="A4079" s="263"/>
      <c r="B4079" s="263"/>
      <c r="C4079" s="266"/>
      <c r="D4079" s="263"/>
      <c r="E4079" s="263"/>
      <c r="F4079" s="425">
        <v>512</v>
      </c>
      <c r="G4079" s="423" t="s">
        <v>4201</v>
      </c>
      <c r="H4079" s="634"/>
      <c r="I4079" s="635"/>
      <c r="J4079" s="635">
        <f t="shared" si="124"/>
        <v>0</v>
      </c>
      <c r="K4079" s="575"/>
      <c r="L4079" s="575"/>
      <c r="M4079" s="575"/>
      <c r="N4079" s="575"/>
      <c r="O4079" s="575"/>
      <c r="P4079" s="575"/>
      <c r="Q4079" s="575"/>
      <c r="R4079" s="575"/>
      <c r="S4079" s="575"/>
      <c r="T4079" s="575"/>
      <c r="U4079" s="575"/>
      <c r="V4079" s="575"/>
      <c r="W4079" s="575"/>
      <c r="X4079" s="575"/>
      <c r="Y4079" s="575"/>
    </row>
    <row r="4080" spans="1:25" s="88" customFormat="1" hidden="1">
      <c r="A4080" s="263"/>
      <c r="B4080" s="263"/>
      <c r="C4080" s="266"/>
      <c r="D4080" s="263"/>
      <c r="E4080" s="263"/>
      <c r="F4080" s="425">
        <v>513</v>
      </c>
      <c r="G4080" s="423" t="s">
        <v>4202</v>
      </c>
      <c r="H4080" s="634"/>
      <c r="I4080" s="635"/>
      <c r="J4080" s="635">
        <f t="shared" si="124"/>
        <v>0</v>
      </c>
      <c r="K4080" s="575"/>
      <c r="L4080" s="575"/>
      <c r="M4080" s="575"/>
      <c r="N4080" s="575"/>
      <c r="O4080" s="575"/>
      <c r="P4080" s="575"/>
      <c r="Q4080" s="575"/>
      <c r="R4080" s="575"/>
      <c r="S4080" s="575"/>
      <c r="T4080" s="575"/>
      <c r="U4080" s="575"/>
      <c r="V4080" s="575"/>
      <c r="W4080" s="575"/>
      <c r="X4080" s="575"/>
      <c r="Y4080" s="575"/>
    </row>
    <row r="4081" spans="1:25" s="88" customFormat="1" hidden="1">
      <c r="A4081" s="263"/>
      <c r="B4081" s="263"/>
      <c r="C4081" s="266"/>
      <c r="D4081" s="263"/>
      <c r="E4081" s="263"/>
      <c r="F4081" s="425">
        <v>514</v>
      </c>
      <c r="G4081" s="420" t="s">
        <v>4203</v>
      </c>
      <c r="H4081" s="634"/>
      <c r="I4081" s="635"/>
      <c r="J4081" s="635">
        <f t="shared" si="124"/>
        <v>0</v>
      </c>
      <c r="K4081" s="575"/>
      <c r="L4081" s="575"/>
      <c r="M4081" s="575"/>
      <c r="N4081" s="575"/>
      <c r="O4081" s="575"/>
      <c r="P4081" s="575"/>
      <c r="Q4081" s="575"/>
      <c r="R4081" s="575"/>
      <c r="S4081" s="575"/>
      <c r="T4081" s="575"/>
      <c r="U4081" s="575"/>
      <c r="V4081" s="575"/>
      <c r="W4081" s="575"/>
      <c r="X4081" s="575"/>
      <c r="Y4081" s="575"/>
    </row>
    <row r="4082" spans="1:25" s="88" customFormat="1" hidden="1">
      <c r="A4082" s="263"/>
      <c r="B4082" s="263"/>
      <c r="C4082" s="266"/>
      <c r="D4082" s="263"/>
      <c r="E4082" s="263"/>
      <c r="F4082" s="425">
        <v>515</v>
      </c>
      <c r="G4082" s="420" t="s">
        <v>3838</v>
      </c>
      <c r="H4082" s="634"/>
      <c r="I4082" s="635"/>
      <c r="J4082" s="635">
        <f t="shared" si="124"/>
        <v>0</v>
      </c>
      <c r="K4082" s="575"/>
      <c r="L4082" s="575"/>
      <c r="M4082" s="575"/>
      <c r="N4082" s="575"/>
      <c r="O4082" s="575"/>
      <c r="P4082" s="575"/>
      <c r="Q4082" s="575"/>
      <c r="R4082" s="575"/>
      <c r="S4082" s="575"/>
      <c r="T4082" s="575"/>
      <c r="U4082" s="575"/>
      <c r="V4082" s="575"/>
      <c r="W4082" s="575"/>
      <c r="X4082" s="575"/>
      <c r="Y4082" s="575"/>
    </row>
    <row r="4083" spans="1:25" s="88" customFormat="1" hidden="1">
      <c r="A4083" s="263"/>
      <c r="B4083" s="263"/>
      <c r="C4083" s="266"/>
      <c r="D4083" s="263"/>
      <c r="E4083" s="263"/>
      <c r="F4083" s="425">
        <v>521</v>
      </c>
      <c r="G4083" s="420" t="s">
        <v>4204</v>
      </c>
      <c r="H4083" s="634"/>
      <c r="I4083" s="635"/>
      <c r="J4083" s="635">
        <f t="shared" si="124"/>
        <v>0</v>
      </c>
      <c r="K4083" s="575"/>
      <c r="L4083" s="575"/>
      <c r="M4083" s="575"/>
      <c r="N4083" s="575"/>
      <c r="O4083" s="575"/>
      <c r="P4083" s="575"/>
      <c r="Q4083" s="575"/>
      <c r="R4083" s="575"/>
      <c r="S4083" s="575"/>
      <c r="T4083" s="575"/>
      <c r="U4083" s="575"/>
      <c r="V4083" s="575"/>
      <c r="W4083" s="575"/>
      <c r="X4083" s="575"/>
      <c r="Y4083" s="575"/>
    </row>
    <row r="4084" spans="1:25" s="88" customFormat="1" hidden="1">
      <c r="A4084" s="263"/>
      <c r="B4084" s="263"/>
      <c r="C4084" s="266"/>
      <c r="D4084" s="263"/>
      <c r="E4084" s="263"/>
      <c r="F4084" s="425">
        <v>522</v>
      </c>
      <c r="G4084" s="420" t="s">
        <v>4205</v>
      </c>
      <c r="H4084" s="634"/>
      <c r="I4084" s="635"/>
      <c r="J4084" s="635">
        <f t="shared" si="124"/>
        <v>0</v>
      </c>
      <c r="K4084" s="575"/>
      <c r="L4084" s="575"/>
      <c r="M4084" s="575"/>
      <c r="N4084" s="575"/>
      <c r="O4084" s="575"/>
      <c r="P4084" s="575"/>
      <c r="Q4084" s="575"/>
      <c r="R4084" s="575"/>
      <c r="S4084" s="575"/>
      <c r="T4084" s="575"/>
      <c r="U4084" s="575"/>
      <c r="V4084" s="575"/>
      <c r="W4084" s="575"/>
      <c r="X4084" s="575"/>
      <c r="Y4084" s="575"/>
    </row>
    <row r="4085" spans="1:25" s="88" customFormat="1" hidden="1">
      <c r="A4085" s="263"/>
      <c r="B4085" s="263"/>
      <c r="C4085" s="266"/>
      <c r="D4085" s="263"/>
      <c r="E4085" s="263"/>
      <c r="F4085" s="425">
        <v>523</v>
      </c>
      <c r="G4085" s="420" t="s">
        <v>3843</v>
      </c>
      <c r="H4085" s="634"/>
      <c r="I4085" s="635"/>
      <c r="J4085" s="635">
        <f t="shared" si="124"/>
        <v>0</v>
      </c>
      <c r="K4085" s="575"/>
      <c r="L4085" s="575"/>
      <c r="M4085" s="575"/>
      <c r="N4085" s="575"/>
      <c r="O4085" s="575"/>
      <c r="P4085" s="575"/>
      <c r="Q4085" s="575"/>
      <c r="R4085" s="575"/>
      <c r="S4085" s="575"/>
      <c r="T4085" s="575"/>
      <c r="U4085" s="575"/>
      <c r="V4085" s="575"/>
      <c r="W4085" s="575"/>
      <c r="X4085" s="575"/>
      <c r="Y4085" s="575"/>
    </row>
    <row r="4086" spans="1:25" s="88" customFormat="1" hidden="1">
      <c r="A4086" s="263"/>
      <c r="B4086" s="263"/>
      <c r="C4086" s="266"/>
      <c r="D4086" s="263"/>
      <c r="E4086" s="263"/>
      <c r="F4086" s="425">
        <v>531</v>
      </c>
      <c r="G4086" s="418" t="s">
        <v>4181</v>
      </c>
      <c r="H4086" s="634"/>
      <c r="I4086" s="635"/>
      <c r="J4086" s="635">
        <f t="shared" si="124"/>
        <v>0</v>
      </c>
      <c r="K4086" s="575"/>
      <c r="L4086" s="575"/>
      <c r="M4086" s="575"/>
      <c r="N4086" s="575"/>
      <c r="O4086" s="575"/>
      <c r="P4086" s="575"/>
      <c r="Q4086" s="575"/>
      <c r="R4086" s="575"/>
      <c r="S4086" s="575"/>
      <c r="T4086" s="575"/>
      <c r="U4086" s="575"/>
      <c r="V4086" s="575"/>
      <c r="W4086" s="575"/>
      <c r="X4086" s="575"/>
      <c r="Y4086" s="575"/>
    </row>
    <row r="4087" spans="1:25" s="88" customFormat="1" hidden="1">
      <c r="A4087" s="263"/>
      <c r="B4087" s="263"/>
      <c r="C4087" s="266"/>
      <c r="D4087" s="263"/>
      <c r="E4087" s="263"/>
      <c r="F4087" s="425">
        <v>541</v>
      </c>
      <c r="G4087" s="420" t="s">
        <v>4206</v>
      </c>
      <c r="H4087" s="634"/>
      <c r="I4087" s="635"/>
      <c r="J4087" s="635">
        <f t="shared" si="124"/>
        <v>0</v>
      </c>
      <c r="K4087" s="575"/>
      <c r="L4087" s="575"/>
      <c r="M4087" s="575"/>
      <c r="N4087" s="575"/>
      <c r="O4087" s="575"/>
      <c r="P4087" s="575"/>
      <c r="Q4087" s="575"/>
      <c r="R4087" s="575"/>
      <c r="S4087" s="575"/>
      <c r="T4087" s="575"/>
      <c r="U4087" s="575"/>
      <c r="V4087" s="575"/>
      <c r="W4087" s="575"/>
      <c r="X4087" s="575"/>
      <c r="Y4087" s="575"/>
    </row>
    <row r="4088" spans="1:25" s="88" customFormat="1" hidden="1">
      <c r="A4088" s="263"/>
      <c r="B4088" s="263"/>
      <c r="C4088" s="266"/>
      <c r="D4088" s="263"/>
      <c r="E4088" s="263"/>
      <c r="F4088" s="425">
        <v>542</v>
      </c>
      <c r="G4088" s="420" t="s">
        <v>4207</v>
      </c>
      <c r="H4088" s="634"/>
      <c r="I4088" s="635"/>
      <c r="J4088" s="635">
        <f t="shared" si="124"/>
        <v>0</v>
      </c>
      <c r="K4088" s="575"/>
      <c r="L4088" s="575"/>
      <c r="M4088" s="575"/>
      <c r="N4088" s="575"/>
      <c r="O4088" s="575"/>
      <c r="P4088" s="575"/>
      <c r="Q4088" s="575"/>
      <c r="R4088" s="575"/>
      <c r="S4088" s="575"/>
      <c r="T4088" s="575"/>
      <c r="U4088" s="575"/>
      <c r="V4088" s="575"/>
      <c r="W4088" s="575"/>
      <c r="X4088" s="575"/>
      <c r="Y4088" s="575"/>
    </row>
    <row r="4089" spans="1:25" s="88" customFormat="1" hidden="1">
      <c r="A4089" s="263"/>
      <c r="B4089" s="263"/>
      <c r="C4089" s="266"/>
      <c r="D4089" s="263"/>
      <c r="E4089" s="263"/>
      <c r="F4089" s="425">
        <v>543</v>
      </c>
      <c r="G4089" s="420" t="s">
        <v>3848</v>
      </c>
      <c r="H4089" s="634"/>
      <c r="I4089" s="635"/>
      <c r="J4089" s="635">
        <f t="shared" si="124"/>
        <v>0</v>
      </c>
      <c r="K4089" s="575"/>
      <c r="L4089" s="575"/>
      <c r="M4089" s="575"/>
      <c r="N4089" s="575"/>
      <c r="O4089" s="575"/>
      <c r="P4089" s="575"/>
      <c r="Q4089" s="575"/>
      <c r="R4089" s="575"/>
      <c r="S4089" s="575"/>
      <c r="T4089" s="575"/>
      <c r="U4089" s="575"/>
      <c r="V4089" s="575"/>
      <c r="W4089" s="575"/>
      <c r="X4089" s="575"/>
      <c r="Y4089" s="575"/>
    </row>
    <row r="4090" spans="1:25" s="88" customFormat="1" ht="30" hidden="1">
      <c r="A4090" s="263"/>
      <c r="B4090" s="263"/>
      <c r="C4090" s="266"/>
      <c r="D4090" s="263"/>
      <c r="E4090" s="263"/>
      <c r="F4090" s="425">
        <v>551</v>
      </c>
      <c r="G4090" s="420" t="s">
        <v>4182</v>
      </c>
      <c r="H4090" s="634"/>
      <c r="I4090" s="635"/>
      <c r="J4090" s="635">
        <f t="shared" si="124"/>
        <v>0</v>
      </c>
      <c r="K4090" s="575"/>
      <c r="L4090" s="575"/>
      <c r="M4090" s="575"/>
      <c r="N4090" s="575"/>
      <c r="O4090" s="575"/>
      <c r="P4090" s="575"/>
      <c r="Q4090" s="575"/>
      <c r="R4090" s="575"/>
      <c r="S4090" s="575"/>
      <c r="T4090" s="575"/>
      <c r="U4090" s="575"/>
      <c r="V4090" s="575"/>
      <c r="W4090" s="575"/>
      <c r="X4090" s="575"/>
      <c r="Y4090" s="575"/>
    </row>
    <row r="4091" spans="1:25" s="88" customFormat="1" hidden="1">
      <c r="A4091" s="263"/>
      <c r="B4091" s="263"/>
      <c r="C4091" s="266"/>
      <c r="D4091" s="263"/>
      <c r="E4091" s="263"/>
      <c r="F4091" s="426">
        <v>611</v>
      </c>
      <c r="G4091" s="424" t="s">
        <v>3854</v>
      </c>
      <c r="H4091" s="634"/>
      <c r="I4091" s="635"/>
      <c r="J4091" s="635">
        <f t="shared" si="124"/>
        <v>0</v>
      </c>
      <c r="K4091" s="575"/>
      <c r="L4091" s="575"/>
      <c r="M4091" s="575"/>
      <c r="N4091" s="575"/>
      <c r="O4091" s="575"/>
      <c r="P4091" s="575"/>
      <c r="Q4091" s="575"/>
      <c r="R4091" s="575"/>
      <c r="S4091" s="575"/>
      <c r="T4091" s="575"/>
      <c r="U4091" s="575"/>
      <c r="V4091" s="575"/>
      <c r="W4091" s="575"/>
      <c r="X4091" s="575"/>
      <c r="Y4091" s="575"/>
    </row>
    <row r="4092" spans="1:25" s="88" customFormat="1" ht="15.75" hidden="1" thickBot="1">
      <c r="A4092" s="263"/>
      <c r="B4092" s="263"/>
      <c r="C4092" s="266"/>
      <c r="D4092" s="263"/>
      <c r="E4092" s="263"/>
      <c r="F4092" s="426">
        <v>620</v>
      </c>
      <c r="G4092" s="424" t="s">
        <v>88</v>
      </c>
      <c r="H4092" s="634"/>
      <c r="I4092" s="635"/>
      <c r="J4092" s="635">
        <f t="shared" si="124"/>
        <v>0</v>
      </c>
      <c r="K4092" s="575"/>
      <c r="L4092" s="575"/>
      <c r="M4092" s="575"/>
      <c r="N4092" s="575"/>
      <c r="O4092" s="575"/>
      <c r="P4092" s="575"/>
      <c r="Q4092" s="575"/>
      <c r="R4092" s="575"/>
      <c r="S4092" s="575"/>
      <c r="T4092" s="575"/>
      <c r="U4092" s="575"/>
      <c r="V4092" s="575"/>
      <c r="W4092" s="575"/>
      <c r="X4092" s="575"/>
      <c r="Y4092" s="575"/>
    </row>
    <row r="4093" spans="1:25" s="88" customFormat="1" ht="20.25" customHeight="1">
      <c r="A4093" s="263"/>
      <c r="B4093" s="263"/>
      <c r="C4093" s="266"/>
      <c r="D4093" s="263"/>
      <c r="E4093" s="419"/>
      <c r="F4093" s="426"/>
      <c r="G4093" s="372" t="s">
        <v>4404</v>
      </c>
      <c r="H4093" s="636"/>
      <c r="I4093" s="662"/>
      <c r="J4093" s="637"/>
      <c r="K4093" s="575"/>
      <c r="L4093" s="575"/>
      <c r="M4093" s="575"/>
      <c r="N4093" s="575"/>
      <c r="O4093" s="575"/>
      <c r="P4093" s="575"/>
      <c r="Q4093" s="575"/>
      <c r="R4093" s="575"/>
      <c r="S4093" s="575"/>
      <c r="T4093" s="575"/>
      <c r="U4093" s="575"/>
      <c r="V4093" s="575"/>
      <c r="W4093" s="575"/>
      <c r="X4093" s="575"/>
      <c r="Y4093" s="575"/>
    </row>
    <row r="4094" spans="1:25" s="88" customFormat="1" ht="15.75" thickBot="1">
      <c r="A4094" s="263"/>
      <c r="B4094" s="263"/>
      <c r="C4094" s="266"/>
      <c r="D4094" s="263"/>
      <c r="E4094" s="267"/>
      <c r="F4094" s="294" t="s">
        <v>234</v>
      </c>
      <c r="G4094" s="297" t="s">
        <v>235</v>
      </c>
      <c r="H4094" s="638">
        <f>SUM(H4033:H4092)</f>
        <v>30170000</v>
      </c>
      <c r="I4094" s="639"/>
      <c r="J4094" s="639">
        <f t="shared" ref="J4094:J4109" si="125">SUM(H4094:I4094)</f>
        <v>30170000</v>
      </c>
      <c r="K4094" s="575"/>
      <c r="L4094" s="575"/>
      <c r="M4094" s="575"/>
      <c r="N4094" s="575"/>
      <c r="O4094" s="575"/>
      <c r="P4094" s="575"/>
      <c r="Q4094" s="575"/>
      <c r="R4094" s="575"/>
      <c r="S4094" s="575"/>
      <c r="T4094" s="575"/>
      <c r="U4094" s="575"/>
      <c r="V4094" s="575"/>
      <c r="W4094" s="575"/>
      <c r="X4094" s="575"/>
      <c r="Y4094" s="575"/>
    </row>
    <row r="4095" spans="1:25" s="88" customFormat="1" hidden="1">
      <c r="A4095" s="263"/>
      <c r="B4095" s="263"/>
      <c r="C4095" s="266"/>
      <c r="D4095" s="263"/>
      <c r="E4095" s="263"/>
      <c r="F4095" s="294" t="s">
        <v>236</v>
      </c>
      <c r="G4095" s="297" t="s">
        <v>237</v>
      </c>
      <c r="H4095" s="634"/>
      <c r="I4095" s="635"/>
      <c r="J4095" s="639">
        <f t="shared" si="125"/>
        <v>0</v>
      </c>
      <c r="K4095" s="575"/>
      <c r="L4095" s="575"/>
      <c r="M4095" s="575"/>
      <c r="N4095" s="575"/>
      <c r="O4095" s="575"/>
      <c r="P4095" s="575"/>
      <c r="Q4095" s="575"/>
      <c r="R4095" s="575"/>
      <c r="S4095" s="575"/>
      <c r="T4095" s="575"/>
      <c r="U4095" s="575"/>
      <c r="V4095" s="575"/>
      <c r="W4095" s="575"/>
      <c r="X4095" s="575"/>
      <c r="Y4095" s="575"/>
    </row>
    <row r="4096" spans="1:25" s="88" customFormat="1" hidden="1">
      <c r="A4096" s="263"/>
      <c r="B4096" s="263"/>
      <c r="C4096" s="266"/>
      <c r="D4096" s="263"/>
      <c r="E4096" s="263"/>
      <c r="F4096" s="294" t="s">
        <v>238</v>
      </c>
      <c r="G4096" s="297" t="s">
        <v>239</v>
      </c>
      <c r="H4096" s="634"/>
      <c r="I4096" s="635"/>
      <c r="J4096" s="639">
        <f t="shared" si="125"/>
        <v>0</v>
      </c>
      <c r="K4096" s="575"/>
      <c r="L4096" s="575"/>
      <c r="M4096" s="575"/>
      <c r="N4096" s="575"/>
      <c r="O4096" s="575"/>
      <c r="P4096" s="575"/>
      <c r="Q4096" s="575"/>
      <c r="R4096" s="575"/>
      <c r="S4096" s="575"/>
      <c r="T4096" s="575"/>
      <c r="U4096" s="575"/>
      <c r="V4096" s="575"/>
      <c r="W4096" s="575"/>
      <c r="X4096" s="575"/>
      <c r="Y4096" s="575"/>
    </row>
    <row r="4097" spans="1:25" s="88" customFormat="1" hidden="1">
      <c r="A4097" s="263"/>
      <c r="B4097" s="263"/>
      <c r="C4097" s="266"/>
      <c r="D4097" s="263"/>
      <c r="E4097" s="263"/>
      <c r="F4097" s="294" t="s">
        <v>240</v>
      </c>
      <c r="G4097" s="297" t="s">
        <v>241</v>
      </c>
      <c r="H4097" s="634"/>
      <c r="I4097" s="635"/>
      <c r="J4097" s="639">
        <f t="shared" si="125"/>
        <v>0</v>
      </c>
      <c r="K4097" s="575"/>
      <c r="L4097" s="575"/>
      <c r="M4097" s="575"/>
      <c r="N4097" s="575"/>
      <c r="O4097" s="575"/>
      <c r="P4097" s="575"/>
      <c r="Q4097" s="575"/>
      <c r="R4097" s="575"/>
      <c r="S4097" s="575"/>
      <c r="T4097" s="575"/>
      <c r="U4097" s="575"/>
      <c r="V4097" s="575"/>
      <c r="W4097" s="575"/>
      <c r="X4097" s="575"/>
      <c r="Y4097" s="575"/>
    </row>
    <row r="4098" spans="1:25" s="88" customFormat="1" hidden="1">
      <c r="A4098" s="263"/>
      <c r="B4098" s="263"/>
      <c r="C4098" s="266"/>
      <c r="D4098" s="263"/>
      <c r="E4098" s="263"/>
      <c r="F4098" s="294" t="s">
        <v>242</v>
      </c>
      <c r="G4098" s="297" t="s">
        <v>243</v>
      </c>
      <c r="H4098" s="634"/>
      <c r="I4098" s="635"/>
      <c r="J4098" s="639">
        <f t="shared" si="125"/>
        <v>0</v>
      </c>
      <c r="K4098" s="575"/>
      <c r="L4098" s="575"/>
      <c r="M4098" s="575"/>
      <c r="N4098" s="575"/>
      <c r="O4098" s="575"/>
      <c r="P4098" s="575"/>
      <c r="Q4098" s="575"/>
      <c r="R4098" s="575"/>
      <c r="S4098" s="575"/>
      <c r="T4098" s="575"/>
      <c r="U4098" s="575"/>
      <c r="V4098" s="575"/>
      <c r="W4098" s="575"/>
      <c r="X4098" s="575"/>
      <c r="Y4098" s="575"/>
    </row>
    <row r="4099" spans="1:25" s="88" customFormat="1" hidden="1">
      <c r="A4099" s="263"/>
      <c r="B4099" s="263"/>
      <c r="C4099" s="266"/>
      <c r="D4099" s="263"/>
      <c r="E4099" s="263"/>
      <c r="F4099" s="294" t="s">
        <v>244</v>
      </c>
      <c r="G4099" s="297" t="s">
        <v>245</v>
      </c>
      <c r="H4099" s="634"/>
      <c r="I4099" s="635"/>
      <c r="J4099" s="639">
        <f t="shared" si="125"/>
        <v>0</v>
      </c>
      <c r="K4099" s="575"/>
      <c r="L4099" s="575"/>
      <c r="M4099" s="575"/>
      <c r="N4099" s="575"/>
      <c r="O4099" s="575"/>
      <c r="P4099" s="575"/>
      <c r="Q4099" s="575"/>
      <c r="R4099" s="575"/>
      <c r="S4099" s="575"/>
      <c r="T4099" s="575"/>
      <c r="U4099" s="575"/>
      <c r="V4099" s="575"/>
      <c r="W4099" s="575"/>
      <c r="X4099" s="575"/>
      <c r="Y4099" s="575"/>
    </row>
    <row r="4100" spans="1:25" s="88" customFormat="1" hidden="1">
      <c r="A4100" s="263"/>
      <c r="B4100" s="263"/>
      <c r="C4100" s="266"/>
      <c r="D4100" s="263"/>
      <c r="E4100" s="263"/>
      <c r="F4100" s="294" t="s">
        <v>246</v>
      </c>
      <c r="G4100" s="683" t="s">
        <v>5121</v>
      </c>
      <c r="H4100" s="634"/>
      <c r="I4100" s="635"/>
      <c r="J4100" s="639">
        <f t="shared" si="125"/>
        <v>0</v>
      </c>
      <c r="K4100" s="575"/>
      <c r="L4100" s="575"/>
      <c r="M4100" s="575"/>
      <c r="N4100" s="575"/>
      <c r="O4100" s="575"/>
      <c r="P4100" s="575"/>
      <c r="Q4100" s="575"/>
      <c r="R4100" s="575"/>
      <c r="S4100" s="575"/>
      <c r="T4100" s="575"/>
      <c r="U4100" s="575"/>
      <c r="V4100" s="575"/>
      <c r="W4100" s="575"/>
      <c r="X4100" s="575"/>
      <c r="Y4100" s="575"/>
    </row>
    <row r="4101" spans="1:25" s="88" customFormat="1" hidden="1">
      <c r="A4101" s="263"/>
      <c r="B4101" s="263"/>
      <c r="C4101" s="266"/>
      <c r="D4101" s="263"/>
      <c r="E4101" s="263"/>
      <c r="F4101" s="294" t="s">
        <v>247</v>
      </c>
      <c r="G4101" s="683" t="s">
        <v>5120</v>
      </c>
      <c r="H4101" s="634"/>
      <c r="I4101" s="635"/>
      <c r="J4101" s="639">
        <f t="shared" si="125"/>
        <v>0</v>
      </c>
      <c r="K4101" s="575"/>
      <c r="L4101" s="575"/>
      <c r="M4101" s="575"/>
      <c r="N4101" s="575"/>
      <c r="O4101" s="575"/>
      <c r="P4101" s="575"/>
      <c r="Q4101" s="575"/>
      <c r="R4101" s="575"/>
      <c r="S4101" s="575"/>
      <c r="T4101" s="575"/>
      <c r="U4101" s="575"/>
      <c r="V4101" s="575"/>
      <c r="W4101" s="575"/>
      <c r="X4101" s="575"/>
      <c r="Y4101" s="575"/>
    </row>
    <row r="4102" spans="1:25" s="88" customFormat="1" hidden="1">
      <c r="A4102" s="263"/>
      <c r="B4102" s="263"/>
      <c r="C4102" s="266"/>
      <c r="D4102" s="263"/>
      <c r="E4102" s="263"/>
      <c r="F4102" s="294" t="s">
        <v>248</v>
      </c>
      <c r="G4102" s="297" t="s">
        <v>57</v>
      </c>
      <c r="H4102" s="634"/>
      <c r="I4102" s="635"/>
      <c r="J4102" s="639">
        <f t="shared" si="125"/>
        <v>0</v>
      </c>
      <c r="K4102" s="575"/>
      <c r="L4102" s="575"/>
      <c r="M4102" s="575"/>
      <c r="N4102" s="575"/>
      <c r="O4102" s="575"/>
      <c r="P4102" s="575"/>
      <c r="Q4102" s="575"/>
      <c r="R4102" s="575"/>
      <c r="S4102" s="575"/>
      <c r="T4102" s="575"/>
      <c r="U4102" s="575"/>
      <c r="V4102" s="575"/>
      <c r="W4102" s="575"/>
      <c r="X4102" s="575"/>
      <c r="Y4102" s="575"/>
    </row>
    <row r="4103" spans="1:25" s="88" customFormat="1" hidden="1">
      <c r="A4103" s="263"/>
      <c r="B4103" s="263"/>
      <c r="C4103" s="266"/>
      <c r="D4103" s="263"/>
      <c r="E4103" s="263"/>
      <c r="F4103" s="294" t="s">
        <v>249</v>
      </c>
      <c r="G4103" s="297" t="s">
        <v>250</v>
      </c>
      <c r="H4103" s="634"/>
      <c r="I4103" s="635"/>
      <c r="J4103" s="639">
        <f t="shared" si="125"/>
        <v>0</v>
      </c>
      <c r="K4103" s="575"/>
      <c r="L4103" s="575"/>
      <c r="M4103" s="575"/>
      <c r="N4103" s="575"/>
      <c r="O4103" s="575"/>
      <c r="P4103" s="575"/>
      <c r="Q4103" s="575"/>
      <c r="R4103" s="575"/>
      <c r="S4103" s="575"/>
      <c r="T4103" s="575"/>
      <c r="U4103" s="575"/>
      <c r="V4103" s="575"/>
      <c r="W4103" s="575"/>
      <c r="X4103" s="575"/>
      <c r="Y4103" s="575"/>
    </row>
    <row r="4104" spans="1:25" s="88" customFormat="1" hidden="1">
      <c r="A4104" s="263"/>
      <c r="B4104" s="263"/>
      <c r="C4104" s="266"/>
      <c r="D4104" s="263"/>
      <c r="E4104" s="263"/>
      <c r="F4104" s="294" t="s">
        <v>251</v>
      </c>
      <c r="G4104" s="297" t="s">
        <v>252</v>
      </c>
      <c r="H4104" s="634"/>
      <c r="I4104" s="635"/>
      <c r="J4104" s="639">
        <f t="shared" si="125"/>
        <v>0</v>
      </c>
      <c r="K4104" s="575"/>
      <c r="L4104" s="575"/>
      <c r="M4104" s="575"/>
      <c r="N4104" s="575"/>
      <c r="O4104" s="575"/>
      <c r="P4104" s="575"/>
      <c r="Q4104" s="575"/>
      <c r="R4104" s="575"/>
      <c r="S4104" s="575"/>
      <c r="T4104" s="575"/>
      <c r="U4104" s="575"/>
      <c r="V4104" s="575"/>
      <c r="W4104" s="575"/>
      <c r="X4104" s="575"/>
      <c r="Y4104" s="575"/>
    </row>
    <row r="4105" spans="1:25" s="88" customFormat="1" hidden="1">
      <c r="A4105" s="263"/>
      <c r="B4105" s="263"/>
      <c r="C4105" s="266"/>
      <c r="D4105" s="263"/>
      <c r="E4105" s="263"/>
      <c r="F4105" s="294" t="s">
        <v>253</v>
      </c>
      <c r="G4105" s="297" t="s">
        <v>254</v>
      </c>
      <c r="H4105" s="634"/>
      <c r="I4105" s="635"/>
      <c r="J4105" s="639">
        <f t="shared" si="125"/>
        <v>0</v>
      </c>
      <c r="K4105" s="575"/>
      <c r="L4105" s="575"/>
      <c r="M4105" s="575"/>
      <c r="N4105" s="575"/>
      <c r="O4105" s="575"/>
      <c r="P4105" s="575"/>
      <c r="Q4105" s="575"/>
      <c r="R4105" s="575"/>
      <c r="S4105" s="575"/>
      <c r="T4105" s="575"/>
      <c r="U4105" s="575"/>
      <c r="V4105" s="575"/>
      <c r="W4105" s="575"/>
      <c r="X4105" s="575"/>
      <c r="Y4105" s="575"/>
    </row>
    <row r="4106" spans="1:25" s="88" customFormat="1" hidden="1">
      <c r="A4106" s="263"/>
      <c r="B4106" s="263"/>
      <c r="C4106" s="266"/>
      <c r="D4106" s="263"/>
      <c r="E4106" s="263"/>
      <c r="F4106" s="294" t="s">
        <v>255</v>
      </c>
      <c r="G4106" s="297" t="s">
        <v>256</v>
      </c>
      <c r="H4106" s="634"/>
      <c r="I4106" s="635"/>
      <c r="J4106" s="639">
        <f t="shared" si="125"/>
        <v>0</v>
      </c>
      <c r="K4106" s="575"/>
      <c r="L4106" s="575"/>
      <c r="M4106" s="575"/>
      <c r="N4106" s="575"/>
      <c r="O4106" s="575"/>
      <c r="P4106" s="575"/>
      <c r="Q4106" s="575"/>
      <c r="R4106" s="575"/>
      <c r="S4106" s="575"/>
      <c r="T4106" s="575"/>
      <c r="U4106" s="575"/>
      <c r="V4106" s="575"/>
      <c r="W4106" s="575"/>
      <c r="X4106" s="575"/>
      <c r="Y4106" s="575"/>
    </row>
    <row r="4107" spans="1:25" s="88" customFormat="1" hidden="1">
      <c r="A4107" s="263"/>
      <c r="B4107" s="263"/>
      <c r="C4107" s="266"/>
      <c r="D4107" s="263"/>
      <c r="E4107" s="263"/>
      <c r="F4107" s="294" t="s">
        <v>257</v>
      </c>
      <c r="G4107" s="297" t="s">
        <v>258</v>
      </c>
      <c r="H4107" s="634"/>
      <c r="I4107" s="635"/>
      <c r="J4107" s="639">
        <f t="shared" si="125"/>
        <v>0</v>
      </c>
      <c r="K4107" s="575"/>
      <c r="L4107" s="575"/>
      <c r="M4107" s="575"/>
      <c r="N4107" s="575"/>
      <c r="O4107" s="575"/>
      <c r="P4107" s="575"/>
      <c r="Q4107" s="575"/>
      <c r="R4107" s="575"/>
      <c r="S4107" s="575"/>
      <c r="T4107" s="575"/>
      <c r="U4107" s="575"/>
      <c r="V4107" s="575"/>
      <c r="W4107" s="575"/>
      <c r="X4107" s="575"/>
      <c r="Y4107" s="575"/>
    </row>
    <row r="4108" spans="1:25" s="88" customFormat="1" hidden="1">
      <c r="A4108" s="263"/>
      <c r="B4108" s="263"/>
      <c r="C4108" s="266"/>
      <c r="D4108" s="263"/>
      <c r="E4108" s="263"/>
      <c r="F4108" s="294" t="s">
        <v>259</v>
      </c>
      <c r="G4108" s="297" t="s">
        <v>260</v>
      </c>
      <c r="H4108" s="634"/>
      <c r="I4108" s="635"/>
      <c r="J4108" s="639">
        <f t="shared" si="125"/>
        <v>0</v>
      </c>
      <c r="K4108" s="575"/>
      <c r="L4108" s="575"/>
      <c r="M4108" s="575"/>
      <c r="N4108" s="575"/>
      <c r="O4108" s="575"/>
      <c r="P4108" s="575"/>
      <c r="Q4108" s="575"/>
      <c r="R4108" s="575"/>
      <c r="S4108" s="575"/>
      <c r="T4108" s="575"/>
      <c r="U4108" s="575"/>
      <c r="V4108" s="575"/>
      <c r="W4108" s="575"/>
      <c r="X4108" s="575"/>
      <c r="Y4108" s="575"/>
    </row>
    <row r="4109" spans="1:25" s="88" customFormat="1" ht="15.75" hidden="1" thickBot="1">
      <c r="A4109" s="263"/>
      <c r="B4109" s="263"/>
      <c r="C4109" s="266"/>
      <c r="D4109" s="263"/>
      <c r="E4109" s="263"/>
      <c r="F4109" s="294" t="s">
        <v>261</v>
      </c>
      <c r="G4109" s="297" t="s">
        <v>262</v>
      </c>
      <c r="H4109" s="638"/>
      <c r="I4109" s="639"/>
      <c r="J4109" s="639">
        <f t="shared" si="125"/>
        <v>0</v>
      </c>
      <c r="K4109" s="575"/>
      <c r="L4109" s="575"/>
      <c r="M4109" s="575"/>
      <c r="N4109" s="575"/>
      <c r="O4109" s="575"/>
      <c r="P4109" s="575"/>
      <c r="Q4109" s="575"/>
      <c r="R4109" s="575"/>
      <c r="S4109" s="575"/>
      <c r="T4109" s="575"/>
      <c r="U4109" s="575"/>
      <c r="V4109" s="575"/>
      <c r="W4109" s="575"/>
      <c r="X4109" s="575"/>
      <c r="Y4109" s="575"/>
    </row>
    <row r="4110" spans="1:25" s="88" customFormat="1" ht="15.75" thickBot="1">
      <c r="A4110" s="263"/>
      <c r="B4110" s="263"/>
      <c r="C4110" s="266"/>
      <c r="D4110" s="263"/>
      <c r="E4110" s="263"/>
      <c r="F4110" s="263"/>
      <c r="G4110" s="274" t="s">
        <v>4405</v>
      </c>
      <c r="H4110" s="640">
        <f>SUM(H4094:H4109)</f>
        <v>30170000</v>
      </c>
      <c r="I4110" s="641">
        <f>SUM(I4095:I4109)</f>
        <v>0</v>
      </c>
      <c r="J4110" s="641">
        <f>SUM(J4094:J4109)</f>
        <v>30170000</v>
      </c>
      <c r="K4110" s="575"/>
      <c r="L4110" s="575"/>
      <c r="M4110" s="575"/>
      <c r="N4110" s="575"/>
      <c r="O4110" s="575"/>
      <c r="P4110" s="575"/>
      <c r="Q4110" s="575"/>
      <c r="R4110" s="575"/>
      <c r="S4110" s="575"/>
      <c r="T4110" s="575"/>
      <c r="U4110" s="575"/>
      <c r="V4110" s="575"/>
      <c r="W4110" s="575"/>
      <c r="X4110" s="575"/>
      <c r="Y4110" s="575"/>
    </row>
    <row r="4111" spans="1:25" s="88" customFormat="1">
      <c r="A4111" s="263"/>
      <c r="B4111" s="263"/>
      <c r="C4111" s="266"/>
      <c r="D4111" s="263"/>
      <c r="E4111" s="419"/>
      <c r="F4111" s="426"/>
      <c r="G4111" s="276" t="s">
        <v>4414</v>
      </c>
      <c r="H4111" s="642"/>
      <c r="I4111" s="663"/>
      <c r="J4111" s="643"/>
      <c r="K4111" s="575"/>
      <c r="L4111" s="575"/>
      <c r="M4111" s="575"/>
      <c r="N4111" s="575"/>
      <c r="O4111" s="575"/>
      <c r="P4111" s="575"/>
      <c r="Q4111" s="575"/>
      <c r="R4111" s="575"/>
      <c r="S4111" s="575"/>
      <c r="T4111" s="575"/>
      <c r="U4111" s="575"/>
      <c r="V4111" s="575"/>
      <c r="W4111" s="575"/>
      <c r="X4111" s="575"/>
      <c r="Y4111" s="575"/>
    </row>
    <row r="4112" spans="1:25" s="88" customFormat="1" ht="15.75" thickBot="1">
      <c r="A4112" s="263"/>
      <c r="B4112" s="263"/>
      <c r="C4112" s="266"/>
      <c r="D4112" s="263"/>
      <c r="E4112" s="267"/>
      <c r="F4112" s="294" t="s">
        <v>234</v>
      </c>
      <c r="G4112" s="297" t="s">
        <v>235</v>
      </c>
      <c r="H4112" s="638">
        <f>SUM(H4033:H4092)</f>
        <v>30170000</v>
      </c>
      <c r="I4112" s="639"/>
      <c r="J4112" s="639">
        <f>SUM(H4112:I4112)</f>
        <v>30170000</v>
      </c>
      <c r="K4112" s="575"/>
      <c r="L4112" s="575"/>
      <c r="M4112" s="575"/>
      <c r="N4112" s="575"/>
      <c r="O4112" s="575"/>
      <c r="P4112" s="575"/>
      <c r="Q4112" s="575"/>
      <c r="R4112" s="575"/>
      <c r="S4112" s="575"/>
      <c r="T4112" s="575"/>
      <c r="U4112" s="575"/>
      <c r="V4112" s="575"/>
      <c r="W4112" s="575"/>
      <c r="X4112" s="575"/>
      <c r="Y4112" s="575"/>
    </row>
    <row r="4113" spans="1:25" s="88" customFormat="1" hidden="1">
      <c r="A4113" s="263"/>
      <c r="B4113" s="263"/>
      <c r="C4113" s="266"/>
      <c r="D4113" s="263"/>
      <c r="E4113" s="263"/>
      <c r="F4113" s="294" t="s">
        <v>236</v>
      </c>
      <c r="G4113" s="297" t="s">
        <v>237</v>
      </c>
      <c r="H4113" s="634"/>
      <c r="I4113" s="635"/>
      <c r="J4113" s="639">
        <f t="shared" ref="J4113:J4127" si="126">SUM(H4113:I4113)</f>
        <v>0</v>
      </c>
      <c r="K4113" s="575"/>
      <c r="L4113" s="575"/>
      <c r="M4113" s="575"/>
      <c r="N4113" s="575"/>
      <c r="O4113" s="575"/>
      <c r="P4113" s="575"/>
      <c r="Q4113" s="575"/>
      <c r="R4113" s="575"/>
      <c r="S4113" s="575"/>
      <c r="T4113" s="575"/>
      <c r="U4113" s="575"/>
      <c r="V4113" s="575"/>
      <c r="W4113" s="575"/>
      <c r="X4113" s="575"/>
      <c r="Y4113" s="575"/>
    </row>
    <row r="4114" spans="1:25" s="88" customFormat="1" hidden="1">
      <c r="A4114" s="263"/>
      <c r="B4114" s="263"/>
      <c r="C4114" s="266"/>
      <c r="D4114" s="263"/>
      <c r="E4114" s="263"/>
      <c r="F4114" s="294" t="s">
        <v>238</v>
      </c>
      <c r="G4114" s="297" t="s">
        <v>239</v>
      </c>
      <c r="H4114" s="634"/>
      <c r="I4114" s="635"/>
      <c r="J4114" s="639">
        <f t="shared" si="126"/>
        <v>0</v>
      </c>
      <c r="K4114" s="575"/>
      <c r="L4114" s="575"/>
      <c r="M4114" s="575"/>
      <c r="N4114" s="575"/>
      <c r="O4114" s="575"/>
      <c r="P4114" s="575"/>
      <c r="Q4114" s="575"/>
      <c r="R4114" s="575"/>
      <c r="S4114" s="575"/>
      <c r="T4114" s="575"/>
      <c r="U4114" s="575"/>
      <c r="V4114" s="575"/>
      <c r="W4114" s="575"/>
      <c r="X4114" s="575"/>
      <c r="Y4114" s="575"/>
    </row>
    <row r="4115" spans="1:25" s="88" customFormat="1" hidden="1">
      <c r="A4115" s="263"/>
      <c r="B4115" s="263"/>
      <c r="C4115" s="266"/>
      <c r="D4115" s="263"/>
      <c r="E4115" s="263"/>
      <c r="F4115" s="294" t="s">
        <v>240</v>
      </c>
      <c r="G4115" s="297" t="s">
        <v>241</v>
      </c>
      <c r="H4115" s="634"/>
      <c r="I4115" s="635"/>
      <c r="J4115" s="639">
        <f t="shared" si="126"/>
        <v>0</v>
      </c>
      <c r="K4115" s="575"/>
      <c r="L4115" s="575"/>
      <c r="M4115" s="575"/>
      <c r="N4115" s="575"/>
      <c r="O4115" s="575"/>
      <c r="P4115" s="575"/>
      <c r="Q4115" s="575"/>
      <c r="R4115" s="575"/>
      <c r="S4115" s="575"/>
      <c r="T4115" s="575"/>
      <c r="U4115" s="575"/>
      <c r="V4115" s="575"/>
      <c r="W4115" s="575"/>
      <c r="X4115" s="575"/>
      <c r="Y4115" s="575"/>
    </row>
    <row r="4116" spans="1:25" s="88" customFormat="1" hidden="1">
      <c r="A4116" s="263"/>
      <c r="B4116" s="263"/>
      <c r="C4116" s="266"/>
      <c r="D4116" s="263"/>
      <c r="E4116" s="263"/>
      <c r="F4116" s="294" t="s">
        <v>242</v>
      </c>
      <c r="G4116" s="297" t="s">
        <v>243</v>
      </c>
      <c r="H4116" s="634"/>
      <c r="I4116" s="635"/>
      <c r="J4116" s="639">
        <f t="shared" si="126"/>
        <v>0</v>
      </c>
      <c r="K4116" s="575"/>
      <c r="L4116" s="575"/>
      <c r="M4116" s="575"/>
      <c r="N4116" s="575"/>
      <c r="O4116" s="575"/>
      <c r="P4116" s="575"/>
      <c r="Q4116" s="575"/>
      <c r="R4116" s="575"/>
      <c r="S4116" s="575"/>
      <c r="T4116" s="575"/>
      <c r="U4116" s="575"/>
      <c r="V4116" s="575"/>
      <c r="W4116" s="575"/>
      <c r="X4116" s="575"/>
      <c r="Y4116" s="575"/>
    </row>
    <row r="4117" spans="1:25" s="88" customFormat="1" hidden="1">
      <c r="A4117" s="263"/>
      <c r="B4117" s="263"/>
      <c r="C4117" s="266"/>
      <c r="D4117" s="263"/>
      <c r="E4117" s="263"/>
      <c r="F4117" s="294" t="s">
        <v>244</v>
      </c>
      <c r="G4117" s="297" t="s">
        <v>245</v>
      </c>
      <c r="H4117" s="634"/>
      <c r="I4117" s="635"/>
      <c r="J4117" s="639">
        <f t="shared" si="126"/>
        <v>0</v>
      </c>
      <c r="K4117" s="575"/>
      <c r="L4117" s="575"/>
      <c r="M4117" s="575"/>
      <c r="N4117" s="575"/>
      <c r="O4117" s="575"/>
      <c r="P4117" s="575"/>
      <c r="Q4117" s="575"/>
      <c r="R4117" s="575"/>
      <c r="S4117" s="575"/>
      <c r="T4117" s="575"/>
      <c r="U4117" s="575"/>
      <c r="V4117" s="575"/>
      <c r="W4117" s="575"/>
      <c r="X4117" s="575"/>
      <c r="Y4117" s="575"/>
    </row>
    <row r="4118" spans="1:25" s="88" customFormat="1" hidden="1">
      <c r="A4118" s="263"/>
      <c r="B4118" s="263"/>
      <c r="C4118" s="266"/>
      <c r="D4118" s="263"/>
      <c r="E4118" s="263"/>
      <c r="F4118" s="294" t="s">
        <v>246</v>
      </c>
      <c r="G4118" s="683" t="s">
        <v>5121</v>
      </c>
      <c r="H4118" s="634"/>
      <c r="I4118" s="635"/>
      <c r="J4118" s="639">
        <f t="shared" si="126"/>
        <v>0</v>
      </c>
      <c r="K4118" s="575"/>
      <c r="L4118" s="575"/>
      <c r="M4118" s="575"/>
      <c r="N4118" s="575"/>
      <c r="O4118" s="575"/>
      <c r="P4118" s="575"/>
      <c r="Q4118" s="575"/>
      <c r="R4118" s="575"/>
      <c r="S4118" s="575"/>
      <c r="T4118" s="575"/>
      <c r="U4118" s="575"/>
      <c r="V4118" s="575"/>
      <c r="W4118" s="575"/>
      <c r="X4118" s="575"/>
      <c r="Y4118" s="575"/>
    </row>
    <row r="4119" spans="1:25" s="88" customFormat="1" hidden="1">
      <c r="A4119" s="263"/>
      <c r="B4119" s="263"/>
      <c r="C4119" s="266"/>
      <c r="D4119" s="263"/>
      <c r="E4119" s="263"/>
      <c r="F4119" s="294" t="s">
        <v>247</v>
      </c>
      <c r="G4119" s="683" t="s">
        <v>5120</v>
      </c>
      <c r="H4119" s="634"/>
      <c r="I4119" s="635"/>
      <c r="J4119" s="639">
        <f t="shared" si="126"/>
        <v>0</v>
      </c>
      <c r="K4119" s="575"/>
      <c r="L4119" s="575"/>
      <c r="M4119" s="575"/>
      <c r="N4119" s="575"/>
      <c r="O4119" s="575"/>
      <c r="P4119" s="575"/>
      <c r="Q4119" s="575"/>
      <c r="R4119" s="575"/>
      <c r="S4119" s="575"/>
      <c r="T4119" s="575"/>
      <c r="U4119" s="575"/>
      <c r="V4119" s="575"/>
      <c r="W4119" s="575"/>
      <c r="X4119" s="575"/>
      <c r="Y4119" s="575"/>
    </row>
    <row r="4120" spans="1:25" s="88" customFormat="1" hidden="1">
      <c r="A4120" s="263"/>
      <c r="B4120" s="263"/>
      <c r="C4120" s="266"/>
      <c r="D4120" s="263"/>
      <c r="E4120" s="263"/>
      <c r="F4120" s="294" t="s">
        <v>248</v>
      </c>
      <c r="G4120" s="297" t="s">
        <v>57</v>
      </c>
      <c r="H4120" s="634"/>
      <c r="I4120" s="635"/>
      <c r="J4120" s="639">
        <f t="shared" si="126"/>
        <v>0</v>
      </c>
      <c r="K4120" s="575"/>
      <c r="L4120" s="575"/>
      <c r="M4120" s="575"/>
      <c r="N4120" s="575"/>
      <c r="O4120" s="575"/>
      <c r="P4120" s="575"/>
      <c r="Q4120" s="575"/>
      <c r="R4120" s="575"/>
      <c r="S4120" s="575"/>
      <c r="T4120" s="575"/>
      <c r="U4120" s="575"/>
      <c r="V4120" s="575"/>
      <c r="W4120" s="575"/>
      <c r="X4120" s="575"/>
      <c r="Y4120" s="575"/>
    </row>
    <row r="4121" spans="1:25" s="88" customFormat="1" hidden="1">
      <c r="A4121" s="263"/>
      <c r="B4121" s="263"/>
      <c r="C4121" s="266"/>
      <c r="D4121" s="263"/>
      <c r="E4121" s="263"/>
      <c r="F4121" s="294" t="s">
        <v>249</v>
      </c>
      <c r="G4121" s="297" t="s">
        <v>250</v>
      </c>
      <c r="H4121" s="634"/>
      <c r="I4121" s="635"/>
      <c r="J4121" s="639">
        <f t="shared" si="126"/>
        <v>0</v>
      </c>
      <c r="K4121" s="575"/>
      <c r="L4121" s="575"/>
      <c r="M4121" s="575"/>
      <c r="N4121" s="575"/>
      <c r="O4121" s="575"/>
      <c r="P4121" s="575"/>
      <c r="Q4121" s="575"/>
      <c r="R4121" s="575"/>
      <c r="S4121" s="575"/>
      <c r="T4121" s="575"/>
      <c r="U4121" s="575"/>
      <c r="V4121" s="575"/>
      <c r="W4121" s="575"/>
      <c r="X4121" s="575"/>
      <c r="Y4121" s="575"/>
    </row>
    <row r="4122" spans="1:25" s="88" customFormat="1" hidden="1">
      <c r="A4122" s="263"/>
      <c r="B4122" s="263"/>
      <c r="C4122" s="266"/>
      <c r="D4122" s="263"/>
      <c r="E4122" s="263"/>
      <c r="F4122" s="294" t="s">
        <v>251</v>
      </c>
      <c r="G4122" s="297" t="s">
        <v>252</v>
      </c>
      <c r="H4122" s="634"/>
      <c r="I4122" s="635"/>
      <c r="J4122" s="639">
        <f t="shared" si="126"/>
        <v>0</v>
      </c>
      <c r="K4122" s="575"/>
      <c r="L4122" s="575"/>
      <c r="M4122" s="575"/>
      <c r="N4122" s="575"/>
      <c r="O4122" s="575"/>
      <c r="P4122" s="575"/>
      <c r="Q4122" s="575"/>
      <c r="R4122" s="575"/>
      <c r="S4122" s="575"/>
      <c r="T4122" s="575"/>
      <c r="U4122" s="575"/>
      <c r="V4122" s="575"/>
      <c r="W4122" s="575"/>
      <c r="X4122" s="575"/>
      <c r="Y4122" s="575"/>
    </row>
    <row r="4123" spans="1:25" s="88" customFormat="1" hidden="1">
      <c r="A4123" s="263"/>
      <c r="B4123" s="263"/>
      <c r="C4123" s="266"/>
      <c r="D4123" s="263"/>
      <c r="E4123" s="263"/>
      <c r="F4123" s="294" t="s">
        <v>253</v>
      </c>
      <c r="G4123" s="297" t="s">
        <v>254</v>
      </c>
      <c r="H4123" s="634"/>
      <c r="I4123" s="635"/>
      <c r="J4123" s="639">
        <f t="shared" si="126"/>
        <v>0</v>
      </c>
      <c r="K4123" s="575"/>
      <c r="L4123" s="575"/>
      <c r="M4123" s="575"/>
      <c r="N4123" s="575"/>
      <c r="O4123" s="575"/>
      <c r="P4123" s="575"/>
      <c r="Q4123" s="575"/>
      <c r="R4123" s="575"/>
      <c r="S4123" s="575"/>
      <c r="T4123" s="575"/>
      <c r="U4123" s="575"/>
      <c r="V4123" s="575"/>
      <c r="W4123" s="575"/>
      <c r="X4123" s="575"/>
      <c r="Y4123" s="575"/>
    </row>
    <row r="4124" spans="1:25" s="88" customFormat="1" hidden="1">
      <c r="A4124" s="263"/>
      <c r="B4124" s="263"/>
      <c r="C4124" s="266"/>
      <c r="D4124" s="263"/>
      <c r="E4124" s="263"/>
      <c r="F4124" s="294" t="s">
        <v>255</v>
      </c>
      <c r="G4124" s="297" t="s">
        <v>256</v>
      </c>
      <c r="H4124" s="634"/>
      <c r="I4124" s="635"/>
      <c r="J4124" s="639">
        <f t="shared" si="126"/>
        <v>0</v>
      </c>
      <c r="K4124" s="575"/>
      <c r="L4124" s="575"/>
      <c r="M4124" s="575"/>
      <c r="N4124" s="575"/>
      <c r="O4124" s="575"/>
      <c r="P4124" s="575"/>
      <c r="Q4124" s="575"/>
      <c r="R4124" s="575"/>
      <c r="S4124" s="575"/>
      <c r="T4124" s="575"/>
      <c r="U4124" s="575"/>
      <c r="V4124" s="575"/>
      <c r="W4124" s="575"/>
      <c r="X4124" s="575"/>
      <c r="Y4124" s="575"/>
    </row>
    <row r="4125" spans="1:25" s="88" customFormat="1" hidden="1">
      <c r="A4125" s="263"/>
      <c r="B4125" s="263"/>
      <c r="C4125" s="266"/>
      <c r="D4125" s="263"/>
      <c r="E4125" s="263"/>
      <c r="F4125" s="294" t="s">
        <v>257</v>
      </c>
      <c r="G4125" s="297" t="s">
        <v>258</v>
      </c>
      <c r="H4125" s="634"/>
      <c r="I4125" s="635"/>
      <c r="J4125" s="639">
        <f t="shared" si="126"/>
        <v>0</v>
      </c>
      <c r="K4125" s="575"/>
      <c r="L4125" s="575"/>
      <c r="M4125" s="575"/>
      <c r="N4125" s="575"/>
      <c r="O4125" s="575"/>
      <c r="P4125" s="575"/>
      <c r="Q4125" s="575"/>
      <c r="R4125" s="575"/>
      <c r="S4125" s="575"/>
      <c r="T4125" s="575"/>
      <c r="U4125" s="575"/>
      <c r="V4125" s="575"/>
      <c r="W4125" s="575"/>
      <c r="X4125" s="575"/>
      <c r="Y4125" s="575"/>
    </row>
    <row r="4126" spans="1:25" s="88" customFormat="1" hidden="1">
      <c r="A4126" s="263"/>
      <c r="B4126" s="263"/>
      <c r="C4126" s="266"/>
      <c r="D4126" s="263"/>
      <c r="E4126" s="263"/>
      <c r="F4126" s="294" t="s">
        <v>259</v>
      </c>
      <c r="G4126" s="297" t="s">
        <v>260</v>
      </c>
      <c r="H4126" s="634"/>
      <c r="I4126" s="635"/>
      <c r="J4126" s="639">
        <f t="shared" si="126"/>
        <v>0</v>
      </c>
      <c r="K4126" s="575"/>
      <c r="L4126" s="575"/>
      <c r="M4126" s="575"/>
      <c r="N4126" s="575"/>
      <c r="O4126" s="575"/>
      <c r="P4126" s="575"/>
      <c r="Q4126" s="575"/>
      <c r="R4126" s="575"/>
      <c r="S4126" s="575"/>
      <c r="T4126" s="575"/>
      <c r="U4126" s="575"/>
      <c r="V4126" s="575"/>
      <c r="W4126" s="575"/>
      <c r="X4126" s="575"/>
      <c r="Y4126" s="575"/>
    </row>
    <row r="4127" spans="1:25" s="88" customFormat="1" ht="15.75" hidden="1" thickBot="1">
      <c r="A4127" s="263"/>
      <c r="B4127" s="263"/>
      <c r="C4127" s="266"/>
      <c r="D4127" s="263"/>
      <c r="E4127" s="263"/>
      <c r="F4127" s="294" t="s">
        <v>261</v>
      </c>
      <c r="G4127" s="297" t="s">
        <v>262</v>
      </c>
      <c r="H4127" s="638"/>
      <c r="I4127" s="639"/>
      <c r="J4127" s="639">
        <f t="shared" si="126"/>
        <v>0</v>
      </c>
      <c r="K4127" s="575"/>
      <c r="L4127" s="575"/>
      <c r="M4127" s="575"/>
      <c r="N4127" s="575"/>
      <c r="O4127" s="575"/>
      <c r="P4127" s="575"/>
      <c r="Q4127" s="575"/>
      <c r="R4127" s="575"/>
      <c r="S4127" s="575"/>
      <c r="T4127" s="575"/>
      <c r="U4127" s="575"/>
      <c r="V4127" s="575"/>
      <c r="W4127" s="575"/>
      <c r="X4127" s="575"/>
      <c r="Y4127" s="575"/>
    </row>
    <row r="4128" spans="1:25" s="88" customFormat="1" ht="15.75" thickBot="1">
      <c r="A4128" s="263"/>
      <c r="B4128" s="263"/>
      <c r="C4128" s="266"/>
      <c r="D4128" s="263"/>
      <c r="E4128" s="263"/>
      <c r="F4128" s="263"/>
      <c r="G4128" s="274" t="s">
        <v>4415</v>
      </c>
      <c r="H4128" s="640">
        <f>SUM(H4112:H4127)</f>
        <v>30170000</v>
      </c>
      <c r="I4128" s="641">
        <f>SUM(I4113:I4127)</f>
        <v>0</v>
      </c>
      <c r="J4128" s="641">
        <f>SUM(J4112:J4127)</f>
        <v>30170000</v>
      </c>
      <c r="K4128" s="575"/>
      <c r="L4128" s="575"/>
      <c r="M4128" s="575"/>
      <c r="N4128" s="575"/>
      <c r="O4128" s="575"/>
      <c r="P4128" s="575"/>
      <c r="Q4128" s="575"/>
      <c r="R4128" s="575"/>
      <c r="S4128" s="575"/>
      <c r="T4128" s="575"/>
      <c r="U4128" s="575"/>
      <c r="V4128" s="575"/>
      <c r="W4128" s="575"/>
      <c r="X4128" s="575"/>
      <c r="Y4128" s="575"/>
    </row>
    <row r="4129" spans="1:25" s="88" customFormat="1" ht="6" customHeight="1">
      <c r="A4129" s="263"/>
      <c r="B4129" s="263"/>
      <c r="C4129" s="266"/>
      <c r="D4129" s="263"/>
      <c r="E4129" s="263"/>
      <c r="F4129" s="263"/>
      <c r="G4129" s="331"/>
      <c r="H4129" s="644"/>
      <c r="I4129" s="645"/>
      <c r="J4129" s="645"/>
      <c r="K4129" s="575"/>
      <c r="L4129" s="575"/>
      <c r="M4129" s="575"/>
      <c r="N4129" s="575"/>
      <c r="O4129" s="575"/>
      <c r="P4129" s="575"/>
      <c r="Q4129" s="575"/>
      <c r="R4129" s="575"/>
      <c r="S4129" s="575"/>
      <c r="T4129" s="575"/>
      <c r="U4129" s="575"/>
      <c r="V4129" s="575"/>
      <c r="W4129" s="575"/>
      <c r="X4129" s="575"/>
      <c r="Y4129" s="575"/>
    </row>
    <row r="4130" spans="1:25" s="88" customFormat="1">
      <c r="A4130" s="422"/>
      <c r="B4130" s="301"/>
      <c r="C4130" s="321" t="s">
        <v>4420</v>
      </c>
      <c r="D4130" s="264"/>
      <c r="E4130" s="264"/>
      <c r="F4130" s="322"/>
      <c r="G4130" s="444" t="s">
        <v>5257</v>
      </c>
      <c r="H4130" s="667"/>
      <c r="I4130" s="650"/>
      <c r="J4130" s="668"/>
      <c r="K4130" s="575"/>
      <c r="L4130" s="575"/>
      <c r="M4130" s="575"/>
      <c r="N4130" s="575"/>
      <c r="O4130" s="575"/>
      <c r="P4130" s="575"/>
      <c r="Q4130" s="575"/>
      <c r="R4130" s="575"/>
      <c r="S4130" s="575"/>
      <c r="T4130" s="575"/>
      <c r="U4130" s="575"/>
      <c r="V4130" s="575"/>
      <c r="W4130" s="575"/>
      <c r="X4130" s="575"/>
      <c r="Y4130" s="575"/>
    </row>
    <row r="4131" spans="1:25" s="88" customFormat="1" ht="30">
      <c r="A4131" s="263"/>
      <c r="B4131" s="263"/>
      <c r="C4131" s="273"/>
      <c r="D4131" s="357">
        <v>660</v>
      </c>
      <c r="E4131" s="357"/>
      <c r="F4131" s="357"/>
      <c r="G4131" s="358" t="s">
        <v>186</v>
      </c>
      <c r="H4131" s="634"/>
      <c r="I4131" s="635"/>
      <c r="J4131" s="635"/>
      <c r="K4131" s="575"/>
      <c r="L4131" s="575"/>
      <c r="M4131" s="575"/>
      <c r="N4131" s="575"/>
      <c r="O4131" s="575"/>
      <c r="P4131" s="575"/>
      <c r="Q4131" s="575"/>
      <c r="R4131" s="575"/>
      <c r="S4131" s="575"/>
      <c r="T4131" s="575"/>
      <c r="U4131" s="575"/>
      <c r="V4131" s="575"/>
      <c r="W4131" s="575"/>
      <c r="X4131" s="575"/>
      <c r="Y4131" s="575"/>
    </row>
    <row r="4132" spans="1:25" s="88" customFormat="1" hidden="1">
      <c r="A4132" s="263"/>
      <c r="B4132" s="263"/>
      <c r="C4132" s="266"/>
      <c r="D4132" s="263"/>
      <c r="E4132" s="263"/>
      <c r="F4132" s="425">
        <v>411</v>
      </c>
      <c r="G4132" s="420" t="s">
        <v>4173</v>
      </c>
      <c r="H4132" s="634"/>
      <c r="I4132" s="635"/>
      <c r="J4132" s="635">
        <f>SUM(H4132:I4132)</f>
        <v>0</v>
      </c>
      <c r="K4132" s="575"/>
      <c r="L4132" s="575"/>
      <c r="M4132" s="575"/>
      <c r="N4132" s="575"/>
      <c r="O4132" s="575"/>
      <c r="P4132" s="575"/>
      <c r="Q4132" s="575"/>
      <c r="R4132" s="575"/>
      <c r="S4132" s="575"/>
      <c r="T4132" s="575"/>
      <c r="U4132" s="575"/>
      <c r="V4132" s="575"/>
      <c r="W4132" s="575"/>
      <c r="X4132" s="575"/>
      <c r="Y4132" s="575"/>
    </row>
    <row r="4133" spans="1:25" s="88" customFormat="1" hidden="1">
      <c r="A4133" s="263"/>
      <c r="B4133" s="263"/>
      <c r="C4133" s="266"/>
      <c r="D4133" s="263"/>
      <c r="E4133" s="263"/>
      <c r="F4133" s="425">
        <v>412</v>
      </c>
      <c r="G4133" s="418" t="s">
        <v>3770</v>
      </c>
      <c r="H4133" s="634"/>
      <c r="I4133" s="635"/>
      <c r="J4133" s="635">
        <f t="shared" ref="J4133:J4191" si="127">SUM(H4133:I4133)</f>
        <v>0</v>
      </c>
      <c r="K4133" s="575"/>
      <c r="L4133" s="575"/>
      <c r="M4133" s="575"/>
      <c r="N4133" s="575"/>
      <c r="O4133" s="575"/>
      <c r="P4133" s="575"/>
      <c r="Q4133" s="575"/>
      <c r="R4133" s="575"/>
      <c r="S4133" s="575"/>
      <c r="T4133" s="575"/>
      <c r="U4133" s="575"/>
      <c r="V4133" s="575"/>
      <c r="W4133" s="575"/>
      <c r="X4133" s="575"/>
      <c r="Y4133" s="575"/>
    </row>
    <row r="4134" spans="1:25" s="88" customFormat="1" hidden="1">
      <c r="A4134" s="263"/>
      <c r="B4134" s="263"/>
      <c r="C4134" s="266"/>
      <c r="D4134" s="263"/>
      <c r="E4134" s="263"/>
      <c r="F4134" s="425">
        <v>413</v>
      </c>
      <c r="G4134" s="420" t="s">
        <v>4174</v>
      </c>
      <c r="H4134" s="634"/>
      <c r="I4134" s="635"/>
      <c r="J4134" s="635">
        <f t="shared" si="127"/>
        <v>0</v>
      </c>
      <c r="K4134" s="575"/>
      <c r="L4134" s="575"/>
      <c r="M4134" s="575"/>
      <c r="N4134" s="575"/>
      <c r="O4134" s="575"/>
      <c r="P4134" s="575"/>
      <c r="Q4134" s="575"/>
      <c r="R4134" s="575"/>
      <c r="S4134" s="575"/>
      <c r="T4134" s="575"/>
      <c r="U4134" s="575"/>
      <c r="V4134" s="575"/>
      <c r="W4134" s="575"/>
      <c r="X4134" s="575"/>
      <c r="Y4134" s="575"/>
    </row>
    <row r="4135" spans="1:25" s="88" customFormat="1" hidden="1">
      <c r="A4135" s="263"/>
      <c r="B4135" s="263"/>
      <c r="C4135" s="266"/>
      <c r="D4135" s="263"/>
      <c r="E4135" s="263"/>
      <c r="F4135" s="425">
        <v>414</v>
      </c>
      <c r="G4135" s="420" t="s">
        <v>3773</v>
      </c>
      <c r="H4135" s="634"/>
      <c r="I4135" s="635"/>
      <c r="J4135" s="635">
        <f t="shared" si="127"/>
        <v>0</v>
      </c>
      <c r="K4135" s="575"/>
      <c r="L4135" s="575"/>
      <c r="M4135" s="575"/>
      <c r="N4135" s="575"/>
      <c r="O4135" s="575"/>
      <c r="P4135" s="575"/>
      <c r="Q4135" s="575"/>
      <c r="R4135" s="575"/>
      <c r="S4135" s="575"/>
      <c r="T4135" s="575"/>
      <c r="U4135" s="575"/>
      <c r="V4135" s="575"/>
      <c r="W4135" s="575"/>
      <c r="X4135" s="575"/>
      <c r="Y4135" s="575"/>
    </row>
    <row r="4136" spans="1:25" s="88" customFormat="1" hidden="1">
      <c r="A4136" s="263"/>
      <c r="B4136" s="263"/>
      <c r="C4136" s="266"/>
      <c r="D4136" s="263"/>
      <c r="E4136" s="263"/>
      <c r="F4136" s="425">
        <v>415</v>
      </c>
      <c r="G4136" s="420" t="s">
        <v>4183</v>
      </c>
      <c r="H4136" s="634"/>
      <c r="I4136" s="635"/>
      <c r="J4136" s="635">
        <f t="shared" si="127"/>
        <v>0</v>
      </c>
      <c r="K4136" s="575"/>
      <c r="L4136" s="575"/>
      <c r="M4136" s="575"/>
      <c r="N4136" s="575"/>
      <c r="O4136" s="575"/>
      <c r="P4136" s="575"/>
      <c r="Q4136" s="575"/>
      <c r="R4136" s="575"/>
      <c r="S4136" s="575"/>
      <c r="T4136" s="575"/>
      <c r="U4136" s="575"/>
      <c r="V4136" s="575"/>
      <c r="W4136" s="575"/>
      <c r="X4136" s="575"/>
      <c r="Y4136" s="575"/>
    </row>
    <row r="4137" spans="1:25" s="88" customFormat="1" hidden="1">
      <c r="A4137" s="263"/>
      <c r="B4137" s="263"/>
      <c r="C4137" s="266"/>
      <c r="D4137" s="263"/>
      <c r="E4137" s="263"/>
      <c r="F4137" s="425">
        <v>416</v>
      </c>
      <c r="G4137" s="420" t="s">
        <v>4184</v>
      </c>
      <c r="H4137" s="634"/>
      <c r="I4137" s="635"/>
      <c r="J4137" s="635">
        <f t="shared" si="127"/>
        <v>0</v>
      </c>
      <c r="K4137" s="575"/>
      <c r="L4137" s="575"/>
      <c r="M4137" s="575"/>
      <c r="N4137" s="575"/>
      <c r="O4137" s="575"/>
      <c r="P4137" s="575"/>
      <c r="Q4137" s="575"/>
      <c r="R4137" s="575"/>
      <c r="S4137" s="575"/>
      <c r="T4137" s="575"/>
      <c r="U4137" s="575"/>
      <c r="V4137" s="575"/>
      <c r="W4137" s="575"/>
      <c r="X4137" s="575"/>
      <c r="Y4137" s="575"/>
    </row>
    <row r="4138" spans="1:25" s="88" customFormat="1" hidden="1">
      <c r="A4138" s="263"/>
      <c r="B4138" s="263"/>
      <c r="C4138" s="266"/>
      <c r="D4138" s="263"/>
      <c r="E4138" s="263"/>
      <c r="F4138" s="425">
        <v>417</v>
      </c>
      <c r="G4138" s="420" t="s">
        <v>4185</v>
      </c>
      <c r="H4138" s="634"/>
      <c r="I4138" s="635"/>
      <c r="J4138" s="635">
        <f t="shared" si="127"/>
        <v>0</v>
      </c>
      <c r="K4138" s="575"/>
      <c r="L4138" s="575"/>
      <c r="M4138" s="575"/>
      <c r="N4138" s="575"/>
      <c r="O4138" s="575"/>
      <c r="P4138" s="575"/>
      <c r="Q4138" s="575"/>
      <c r="R4138" s="575"/>
      <c r="S4138" s="575"/>
      <c r="T4138" s="575"/>
      <c r="U4138" s="575"/>
      <c r="V4138" s="575"/>
      <c r="W4138" s="575"/>
      <c r="X4138" s="575"/>
      <c r="Y4138" s="575"/>
    </row>
    <row r="4139" spans="1:25" s="88" customFormat="1" hidden="1">
      <c r="A4139" s="263"/>
      <c r="B4139" s="263"/>
      <c r="C4139" s="266"/>
      <c r="D4139" s="263"/>
      <c r="E4139" s="263"/>
      <c r="F4139" s="425">
        <v>418</v>
      </c>
      <c r="G4139" s="420" t="s">
        <v>3779</v>
      </c>
      <c r="H4139" s="634"/>
      <c r="I4139" s="635"/>
      <c r="J4139" s="635">
        <f t="shared" si="127"/>
        <v>0</v>
      </c>
      <c r="K4139" s="575"/>
      <c r="L4139" s="575"/>
      <c r="M4139" s="575"/>
      <c r="N4139" s="575"/>
      <c r="O4139" s="575"/>
      <c r="P4139" s="575"/>
      <c r="Q4139" s="575"/>
      <c r="R4139" s="575"/>
      <c r="S4139" s="575"/>
      <c r="T4139" s="575"/>
      <c r="U4139" s="575"/>
      <c r="V4139" s="575"/>
      <c r="W4139" s="575"/>
      <c r="X4139" s="575"/>
      <c r="Y4139" s="575"/>
    </row>
    <row r="4140" spans="1:25" s="88" customFormat="1" hidden="1">
      <c r="A4140" s="263"/>
      <c r="B4140" s="263"/>
      <c r="C4140" s="266"/>
      <c r="D4140" s="263"/>
      <c r="E4140" s="263"/>
      <c r="F4140" s="425">
        <v>421</v>
      </c>
      <c r="G4140" s="420" t="s">
        <v>3783</v>
      </c>
      <c r="H4140" s="634"/>
      <c r="I4140" s="635"/>
      <c r="J4140" s="635">
        <f t="shared" si="127"/>
        <v>0</v>
      </c>
      <c r="K4140" s="575"/>
      <c r="L4140" s="575"/>
      <c r="M4140" s="575"/>
      <c r="N4140" s="575"/>
      <c r="O4140" s="575"/>
      <c r="P4140" s="575"/>
      <c r="Q4140" s="575"/>
      <c r="R4140" s="575"/>
      <c r="S4140" s="575"/>
      <c r="T4140" s="575"/>
      <c r="U4140" s="575"/>
      <c r="V4140" s="575"/>
      <c r="W4140" s="575"/>
      <c r="X4140" s="575"/>
      <c r="Y4140" s="575"/>
    </row>
    <row r="4141" spans="1:25" s="88" customFormat="1" hidden="1">
      <c r="A4141" s="263"/>
      <c r="B4141" s="263"/>
      <c r="C4141" s="266"/>
      <c r="D4141" s="263"/>
      <c r="E4141" s="263"/>
      <c r="F4141" s="425">
        <v>422</v>
      </c>
      <c r="G4141" s="420" t="s">
        <v>3784</v>
      </c>
      <c r="H4141" s="634"/>
      <c r="I4141" s="635"/>
      <c r="J4141" s="635">
        <f t="shared" si="127"/>
        <v>0</v>
      </c>
      <c r="K4141" s="575"/>
      <c r="L4141" s="575"/>
      <c r="M4141" s="575"/>
      <c r="N4141" s="575"/>
      <c r="O4141" s="575"/>
      <c r="P4141" s="575"/>
      <c r="Q4141" s="575"/>
      <c r="R4141" s="575"/>
      <c r="S4141" s="575"/>
      <c r="T4141" s="575"/>
      <c r="U4141" s="575"/>
      <c r="V4141" s="575"/>
      <c r="W4141" s="575"/>
      <c r="X4141" s="575"/>
      <c r="Y4141" s="575"/>
    </row>
    <row r="4142" spans="1:25" s="88" customFormat="1" hidden="1">
      <c r="A4142" s="263"/>
      <c r="B4142" s="263"/>
      <c r="C4142" s="266"/>
      <c r="D4142" s="263"/>
      <c r="E4142" s="263"/>
      <c r="F4142" s="425">
        <v>423</v>
      </c>
      <c r="G4142" s="420" t="s">
        <v>3785</v>
      </c>
      <c r="H4142" s="634"/>
      <c r="I4142" s="635"/>
      <c r="J4142" s="635">
        <f t="shared" si="127"/>
        <v>0</v>
      </c>
      <c r="K4142" s="575"/>
      <c r="L4142" s="575"/>
      <c r="M4142" s="575"/>
      <c r="N4142" s="575"/>
      <c r="O4142" s="575"/>
      <c r="P4142" s="575"/>
      <c r="Q4142" s="575"/>
      <c r="R4142" s="575"/>
      <c r="S4142" s="575"/>
      <c r="T4142" s="575"/>
      <c r="U4142" s="575"/>
      <c r="V4142" s="575"/>
      <c r="W4142" s="575"/>
      <c r="X4142" s="575"/>
      <c r="Y4142" s="575"/>
    </row>
    <row r="4143" spans="1:25" s="88" customFormat="1" ht="15.75" thickBot="1">
      <c r="A4143" s="263"/>
      <c r="B4143" s="263"/>
      <c r="C4143" s="266"/>
      <c r="D4143" s="263"/>
      <c r="E4143" s="263">
        <v>70</v>
      </c>
      <c r="F4143" s="425">
        <v>424</v>
      </c>
      <c r="G4143" s="420" t="s">
        <v>3787</v>
      </c>
      <c r="H4143" s="634">
        <v>14000000</v>
      </c>
      <c r="I4143" s="635"/>
      <c r="J4143" s="635">
        <f t="shared" si="127"/>
        <v>14000000</v>
      </c>
      <c r="K4143" s="575"/>
      <c r="L4143" s="575"/>
      <c r="M4143" s="575"/>
      <c r="N4143" s="575"/>
      <c r="O4143" s="575"/>
      <c r="P4143" s="575"/>
      <c r="Q4143" s="575"/>
      <c r="R4143" s="575"/>
      <c r="S4143" s="575"/>
      <c r="T4143" s="575"/>
      <c r="U4143" s="575"/>
      <c r="V4143" s="575"/>
      <c r="W4143" s="575"/>
      <c r="X4143" s="575"/>
      <c r="Y4143" s="575"/>
    </row>
    <row r="4144" spans="1:25" s="88" customFormat="1" ht="2.25" hidden="1" customHeight="1" thickBot="1">
      <c r="A4144" s="263"/>
      <c r="B4144" s="263"/>
      <c r="C4144" s="266"/>
      <c r="D4144" s="263"/>
      <c r="E4144" s="263"/>
      <c r="F4144" s="425">
        <v>425</v>
      </c>
      <c r="G4144" s="420" t="s">
        <v>4186</v>
      </c>
      <c r="H4144" s="634"/>
      <c r="I4144" s="635"/>
      <c r="J4144" s="635">
        <f t="shared" si="127"/>
        <v>0</v>
      </c>
      <c r="K4144" s="575"/>
      <c r="L4144" s="575"/>
      <c r="M4144" s="575"/>
      <c r="N4144" s="575"/>
      <c r="O4144" s="575"/>
      <c r="P4144" s="575"/>
      <c r="Q4144" s="575"/>
      <c r="R4144" s="575"/>
      <c r="S4144" s="575"/>
      <c r="T4144" s="575"/>
      <c r="U4144" s="575"/>
      <c r="V4144" s="575"/>
      <c r="W4144" s="575"/>
      <c r="X4144" s="575"/>
      <c r="Y4144" s="575"/>
    </row>
    <row r="4145" spans="1:25" s="88" customFormat="1" ht="15.75" hidden="1" thickBot="1">
      <c r="A4145" s="263"/>
      <c r="B4145" s="263"/>
      <c r="C4145" s="266"/>
      <c r="D4145" s="263"/>
      <c r="E4145" s="263"/>
      <c r="F4145" s="425">
        <v>426</v>
      </c>
      <c r="G4145" s="420" t="s">
        <v>3791</v>
      </c>
      <c r="H4145" s="634"/>
      <c r="I4145" s="635"/>
      <c r="J4145" s="635">
        <f t="shared" si="127"/>
        <v>0</v>
      </c>
      <c r="K4145" s="575"/>
      <c r="L4145" s="575"/>
      <c r="M4145" s="575"/>
      <c r="N4145" s="575"/>
      <c r="O4145" s="575"/>
      <c r="P4145" s="575"/>
      <c r="Q4145" s="575"/>
      <c r="R4145" s="575"/>
      <c r="S4145" s="575"/>
      <c r="T4145" s="575"/>
      <c r="U4145" s="575"/>
      <c r="V4145" s="575"/>
      <c r="W4145" s="575"/>
      <c r="X4145" s="575"/>
      <c r="Y4145" s="575"/>
    </row>
    <row r="4146" spans="1:25" s="88" customFormat="1" hidden="1">
      <c r="A4146" s="263"/>
      <c r="B4146" s="263"/>
      <c r="C4146" s="266"/>
      <c r="D4146" s="263"/>
      <c r="E4146" s="263"/>
      <c r="F4146" s="425">
        <v>431</v>
      </c>
      <c r="G4146" s="420" t="s">
        <v>4187</v>
      </c>
      <c r="H4146" s="634"/>
      <c r="I4146" s="635"/>
      <c r="J4146" s="635">
        <f t="shared" si="127"/>
        <v>0</v>
      </c>
      <c r="K4146" s="575"/>
      <c r="L4146" s="575"/>
      <c r="M4146" s="575"/>
      <c r="N4146" s="575"/>
      <c r="O4146" s="575"/>
      <c r="P4146" s="575"/>
      <c r="Q4146" s="575"/>
      <c r="R4146" s="575"/>
      <c r="S4146" s="575"/>
      <c r="T4146" s="575"/>
      <c r="U4146" s="575"/>
      <c r="V4146" s="575"/>
      <c r="W4146" s="575"/>
      <c r="X4146" s="575"/>
      <c r="Y4146" s="575"/>
    </row>
    <row r="4147" spans="1:25" s="88" customFormat="1" hidden="1">
      <c r="A4147" s="263"/>
      <c r="B4147" s="263"/>
      <c r="C4147" s="266"/>
      <c r="D4147" s="263"/>
      <c r="E4147" s="263"/>
      <c r="F4147" s="425">
        <v>432</v>
      </c>
      <c r="G4147" s="420" t="s">
        <v>4188</v>
      </c>
      <c r="H4147" s="634"/>
      <c r="I4147" s="635"/>
      <c r="J4147" s="635">
        <f t="shared" si="127"/>
        <v>0</v>
      </c>
      <c r="K4147" s="575"/>
      <c r="L4147" s="575"/>
      <c r="M4147" s="575"/>
      <c r="N4147" s="575"/>
      <c r="O4147" s="575"/>
      <c r="P4147" s="575"/>
      <c r="Q4147" s="575"/>
      <c r="R4147" s="575"/>
      <c r="S4147" s="575"/>
      <c r="T4147" s="575"/>
      <c r="U4147" s="575"/>
      <c r="V4147" s="575"/>
      <c r="W4147" s="575"/>
      <c r="X4147" s="575"/>
      <c r="Y4147" s="575"/>
    </row>
    <row r="4148" spans="1:25" s="88" customFormat="1" hidden="1">
      <c r="A4148" s="263"/>
      <c r="B4148" s="263"/>
      <c r="C4148" s="266"/>
      <c r="D4148" s="263"/>
      <c r="E4148" s="263"/>
      <c r="F4148" s="425">
        <v>433</v>
      </c>
      <c r="G4148" s="420" t="s">
        <v>4189</v>
      </c>
      <c r="H4148" s="634"/>
      <c r="I4148" s="635"/>
      <c r="J4148" s="635">
        <f t="shared" si="127"/>
        <v>0</v>
      </c>
      <c r="K4148" s="575"/>
      <c r="L4148" s="575"/>
      <c r="M4148" s="575"/>
      <c r="N4148" s="575"/>
      <c r="O4148" s="575"/>
      <c r="P4148" s="575"/>
      <c r="Q4148" s="575"/>
      <c r="R4148" s="575"/>
      <c r="S4148" s="575"/>
      <c r="T4148" s="575"/>
      <c r="U4148" s="575"/>
      <c r="V4148" s="575"/>
      <c r="W4148" s="575"/>
      <c r="X4148" s="575"/>
      <c r="Y4148" s="575"/>
    </row>
    <row r="4149" spans="1:25" s="88" customFormat="1" hidden="1">
      <c r="A4149" s="263"/>
      <c r="B4149" s="263"/>
      <c r="C4149" s="266"/>
      <c r="D4149" s="263"/>
      <c r="E4149" s="263"/>
      <c r="F4149" s="425">
        <v>434</v>
      </c>
      <c r="G4149" s="420" t="s">
        <v>4190</v>
      </c>
      <c r="H4149" s="634"/>
      <c r="I4149" s="635"/>
      <c r="J4149" s="635">
        <f t="shared" si="127"/>
        <v>0</v>
      </c>
      <c r="K4149" s="575"/>
      <c r="L4149" s="575"/>
      <c r="M4149" s="575"/>
      <c r="N4149" s="575"/>
      <c r="O4149" s="575"/>
      <c r="P4149" s="575"/>
      <c r="Q4149" s="575"/>
      <c r="R4149" s="575"/>
      <c r="S4149" s="575"/>
      <c r="T4149" s="575"/>
      <c r="U4149" s="575"/>
      <c r="V4149" s="575"/>
      <c r="W4149" s="575"/>
      <c r="X4149" s="575"/>
      <c r="Y4149" s="575"/>
    </row>
    <row r="4150" spans="1:25" s="88" customFormat="1" hidden="1">
      <c r="A4150" s="263"/>
      <c r="B4150" s="263"/>
      <c r="C4150" s="266"/>
      <c r="D4150" s="263"/>
      <c r="E4150" s="263"/>
      <c r="F4150" s="425">
        <v>435</v>
      </c>
      <c r="G4150" s="420" t="s">
        <v>3798</v>
      </c>
      <c r="H4150" s="634"/>
      <c r="I4150" s="635"/>
      <c r="J4150" s="635">
        <f t="shared" si="127"/>
        <v>0</v>
      </c>
      <c r="K4150" s="575"/>
      <c r="L4150" s="575"/>
      <c r="M4150" s="575"/>
      <c r="N4150" s="575"/>
      <c r="O4150" s="575"/>
      <c r="P4150" s="575"/>
      <c r="Q4150" s="575"/>
      <c r="R4150" s="575"/>
      <c r="S4150" s="575"/>
      <c r="T4150" s="575"/>
      <c r="U4150" s="575"/>
      <c r="V4150" s="575"/>
      <c r="W4150" s="575"/>
      <c r="X4150" s="575"/>
      <c r="Y4150" s="575"/>
    </row>
    <row r="4151" spans="1:25" s="88" customFormat="1" hidden="1">
      <c r="A4151" s="263"/>
      <c r="B4151" s="263"/>
      <c r="C4151" s="266"/>
      <c r="D4151" s="263"/>
      <c r="E4151" s="263"/>
      <c r="F4151" s="425">
        <v>441</v>
      </c>
      <c r="G4151" s="420" t="s">
        <v>4191</v>
      </c>
      <c r="H4151" s="634"/>
      <c r="I4151" s="635"/>
      <c r="J4151" s="635">
        <f t="shared" si="127"/>
        <v>0</v>
      </c>
      <c r="K4151" s="575"/>
      <c r="L4151" s="575"/>
      <c r="M4151" s="575"/>
      <c r="N4151" s="575"/>
      <c r="O4151" s="575"/>
      <c r="P4151" s="575"/>
      <c r="Q4151" s="575"/>
      <c r="R4151" s="575"/>
      <c r="S4151" s="575"/>
      <c r="T4151" s="575"/>
      <c r="U4151" s="575"/>
      <c r="V4151" s="575"/>
      <c r="W4151" s="575"/>
      <c r="X4151" s="575"/>
      <c r="Y4151" s="575"/>
    </row>
    <row r="4152" spans="1:25" s="88" customFormat="1" hidden="1">
      <c r="A4152" s="263"/>
      <c r="B4152" s="263"/>
      <c r="C4152" s="266"/>
      <c r="D4152" s="263"/>
      <c r="E4152" s="263"/>
      <c r="F4152" s="425">
        <v>442</v>
      </c>
      <c r="G4152" s="420" t="s">
        <v>4192</v>
      </c>
      <c r="H4152" s="634"/>
      <c r="I4152" s="635"/>
      <c r="J4152" s="635">
        <f t="shared" si="127"/>
        <v>0</v>
      </c>
      <c r="K4152" s="575"/>
      <c r="L4152" s="575"/>
      <c r="M4152" s="575"/>
      <c r="N4152" s="575"/>
      <c r="O4152" s="575"/>
      <c r="P4152" s="575"/>
      <c r="Q4152" s="575"/>
      <c r="R4152" s="575"/>
      <c r="S4152" s="575"/>
      <c r="T4152" s="575"/>
      <c r="U4152" s="575"/>
      <c r="V4152" s="575"/>
      <c r="W4152" s="575"/>
      <c r="X4152" s="575"/>
      <c r="Y4152" s="575"/>
    </row>
    <row r="4153" spans="1:25" s="88" customFormat="1" hidden="1">
      <c r="A4153" s="263"/>
      <c r="B4153" s="263"/>
      <c r="C4153" s="266"/>
      <c r="D4153" s="263"/>
      <c r="E4153" s="263"/>
      <c r="F4153" s="425">
        <v>443</v>
      </c>
      <c r="G4153" s="420" t="s">
        <v>3803</v>
      </c>
      <c r="H4153" s="634"/>
      <c r="I4153" s="635"/>
      <c r="J4153" s="635">
        <f t="shared" si="127"/>
        <v>0</v>
      </c>
      <c r="K4153" s="575"/>
      <c r="L4153" s="575"/>
      <c r="M4153" s="575"/>
      <c r="N4153" s="575"/>
      <c r="O4153" s="575"/>
      <c r="P4153" s="575"/>
      <c r="Q4153" s="575"/>
      <c r="R4153" s="575"/>
      <c r="S4153" s="575"/>
      <c r="T4153" s="575"/>
      <c r="U4153" s="575"/>
      <c r="V4153" s="575"/>
      <c r="W4153" s="575"/>
      <c r="X4153" s="575"/>
      <c r="Y4153" s="575"/>
    </row>
    <row r="4154" spans="1:25" s="88" customFormat="1" hidden="1">
      <c r="A4154" s="263"/>
      <c r="B4154" s="263"/>
      <c r="C4154" s="266"/>
      <c r="D4154" s="263"/>
      <c r="E4154" s="263"/>
      <c r="F4154" s="425">
        <v>444</v>
      </c>
      <c r="G4154" s="420" t="s">
        <v>3804</v>
      </c>
      <c r="H4154" s="634"/>
      <c r="I4154" s="635"/>
      <c r="J4154" s="635">
        <f t="shared" si="127"/>
        <v>0</v>
      </c>
      <c r="K4154" s="575"/>
      <c r="L4154" s="575"/>
      <c r="M4154" s="575"/>
      <c r="N4154" s="575"/>
      <c r="O4154" s="575"/>
      <c r="P4154" s="575"/>
      <c r="Q4154" s="575"/>
      <c r="R4154" s="575"/>
      <c r="S4154" s="575"/>
      <c r="T4154" s="575"/>
      <c r="U4154" s="575"/>
      <c r="V4154" s="575"/>
      <c r="W4154" s="575"/>
      <c r="X4154" s="575"/>
      <c r="Y4154" s="575"/>
    </row>
    <row r="4155" spans="1:25" s="88" customFormat="1" ht="30" hidden="1">
      <c r="A4155" s="263"/>
      <c r="B4155" s="263"/>
      <c r="C4155" s="266"/>
      <c r="D4155" s="263"/>
      <c r="E4155" s="263"/>
      <c r="F4155" s="425">
        <v>4511</v>
      </c>
      <c r="G4155" s="268" t="s">
        <v>1690</v>
      </c>
      <c r="H4155" s="634"/>
      <c r="I4155" s="635"/>
      <c r="J4155" s="635">
        <f t="shared" si="127"/>
        <v>0</v>
      </c>
      <c r="K4155" s="575"/>
      <c r="L4155" s="575"/>
      <c r="M4155" s="575"/>
      <c r="N4155" s="575"/>
      <c r="O4155" s="575"/>
      <c r="P4155" s="575"/>
      <c r="Q4155" s="575"/>
      <c r="R4155" s="575"/>
      <c r="S4155" s="575"/>
      <c r="T4155" s="575"/>
      <c r="U4155" s="575"/>
      <c r="V4155" s="575"/>
      <c r="W4155" s="575"/>
      <c r="X4155" s="575"/>
      <c r="Y4155" s="575"/>
    </row>
    <row r="4156" spans="1:25" s="88" customFormat="1" ht="30" hidden="1">
      <c r="A4156" s="263"/>
      <c r="B4156" s="263"/>
      <c r="C4156" s="266"/>
      <c r="D4156" s="263"/>
      <c r="E4156" s="263"/>
      <c r="F4156" s="425">
        <v>4512</v>
      </c>
      <c r="G4156" s="268" t="s">
        <v>1699</v>
      </c>
      <c r="H4156" s="634"/>
      <c r="I4156" s="635"/>
      <c r="J4156" s="635">
        <f t="shared" si="127"/>
        <v>0</v>
      </c>
      <c r="K4156" s="575"/>
      <c r="L4156" s="575"/>
      <c r="M4156" s="575"/>
      <c r="N4156" s="575"/>
      <c r="O4156" s="575"/>
      <c r="P4156" s="575"/>
      <c r="Q4156" s="575"/>
      <c r="R4156" s="575"/>
      <c r="S4156" s="575"/>
      <c r="T4156" s="575"/>
      <c r="U4156" s="575"/>
      <c r="V4156" s="575"/>
      <c r="W4156" s="575"/>
      <c r="X4156" s="575"/>
      <c r="Y4156" s="575"/>
    </row>
    <row r="4157" spans="1:25" s="88" customFormat="1" hidden="1">
      <c r="A4157" s="263"/>
      <c r="B4157" s="263"/>
      <c r="C4157" s="266"/>
      <c r="D4157" s="263"/>
      <c r="E4157" s="263"/>
      <c r="F4157" s="425">
        <v>452</v>
      </c>
      <c r="G4157" s="420" t="s">
        <v>4193</v>
      </c>
      <c r="H4157" s="634"/>
      <c r="I4157" s="635"/>
      <c r="J4157" s="635">
        <f t="shared" si="127"/>
        <v>0</v>
      </c>
      <c r="K4157" s="575"/>
      <c r="L4157" s="575"/>
      <c r="M4157" s="575"/>
      <c r="N4157" s="575"/>
      <c r="O4157" s="575"/>
      <c r="P4157" s="575"/>
      <c r="Q4157" s="575"/>
      <c r="R4157" s="575"/>
      <c r="S4157" s="575"/>
      <c r="T4157" s="575"/>
      <c r="U4157" s="575"/>
      <c r="V4157" s="575"/>
      <c r="W4157" s="575"/>
      <c r="X4157" s="575"/>
      <c r="Y4157" s="575"/>
    </row>
    <row r="4158" spans="1:25" s="88" customFormat="1" hidden="1">
      <c r="A4158" s="263"/>
      <c r="B4158" s="263"/>
      <c r="C4158" s="266"/>
      <c r="D4158" s="263"/>
      <c r="E4158" s="263"/>
      <c r="F4158" s="425">
        <v>453</v>
      </c>
      <c r="G4158" s="420" t="s">
        <v>4194</v>
      </c>
      <c r="H4158" s="634"/>
      <c r="I4158" s="635"/>
      <c r="J4158" s="635">
        <f t="shared" si="127"/>
        <v>0</v>
      </c>
      <c r="K4158" s="575"/>
      <c r="L4158" s="575"/>
      <c r="M4158" s="575"/>
      <c r="N4158" s="575"/>
      <c r="O4158" s="575"/>
      <c r="P4158" s="575"/>
      <c r="Q4158" s="575"/>
      <c r="R4158" s="575"/>
      <c r="S4158" s="575"/>
      <c r="T4158" s="575"/>
      <c r="U4158" s="575"/>
      <c r="V4158" s="575"/>
      <c r="W4158" s="575"/>
      <c r="X4158" s="575"/>
      <c r="Y4158" s="575"/>
    </row>
    <row r="4159" spans="1:25" s="88" customFormat="1" hidden="1">
      <c r="A4159" s="263"/>
      <c r="B4159" s="263"/>
      <c r="C4159" s="266"/>
      <c r="D4159" s="263"/>
      <c r="E4159" s="263"/>
      <c r="F4159" s="425">
        <v>454</v>
      </c>
      <c r="G4159" s="420" t="s">
        <v>3809</v>
      </c>
      <c r="H4159" s="634"/>
      <c r="I4159" s="635"/>
      <c r="J4159" s="635">
        <f t="shared" si="127"/>
        <v>0</v>
      </c>
      <c r="K4159" s="575"/>
      <c r="L4159" s="575"/>
      <c r="M4159" s="575"/>
      <c r="N4159" s="575"/>
      <c r="O4159" s="575"/>
      <c r="P4159" s="575"/>
      <c r="Q4159" s="575"/>
      <c r="R4159" s="575"/>
      <c r="S4159" s="575"/>
      <c r="T4159" s="575"/>
      <c r="U4159" s="575"/>
      <c r="V4159" s="575"/>
      <c r="W4159" s="575"/>
      <c r="X4159" s="575"/>
      <c r="Y4159" s="575"/>
    </row>
    <row r="4160" spans="1:25" s="88" customFormat="1" hidden="1">
      <c r="A4160" s="263"/>
      <c r="B4160" s="263"/>
      <c r="C4160" s="266"/>
      <c r="D4160" s="263"/>
      <c r="E4160" s="263"/>
      <c r="F4160" s="425">
        <v>461</v>
      </c>
      <c r="G4160" s="420" t="s">
        <v>4175</v>
      </c>
      <c r="H4160" s="634"/>
      <c r="I4160" s="635"/>
      <c r="J4160" s="635">
        <f t="shared" si="127"/>
        <v>0</v>
      </c>
      <c r="K4160" s="575"/>
      <c r="L4160" s="575"/>
      <c r="M4160" s="575"/>
      <c r="N4160" s="575"/>
      <c r="O4160" s="575"/>
      <c r="P4160" s="575"/>
      <c r="Q4160" s="575"/>
      <c r="R4160" s="575"/>
      <c r="S4160" s="575"/>
      <c r="T4160" s="575"/>
      <c r="U4160" s="575"/>
      <c r="V4160" s="575"/>
      <c r="W4160" s="575"/>
      <c r="X4160" s="575"/>
      <c r="Y4160" s="575"/>
    </row>
    <row r="4161" spans="1:25" s="88" customFormat="1" hidden="1">
      <c r="A4161" s="263"/>
      <c r="B4161" s="263"/>
      <c r="C4161" s="266"/>
      <c r="D4161" s="263"/>
      <c r="E4161" s="263"/>
      <c r="F4161" s="425">
        <v>462</v>
      </c>
      <c r="G4161" s="420" t="s">
        <v>3812</v>
      </c>
      <c r="H4161" s="634"/>
      <c r="I4161" s="635"/>
      <c r="J4161" s="635">
        <f t="shared" si="127"/>
        <v>0</v>
      </c>
      <c r="K4161" s="575"/>
      <c r="L4161" s="575"/>
      <c r="M4161" s="575"/>
      <c r="N4161" s="575"/>
      <c r="O4161" s="575"/>
      <c r="P4161" s="575"/>
      <c r="Q4161" s="575"/>
      <c r="R4161" s="575"/>
      <c r="S4161" s="575"/>
      <c r="T4161" s="575"/>
      <c r="U4161" s="575"/>
      <c r="V4161" s="575"/>
      <c r="W4161" s="575"/>
      <c r="X4161" s="575"/>
      <c r="Y4161" s="575"/>
    </row>
    <row r="4162" spans="1:25" s="88" customFormat="1" hidden="1">
      <c r="A4162" s="263"/>
      <c r="B4162" s="263"/>
      <c r="C4162" s="266"/>
      <c r="D4162" s="263"/>
      <c r="E4162" s="263"/>
      <c r="F4162" s="425">
        <v>4631</v>
      </c>
      <c r="G4162" s="420" t="s">
        <v>3813</v>
      </c>
      <c r="H4162" s="634"/>
      <c r="I4162" s="635"/>
      <c r="J4162" s="635">
        <f t="shared" si="127"/>
        <v>0</v>
      </c>
      <c r="K4162" s="575"/>
      <c r="L4162" s="575"/>
      <c r="M4162" s="575"/>
      <c r="N4162" s="575"/>
      <c r="O4162" s="575"/>
      <c r="P4162" s="575"/>
      <c r="Q4162" s="575"/>
      <c r="R4162" s="575"/>
      <c r="S4162" s="575"/>
      <c r="T4162" s="575"/>
      <c r="U4162" s="575"/>
      <c r="V4162" s="575"/>
      <c r="W4162" s="575"/>
      <c r="X4162" s="575"/>
      <c r="Y4162" s="575"/>
    </row>
    <row r="4163" spans="1:25" s="88" customFormat="1" hidden="1">
      <c r="A4163" s="263"/>
      <c r="B4163" s="263"/>
      <c r="C4163" s="266"/>
      <c r="D4163" s="263"/>
      <c r="E4163" s="263"/>
      <c r="F4163" s="425">
        <v>4632</v>
      </c>
      <c r="G4163" s="420" t="s">
        <v>3814</v>
      </c>
      <c r="H4163" s="634"/>
      <c r="I4163" s="635"/>
      <c r="J4163" s="635">
        <f t="shared" si="127"/>
        <v>0</v>
      </c>
      <c r="K4163" s="575"/>
      <c r="L4163" s="575"/>
      <c r="M4163" s="575"/>
      <c r="N4163" s="575"/>
      <c r="O4163" s="575"/>
      <c r="P4163" s="575"/>
      <c r="Q4163" s="575"/>
      <c r="R4163" s="575"/>
      <c r="S4163" s="575"/>
      <c r="T4163" s="575"/>
      <c r="U4163" s="575"/>
      <c r="V4163" s="575"/>
      <c r="W4163" s="575"/>
      <c r="X4163" s="575"/>
      <c r="Y4163" s="575"/>
    </row>
    <row r="4164" spans="1:25" s="88" customFormat="1" hidden="1">
      <c r="A4164" s="263"/>
      <c r="B4164" s="263"/>
      <c r="C4164" s="266"/>
      <c r="D4164" s="263"/>
      <c r="E4164" s="263"/>
      <c r="F4164" s="425">
        <v>464</v>
      </c>
      <c r="G4164" s="420" t="s">
        <v>3815</v>
      </c>
      <c r="H4164" s="634"/>
      <c r="I4164" s="635"/>
      <c r="J4164" s="635">
        <f t="shared" si="127"/>
        <v>0</v>
      </c>
      <c r="K4164" s="575"/>
      <c r="L4164" s="575"/>
      <c r="M4164" s="575"/>
      <c r="N4164" s="575"/>
      <c r="O4164" s="575"/>
      <c r="P4164" s="575"/>
      <c r="Q4164" s="575"/>
      <c r="R4164" s="575"/>
      <c r="S4164" s="575"/>
      <c r="T4164" s="575"/>
      <c r="U4164" s="575"/>
      <c r="V4164" s="575"/>
      <c r="W4164" s="575"/>
      <c r="X4164" s="575"/>
      <c r="Y4164" s="575"/>
    </row>
    <row r="4165" spans="1:25" s="88" customFormat="1" hidden="1">
      <c r="A4165" s="263"/>
      <c r="B4165" s="263"/>
      <c r="C4165" s="266"/>
      <c r="D4165" s="263"/>
      <c r="E4165" s="263"/>
      <c r="F4165" s="425">
        <v>465</v>
      </c>
      <c r="G4165" s="420" t="s">
        <v>4176</v>
      </c>
      <c r="H4165" s="634"/>
      <c r="I4165" s="635"/>
      <c r="J4165" s="635">
        <f t="shared" si="127"/>
        <v>0</v>
      </c>
      <c r="K4165" s="575"/>
      <c r="L4165" s="575"/>
      <c r="M4165" s="575"/>
      <c r="N4165" s="575"/>
      <c r="O4165" s="575"/>
      <c r="P4165" s="575"/>
      <c r="Q4165" s="575"/>
      <c r="R4165" s="575"/>
      <c r="S4165" s="575"/>
      <c r="T4165" s="575"/>
      <c r="U4165" s="575"/>
      <c r="V4165" s="575"/>
      <c r="W4165" s="575"/>
      <c r="X4165" s="575"/>
      <c r="Y4165" s="575"/>
    </row>
    <row r="4166" spans="1:25" s="88" customFormat="1" hidden="1">
      <c r="A4166" s="263"/>
      <c r="B4166" s="263"/>
      <c r="C4166" s="266"/>
      <c r="D4166" s="263"/>
      <c r="E4166" s="263"/>
      <c r="F4166" s="425">
        <v>472</v>
      </c>
      <c r="G4166" s="420" t="s">
        <v>3819</v>
      </c>
      <c r="H4166" s="634"/>
      <c r="I4166" s="635"/>
      <c r="J4166" s="635">
        <f t="shared" si="127"/>
        <v>0</v>
      </c>
      <c r="K4166" s="575"/>
      <c r="L4166" s="575"/>
      <c r="M4166" s="575"/>
      <c r="N4166" s="575"/>
      <c r="O4166" s="575"/>
      <c r="P4166" s="575"/>
      <c r="Q4166" s="575"/>
      <c r="R4166" s="575"/>
      <c r="S4166" s="575"/>
      <c r="T4166" s="575"/>
      <c r="U4166" s="575"/>
      <c r="V4166" s="575"/>
      <c r="W4166" s="575"/>
      <c r="X4166" s="575"/>
      <c r="Y4166" s="575"/>
    </row>
    <row r="4167" spans="1:25" s="88" customFormat="1" hidden="1">
      <c r="A4167" s="263"/>
      <c r="B4167" s="263"/>
      <c r="C4167" s="266"/>
      <c r="D4167" s="263"/>
      <c r="E4167" s="263"/>
      <c r="F4167" s="425">
        <v>481</v>
      </c>
      <c r="G4167" s="420" t="s">
        <v>4195</v>
      </c>
      <c r="H4167" s="634"/>
      <c r="I4167" s="635"/>
      <c r="J4167" s="635">
        <f t="shared" si="127"/>
        <v>0</v>
      </c>
      <c r="K4167" s="575"/>
      <c r="L4167" s="575"/>
      <c r="M4167" s="575"/>
      <c r="N4167" s="575"/>
      <c r="O4167" s="575"/>
      <c r="P4167" s="575"/>
      <c r="Q4167" s="575"/>
      <c r="R4167" s="575"/>
      <c r="S4167" s="575"/>
      <c r="T4167" s="575"/>
      <c r="U4167" s="575"/>
      <c r="V4167" s="575"/>
      <c r="W4167" s="575"/>
      <c r="X4167" s="575"/>
      <c r="Y4167" s="575"/>
    </row>
    <row r="4168" spans="1:25" s="88" customFormat="1" hidden="1">
      <c r="A4168" s="263"/>
      <c r="B4168" s="263"/>
      <c r="C4168" s="266"/>
      <c r="D4168" s="263"/>
      <c r="E4168" s="263"/>
      <c r="F4168" s="425">
        <v>482</v>
      </c>
      <c r="G4168" s="420" t="s">
        <v>4196</v>
      </c>
      <c r="H4168" s="634"/>
      <c r="I4168" s="635"/>
      <c r="J4168" s="635">
        <f t="shared" si="127"/>
        <v>0</v>
      </c>
      <c r="K4168" s="575"/>
      <c r="L4168" s="575"/>
      <c r="M4168" s="575"/>
      <c r="N4168" s="575"/>
      <c r="O4168" s="575"/>
      <c r="P4168" s="575"/>
      <c r="Q4168" s="575"/>
      <c r="R4168" s="575"/>
      <c r="S4168" s="575"/>
      <c r="T4168" s="575"/>
      <c r="U4168" s="575"/>
      <c r="V4168" s="575"/>
      <c r="W4168" s="575"/>
      <c r="X4168" s="575"/>
      <c r="Y4168" s="575"/>
    </row>
    <row r="4169" spans="1:25" s="88" customFormat="1" hidden="1">
      <c r="A4169" s="263"/>
      <c r="B4169" s="263"/>
      <c r="C4169" s="266"/>
      <c r="D4169" s="263"/>
      <c r="E4169" s="263"/>
      <c r="F4169" s="425">
        <v>483</v>
      </c>
      <c r="G4169" s="423" t="s">
        <v>4197</v>
      </c>
      <c r="H4169" s="634"/>
      <c r="I4169" s="635"/>
      <c r="J4169" s="635">
        <f t="shared" si="127"/>
        <v>0</v>
      </c>
      <c r="K4169" s="575"/>
      <c r="L4169" s="575"/>
      <c r="M4169" s="575"/>
      <c r="N4169" s="575"/>
      <c r="O4169" s="575"/>
      <c r="P4169" s="575"/>
      <c r="Q4169" s="575"/>
      <c r="R4169" s="575"/>
      <c r="S4169" s="575"/>
      <c r="T4169" s="575"/>
      <c r="U4169" s="575"/>
      <c r="V4169" s="575"/>
      <c r="W4169" s="575"/>
      <c r="X4169" s="575"/>
      <c r="Y4169" s="575"/>
    </row>
    <row r="4170" spans="1:25" s="88" customFormat="1" ht="30" hidden="1">
      <c r="A4170" s="263"/>
      <c r="B4170" s="263"/>
      <c r="C4170" s="266"/>
      <c r="D4170" s="263"/>
      <c r="E4170" s="263"/>
      <c r="F4170" s="425">
        <v>484</v>
      </c>
      <c r="G4170" s="420" t="s">
        <v>4198</v>
      </c>
      <c r="H4170" s="634"/>
      <c r="I4170" s="635"/>
      <c r="J4170" s="635">
        <f t="shared" si="127"/>
        <v>0</v>
      </c>
      <c r="K4170" s="575"/>
      <c r="L4170" s="575"/>
      <c r="M4170" s="575"/>
      <c r="N4170" s="575"/>
      <c r="O4170" s="575"/>
      <c r="P4170" s="575"/>
      <c r="Q4170" s="575"/>
      <c r="R4170" s="575"/>
      <c r="S4170" s="575"/>
      <c r="T4170" s="575"/>
      <c r="U4170" s="575"/>
      <c r="V4170" s="575"/>
      <c r="W4170" s="575"/>
      <c r="X4170" s="575"/>
      <c r="Y4170" s="575"/>
    </row>
    <row r="4171" spans="1:25" s="88" customFormat="1" ht="30" hidden="1">
      <c r="A4171" s="263"/>
      <c r="B4171" s="263"/>
      <c r="C4171" s="266"/>
      <c r="D4171" s="263"/>
      <c r="E4171" s="263"/>
      <c r="F4171" s="425">
        <v>485</v>
      </c>
      <c r="G4171" s="420" t="s">
        <v>4199</v>
      </c>
      <c r="H4171" s="634"/>
      <c r="I4171" s="635"/>
      <c r="J4171" s="635">
        <f t="shared" si="127"/>
        <v>0</v>
      </c>
      <c r="K4171" s="575"/>
      <c r="L4171" s="575"/>
      <c r="M4171" s="575"/>
      <c r="N4171" s="575"/>
      <c r="O4171" s="575"/>
      <c r="P4171" s="575"/>
      <c r="Q4171" s="575"/>
      <c r="R4171" s="575"/>
      <c r="S4171" s="575"/>
      <c r="T4171" s="575"/>
      <c r="U4171" s="575"/>
      <c r="V4171" s="575"/>
      <c r="W4171" s="575"/>
      <c r="X4171" s="575"/>
      <c r="Y4171" s="575"/>
    </row>
    <row r="4172" spans="1:25" s="88" customFormat="1" ht="30" hidden="1">
      <c r="A4172" s="263"/>
      <c r="B4172" s="263"/>
      <c r="C4172" s="266"/>
      <c r="D4172" s="263"/>
      <c r="E4172" s="263"/>
      <c r="F4172" s="425">
        <v>489</v>
      </c>
      <c r="G4172" s="420" t="s">
        <v>3827</v>
      </c>
      <c r="H4172" s="634"/>
      <c r="I4172" s="635"/>
      <c r="J4172" s="635">
        <f t="shared" si="127"/>
        <v>0</v>
      </c>
      <c r="K4172" s="575"/>
      <c r="L4172" s="575"/>
      <c r="M4172" s="575"/>
      <c r="N4172" s="575"/>
      <c r="O4172" s="575"/>
      <c r="P4172" s="575"/>
      <c r="Q4172" s="575"/>
      <c r="R4172" s="575"/>
      <c r="S4172" s="575"/>
      <c r="T4172" s="575"/>
      <c r="U4172" s="575"/>
      <c r="V4172" s="575"/>
      <c r="W4172" s="575"/>
      <c r="X4172" s="575"/>
      <c r="Y4172" s="575"/>
    </row>
    <row r="4173" spans="1:25" s="88" customFormat="1" hidden="1">
      <c r="A4173" s="263"/>
      <c r="B4173" s="263"/>
      <c r="C4173" s="266"/>
      <c r="D4173" s="263"/>
      <c r="E4173" s="263"/>
      <c r="F4173" s="425">
        <v>494</v>
      </c>
      <c r="G4173" s="420" t="s">
        <v>4177</v>
      </c>
      <c r="H4173" s="634"/>
      <c r="I4173" s="635"/>
      <c r="J4173" s="635">
        <f t="shared" si="127"/>
        <v>0</v>
      </c>
      <c r="K4173" s="575"/>
      <c r="L4173" s="575"/>
      <c r="M4173" s="575"/>
      <c r="N4173" s="575"/>
      <c r="O4173" s="575"/>
      <c r="P4173" s="575"/>
      <c r="Q4173" s="575"/>
      <c r="R4173" s="575"/>
      <c r="S4173" s="575"/>
      <c r="T4173" s="575"/>
      <c r="U4173" s="575"/>
      <c r="V4173" s="575"/>
      <c r="W4173" s="575"/>
      <c r="X4173" s="575"/>
      <c r="Y4173" s="575"/>
    </row>
    <row r="4174" spans="1:25" s="88" customFormat="1" ht="30" hidden="1">
      <c r="A4174" s="263"/>
      <c r="B4174" s="263"/>
      <c r="C4174" s="266"/>
      <c r="D4174" s="263"/>
      <c r="E4174" s="263"/>
      <c r="F4174" s="425">
        <v>495</v>
      </c>
      <c r="G4174" s="420" t="s">
        <v>4178</v>
      </c>
      <c r="H4174" s="634"/>
      <c r="I4174" s="635"/>
      <c r="J4174" s="635">
        <f t="shared" si="127"/>
        <v>0</v>
      </c>
      <c r="K4174" s="575"/>
      <c r="L4174" s="575"/>
      <c r="M4174" s="575"/>
      <c r="N4174" s="575"/>
      <c r="O4174" s="575"/>
      <c r="P4174" s="575"/>
      <c r="Q4174" s="575"/>
      <c r="R4174" s="575"/>
      <c r="S4174" s="575"/>
      <c r="T4174" s="575"/>
      <c r="U4174" s="575"/>
      <c r="V4174" s="575"/>
      <c r="W4174" s="575"/>
      <c r="X4174" s="575"/>
      <c r="Y4174" s="575"/>
    </row>
    <row r="4175" spans="1:25" s="88" customFormat="1" ht="30" hidden="1">
      <c r="A4175" s="263"/>
      <c r="B4175" s="263"/>
      <c r="C4175" s="266"/>
      <c r="D4175" s="263"/>
      <c r="E4175" s="263"/>
      <c r="F4175" s="425">
        <v>496</v>
      </c>
      <c r="G4175" s="420" t="s">
        <v>4179</v>
      </c>
      <c r="H4175" s="634"/>
      <c r="I4175" s="635"/>
      <c r="J4175" s="635">
        <f t="shared" si="127"/>
        <v>0</v>
      </c>
      <c r="K4175" s="575"/>
      <c r="L4175" s="575"/>
      <c r="M4175" s="575"/>
      <c r="N4175" s="575"/>
      <c r="O4175" s="575"/>
      <c r="P4175" s="575"/>
      <c r="Q4175" s="575"/>
      <c r="R4175" s="575"/>
      <c r="S4175" s="575"/>
      <c r="T4175" s="575"/>
      <c r="U4175" s="575"/>
      <c r="V4175" s="575"/>
      <c r="W4175" s="575"/>
      <c r="X4175" s="575"/>
      <c r="Y4175" s="575"/>
    </row>
    <row r="4176" spans="1:25" s="88" customFormat="1" hidden="1">
      <c r="A4176" s="263"/>
      <c r="B4176" s="263"/>
      <c r="C4176" s="266"/>
      <c r="D4176" s="263"/>
      <c r="E4176" s="263"/>
      <c r="F4176" s="425">
        <v>499</v>
      </c>
      <c r="G4176" s="420" t="s">
        <v>4180</v>
      </c>
      <c r="H4176" s="634"/>
      <c r="I4176" s="635"/>
      <c r="J4176" s="635">
        <f t="shared" si="127"/>
        <v>0</v>
      </c>
      <c r="K4176" s="575"/>
      <c r="L4176" s="575"/>
      <c r="M4176" s="575"/>
      <c r="N4176" s="575"/>
      <c r="O4176" s="575"/>
      <c r="P4176" s="575"/>
      <c r="Q4176" s="575"/>
      <c r="R4176" s="575"/>
      <c r="S4176" s="575"/>
      <c r="T4176" s="575"/>
      <c r="U4176" s="575"/>
      <c r="V4176" s="575"/>
      <c r="W4176" s="575"/>
      <c r="X4176" s="575"/>
      <c r="Y4176" s="575"/>
    </row>
    <row r="4177" spans="1:25" s="88" customFormat="1" hidden="1">
      <c r="A4177" s="263"/>
      <c r="B4177" s="263"/>
      <c r="C4177" s="266"/>
      <c r="D4177" s="263"/>
      <c r="E4177" s="263"/>
      <c r="F4177" s="425">
        <v>511</v>
      </c>
      <c r="G4177" s="423" t="s">
        <v>4200</v>
      </c>
      <c r="H4177" s="634"/>
      <c r="I4177" s="635"/>
      <c r="J4177" s="635">
        <f t="shared" si="127"/>
        <v>0</v>
      </c>
      <c r="K4177" s="575"/>
      <c r="L4177" s="575"/>
      <c r="M4177" s="575"/>
      <c r="N4177" s="575"/>
      <c r="O4177" s="575"/>
      <c r="P4177" s="575"/>
      <c r="Q4177" s="575"/>
      <c r="R4177" s="575"/>
      <c r="S4177" s="575"/>
      <c r="T4177" s="575"/>
      <c r="U4177" s="575"/>
      <c r="V4177" s="575"/>
      <c r="W4177" s="575"/>
      <c r="X4177" s="575"/>
      <c r="Y4177" s="575"/>
    </row>
    <row r="4178" spans="1:25" s="88" customFormat="1" hidden="1">
      <c r="A4178" s="263"/>
      <c r="B4178" s="263"/>
      <c r="C4178" s="266"/>
      <c r="D4178" s="263"/>
      <c r="E4178" s="263"/>
      <c r="F4178" s="425">
        <v>512</v>
      </c>
      <c r="G4178" s="423" t="s">
        <v>4201</v>
      </c>
      <c r="H4178" s="634"/>
      <c r="I4178" s="635"/>
      <c r="J4178" s="635">
        <f t="shared" si="127"/>
        <v>0</v>
      </c>
      <c r="K4178" s="575"/>
      <c r="L4178" s="575"/>
      <c r="M4178" s="575"/>
      <c r="N4178" s="575"/>
      <c r="O4178" s="575"/>
      <c r="P4178" s="575"/>
      <c r="Q4178" s="575"/>
      <c r="R4178" s="575"/>
      <c r="S4178" s="575"/>
      <c r="T4178" s="575"/>
      <c r="U4178" s="575"/>
      <c r="V4178" s="575"/>
      <c r="W4178" s="575"/>
      <c r="X4178" s="575"/>
      <c r="Y4178" s="575"/>
    </row>
    <row r="4179" spans="1:25" s="88" customFormat="1" hidden="1">
      <c r="A4179" s="263"/>
      <c r="B4179" s="263"/>
      <c r="C4179" s="266"/>
      <c r="D4179" s="263"/>
      <c r="E4179" s="263"/>
      <c r="F4179" s="425">
        <v>513</v>
      </c>
      <c r="G4179" s="423" t="s">
        <v>4202</v>
      </c>
      <c r="H4179" s="634"/>
      <c r="I4179" s="635"/>
      <c r="J4179" s="635">
        <f t="shared" si="127"/>
        <v>0</v>
      </c>
      <c r="K4179" s="575"/>
      <c r="L4179" s="575"/>
      <c r="M4179" s="575"/>
      <c r="N4179" s="575"/>
      <c r="O4179" s="575"/>
      <c r="P4179" s="575"/>
      <c r="Q4179" s="575"/>
      <c r="R4179" s="575"/>
      <c r="S4179" s="575"/>
      <c r="T4179" s="575"/>
      <c r="U4179" s="575"/>
      <c r="V4179" s="575"/>
      <c r="W4179" s="575"/>
      <c r="X4179" s="575"/>
      <c r="Y4179" s="575"/>
    </row>
    <row r="4180" spans="1:25" s="88" customFormat="1" hidden="1">
      <c r="A4180" s="263"/>
      <c r="B4180" s="263"/>
      <c r="C4180" s="266"/>
      <c r="D4180" s="263"/>
      <c r="E4180" s="263"/>
      <c r="F4180" s="425">
        <v>514</v>
      </c>
      <c r="G4180" s="420" t="s">
        <v>4203</v>
      </c>
      <c r="H4180" s="634"/>
      <c r="I4180" s="635"/>
      <c r="J4180" s="635">
        <f t="shared" si="127"/>
        <v>0</v>
      </c>
      <c r="K4180" s="575"/>
      <c r="L4180" s="575"/>
      <c r="M4180" s="575"/>
      <c r="N4180" s="575"/>
      <c r="O4180" s="575"/>
      <c r="P4180" s="575"/>
      <c r="Q4180" s="575"/>
      <c r="R4180" s="575"/>
      <c r="S4180" s="575"/>
      <c r="T4180" s="575"/>
      <c r="U4180" s="575"/>
      <c r="V4180" s="575"/>
      <c r="W4180" s="575"/>
      <c r="X4180" s="575"/>
      <c r="Y4180" s="575"/>
    </row>
    <row r="4181" spans="1:25" s="88" customFormat="1" hidden="1">
      <c r="A4181" s="263"/>
      <c r="B4181" s="263"/>
      <c r="C4181" s="266"/>
      <c r="D4181" s="263"/>
      <c r="E4181" s="263"/>
      <c r="F4181" s="425">
        <v>515</v>
      </c>
      <c r="G4181" s="420" t="s">
        <v>3838</v>
      </c>
      <c r="H4181" s="634"/>
      <c r="I4181" s="635"/>
      <c r="J4181" s="635">
        <f t="shared" si="127"/>
        <v>0</v>
      </c>
      <c r="K4181" s="575"/>
      <c r="L4181" s="575"/>
      <c r="M4181" s="575"/>
      <c r="N4181" s="575"/>
      <c r="O4181" s="575"/>
      <c r="P4181" s="575"/>
      <c r="Q4181" s="575"/>
      <c r="R4181" s="575"/>
      <c r="S4181" s="575"/>
      <c r="T4181" s="575"/>
      <c r="U4181" s="575"/>
      <c r="V4181" s="575"/>
      <c r="W4181" s="575"/>
      <c r="X4181" s="575"/>
      <c r="Y4181" s="575"/>
    </row>
    <row r="4182" spans="1:25" s="88" customFormat="1" hidden="1">
      <c r="A4182" s="263"/>
      <c r="B4182" s="263"/>
      <c r="C4182" s="266"/>
      <c r="D4182" s="263"/>
      <c r="E4182" s="263"/>
      <c r="F4182" s="425">
        <v>521</v>
      </c>
      <c r="G4182" s="420" t="s">
        <v>4204</v>
      </c>
      <c r="H4182" s="634"/>
      <c r="I4182" s="635"/>
      <c r="J4182" s="635">
        <f t="shared" si="127"/>
        <v>0</v>
      </c>
      <c r="K4182" s="575"/>
      <c r="L4182" s="575"/>
      <c r="M4182" s="575"/>
      <c r="N4182" s="575"/>
      <c r="O4182" s="575"/>
      <c r="P4182" s="575"/>
      <c r="Q4182" s="575"/>
      <c r="R4182" s="575"/>
      <c r="S4182" s="575"/>
      <c r="T4182" s="575"/>
      <c r="U4182" s="575"/>
      <c r="V4182" s="575"/>
      <c r="W4182" s="575"/>
      <c r="X4182" s="575"/>
      <c r="Y4182" s="575"/>
    </row>
    <row r="4183" spans="1:25" s="88" customFormat="1" hidden="1">
      <c r="A4183" s="263"/>
      <c r="B4183" s="263"/>
      <c r="C4183" s="266"/>
      <c r="D4183" s="263"/>
      <c r="E4183" s="263"/>
      <c r="F4183" s="425">
        <v>522</v>
      </c>
      <c r="G4183" s="420" t="s">
        <v>4205</v>
      </c>
      <c r="H4183" s="634"/>
      <c r="I4183" s="635"/>
      <c r="J4183" s="635">
        <f t="shared" si="127"/>
        <v>0</v>
      </c>
      <c r="K4183" s="575"/>
      <c r="L4183" s="575"/>
      <c r="M4183" s="575"/>
      <c r="N4183" s="575"/>
      <c r="O4183" s="575"/>
      <c r="P4183" s="575"/>
      <c r="Q4183" s="575"/>
      <c r="R4183" s="575"/>
      <c r="S4183" s="575"/>
      <c r="T4183" s="575"/>
      <c r="U4183" s="575"/>
      <c r="V4183" s="575"/>
      <c r="W4183" s="575"/>
      <c r="X4183" s="575"/>
      <c r="Y4183" s="575"/>
    </row>
    <row r="4184" spans="1:25" s="88" customFormat="1" hidden="1">
      <c r="A4184" s="263"/>
      <c r="B4184" s="263"/>
      <c r="C4184" s="266"/>
      <c r="D4184" s="263"/>
      <c r="E4184" s="263"/>
      <c r="F4184" s="425">
        <v>523</v>
      </c>
      <c r="G4184" s="420" t="s">
        <v>3843</v>
      </c>
      <c r="H4184" s="634"/>
      <c r="I4184" s="635"/>
      <c r="J4184" s="635">
        <f t="shared" si="127"/>
        <v>0</v>
      </c>
      <c r="K4184" s="575"/>
      <c r="L4184" s="575"/>
      <c r="M4184" s="575"/>
      <c r="N4184" s="575"/>
      <c r="O4184" s="575"/>
      <c r="P4184" s="575"/>
      <c r="Q4184" s="575"/>
      <c r="R4184" s="575"/>
      <c r="S4184" s="575"/>
      <c r="T4184" s="575"/>
      <c r="U4184" s="575"/>
      <c r="V4184" s="575"/>
      <c r="W4184" s="575"/>
      <c r="X4184" s="575"/>
      <c r="Y4184" s="575"/>
    </row>
    <row r="4185" spans="1:25" s="88" customFormat="1" hidden="1">
      <c r="A4185" s="263"/>
      <c r="B4185" s="263"/>
      <c r="C4185" s="266"/>
      <c r="D4185" s="263"/>
      <c r="E4185" s="263"/>
      <c r="F4185" s="425">
        <v>531</v>
      </c>
      <c r="G4185" s="418" t="s">
        <v>4181</v>
      </c>
      <c r="H4185" s="634"/>
      <c r="I4185" s="635"/>
      <c r="J4185" s="635">
        <f t="shared" si="127"/>
        <v>0</v>
      </c>
      <c r="K4185" s="575"/>
      <c r="L4185" s="575"/>
      <c r="M4185" s="575"/>
      <c r="N4185" s="575"/>
      <c r="O4185" s="575"/>
      <c r="P4185" s="575"/>
      <c r="Q4185" s="575"/>
      <c r="R4185" s="575"/>
      <c r="S4185" s="575"/>
      <c r="T4185" s="575"/>
      <c r="U4185" s="575"/>
      <c r="V4185" s="575"/>
      <c r="W4185" s="575"/>
      <c r="X4185" s="575"/>
      <c r="Y4185" s="575"/>
    </row>
    <row r="4186" spans="1:25" s="88" customFormat="1" hidden="1">
      <c r="A4186" s="263"/>
      <c r="B4186" s="263"/>
      <c r="C4186" s="266"/>
      <c r="D4186" s="263"/>
      <c r="E4186" s="263"/>
      <c r="F4186" s="425">
        <v>541</v>
      </c>
      <c r="G4186" s="420" t="s">
        <v>4206</v>
      </c>
      <c r="H4186" s="634"/>
      <c r="I4186" s="635"/>
      <c r="J4186" s="635">
        <f t="shared" si="127"/>
        <v>0</v>
      </c>
      <c r="K4186" s="575"/>
      <c r="L4186" s="575"/>
      <c r="M4186" s="575"/>
      <c r="N4186" s="575"/>
      <c r="O4186" s="575"/>
      <c r="P4186" s="575"/>
      <c r="Q4186" s="575"/>
      <c r="R4186" s="575"/>
      <c r="S4186" s="575"/>
      <c r="T4186" s="575"/>
      <c r="U4186" s="575"/>
      <c r="V4186" s="575"/>
      <c r="W4186" s="575"/>
      <c r="X4186" s="575"/>
      <c r="Y4186" s="575"/>
    </row>
    <row r="4187" spans="1:25" s="88" customFormat="1" hidden="1">
      <c r="A4187" s="263"/>
      <c r="B4187" s="263"/>
      <c r="C4187" s="266"/>
      <c r="D4187" s="263"/>
      <c r="E4187" s="263"/>
      <c r="F4187" s="425">
        <v>542</v>
      </c>
      <c r="G4187" s="420" t="s">
        <v>4207</v>
      </c>
      <c r="H4187" s="634"/>
      <c r="I4187" s="635"/>
      <c r="J4187" s="635">
        <f t="shared" si="127"/>
        <v>0</v>
      </c>
      <c r="K4187" s="575"/>
      <c r="L4187" s="575"/>
      <c r="M4187" s="575"/>
      <c r="N4187" s="575"/>
      <c r="O4187" s="575"/>
      <c r="P4187" s="575"/>
      <c r="Q4187" s="575"/>
      <c r="R4187" s="575"/>
      <c r="S4187" s="575"/>
      <c r="T4187" s="575"/>
      <c r="U4187" s="575"/>
      <c r="V4187" s="575"/>
      <c r="W4187" s="575"/>
      <c r="X4187" s="575"/>
      <c r="Y4187" s="575"/>
    </row>
    <row r="4188" spans="1:25" s="88" customFormat="1" hidden="1">
      <c r="A4188" s="263"/>
      <c r="B4188" s="263"/>
      <c r="C4188" s="266"/>
      <c r="D4188" s="263"/>
      <c r="E4188" s="263"/>
      <c r="F4188" s="425">
        <v>543</v>
      </c>
      <c r="G4188" s="420" t="s">
        <v>3848</v>
      </c>
      <c r="H4188" s="634"/>
      <c r="I4188" s="635"/>
      <c r="J4188" s="635">
        <f t="shared" si="127"/>
        <v>0</v>
      </c>
      <c r="K4188" s="575"/>
      <c r="L4188" s="575"/>
      <c r="M4188" s="575"/>
      <c r="N4188" s="575"/>
      <c r="O4188" s="575"/>
      <c r="P4188" s="575"/>
      <c r="Q4188" s="575"/>
      <c r="R4188" s="575"/>
      <c r="S4188" s="575"/>
      <c r="T4188" s="575"/>
      <c r="U4188" s="575"/>
      <c r="V4188" s="575"/>
      <c r="W4188" s="575"/>
      <c r="X4188" s="575"/>
      <c r="Y4188" s="575"/>
    </row>
    <row r="4189" spans="1:25" s="88" customFormat="1" ht="30" hidden="1">
      <c r="A4189" s="263"/>
      <c r="B4189" s="263"/>
      <c r="C4189" s="266"/>
      <c r="D4189" s="263"/>
      <c r="E4189" s="263"/>
      <c r="F4189" s="425">
        <v>551</v>
      </c>
      <c r="G4189" s="420" t="s">
        <v>4182</v>
      </c>
      <c r="H4189" s="634"/>
      <c r="I4189" s="635"/>
      <c r="J4189" s="635">
        <f t="shared" si="127"/>
        <v>0</v>
      </c>
      <c r="K4189" s="575"/>
      <c r="L4189" s="575"/>
      <c r="M4189" s="575"/>
      <c r="N4189" s="575"/>
      <c r="O4189" s="575"/>
      <c r="P4189" s="575"/>
      <c r="Q4189" s="575"/>
      <c r="R4189" s="575"/>
      <c r="S4189" s="575"/>
      <c r="T4189" s="575"/>
      <c r="U4189" s="575"/>
      <c r="V4189" s="575"/>
      <c r="W4189" s="575"/>
      <c r="X4189" s="575"/>
      <c r="Y4189" s="575"/>
    </row>
    <row r="4190" spans="1:25" s="88" customFormat="1" hidden="1">
      <c r="A4190" s="263"/>
      <c r="B4190" s="263"/>
      <c r="C4190" s="266"/>
      <c r="D4190" s="263"/>
      <c r="E4190" s="263"/>
      <c r="F4190" s="426">
        <v>611</v>
      </c>
      <c r="G4190" s="424" t="s">
        <v>3854</v>
      </c>
      <c r="H4190" s="634"/>
      <c r="I4190" s="635"/>
      <c r="J4190" s="635">
        <f t="shared" si="127"/>
        <v>0</v>
      </c>
      <c r="K4190" s="575"/>
      <c r="L4190" s="575"/>
      <c r="M4190" s="575"/>
      <c r="N4190" s="575"/>
      <c r="O4190" s="575"/>
      <c r="P4190" s="575"/>
      <c r="Q4190" s="575"/>
      <c r="R4190" s="575"/>
      <c r="S4190" s="575"/>
      <c r="T4190" s="575"/>
      <c r="U4190" s="575"/>
      <c r="V4190" s="575"/>
      <c r="W4190" s="575"/>
      <c r="X4190" s="575"/>
      <c r="Y4190" s="575"/>
    </row>
    <row r="4191" spans="1:25" s="88" customFormat="1" ht="15.75" hidden="1" thickBot="1">
      <c r="A4191" s="263"/>
      <c r="B4191" s="263"/>
      <c r="C4191" s="266"/>
      <c r="D4191" s="263"/>
      <c r="E4191" s="263"/>
      <c r="F4191" s="426">
        <v>620</v>
      </c>
      <c r="G4191" s="424" t="s">
        <v>88</v>
      </c>
      <c r="H4191" s="634"/>
      <c r="I4191" s="635"/>
      <c r="J4191" s="635">
        <f t="shared" si="127"/>
        <v>0</v>
      </c>
      <c r="K4191" s="575"/>
      <c r="L4191" s="575"/>
      <c r="M4191" s="575"/>
      <c r="N4191" s="575"/>
      <c r="O4191" s="575"/>
      <c r="P4191" s="575"/>
      <c r="Q4191" s="575"/>
      <c r="R4191" s="575"/>
      <c r="S4191" s="575"/>
      <c r="T4191" s="575"/>
      <c r="U4191" s="575"/>
      <c r="V4191" s="575"/>
      <c r="W4191" s="575"/>
      <c r="X4191" s="575"/>
      <c r="Y4191" s="575"/>
    </row>
    <row r="4192" spans="1:25" s="88" customFormat="1">
      <c r="A4192" s="263"/>
      <c r="B4192" s="263"/>
      <c r="C4192" s="266"/>
      <c r="D4192" s="263"/>
      <c r="E4192" s="419"/>
      <c r="F4192" s="426"/>
      <c r="G4192" s="372" t="s">
        <v>4406</v>
      </c>
      <c r="H4192" s="636"/>
      <c r="I4192" s="662"/>
      <c r="J4192" s="637"/>
      <c r="K4192" s="575"/>
      <c r="L4192" s="575"/>
      <c r="M4192" s="575"/>
      <c r="N4192" s="575"/>
      <c r="O4192" s="575"/>
      <c r="P4192" s="575"/>
      <c r="Q4192" s="575"/>
      <c r="R4192" s="575"/>
      <c r="S4192" s="575"/>
      <c r="T4192" s="575"/>
      <c r="U4192" s="575"/>
      <c r="V4192" s="575"/>
      <c r="W4192" s="575"/>
      <c r="X4192" s="575"/>
      <c r="Y4192" s="575"/>
    </row>
    <row r="4193" spans="1:25" s="88" customFormat="1" ht="15.75" thickBot="1">
      <c r="A4193" s="263"/>
      <c r="B4193" s="263"/>
      <c r="C4193" s="266"/>
      <c r="D4193" s="263"/>
      <c r="E4193" s="267"/>
      <c r="F4193" s="294" t="s">
        <v>234</v>
      </c>
      <c r="G4193" s="297" t="s">
        <v>235</v>
      </c>
      <c r="H4193" s="638">
        <f>SUM(H4132:H4191)</f>
        <v>14000000</v>
      </c>
      <c r="I4193" s="639"/>
      <c r="J4193" s="639">
        <f t="shared" ref="J4193:J4208" si="128">SUM(H4193:I4193)</f>
        <v>14000000</v>
      </c>
      <c r="K4193" s="575"/>
      <c r="L4193" s="575"/>
      <c r="M4193" s="575"/>
      <c r="N4193" s="575"/>
      <c r="O4193" s="575"/>
      <c r="P4193" s="575"/>
      <c r="Q4193" s="575"/>
      <c r="R4193" s="575"/>
      <c r="S4193" s="575"/>
      <c r="T4193" s="575"/>
      <c r="U4193" s="575"/>
      <c r="V4193" s="575"/>
      <c r="W4193" s="575"/>
      <c r="X4193" s="575"/>
      <c r="Y4193" s="575"/>
    </row>
    <row r="4194" spans="1:25" s="88" customFormat="1" hidden="1">
      <c r="A4194" s="263"/>
      <c r="B4194" s="263"/>
      <c r="C4194" s="266"/>
      <c r="D4194" s="263"/>
      <c r="E4194" s="263"/>
      <c r="F4194" s="294" t="s">
        <v>236</v>
      </c>
      <c r="G4194" s="297" t="s">
        <v>237</v>
      </c>
      <c r="H4194" s="634"/>
      <c r="I4194" s="635"/>
      <c r="J4194" s="639">
        <f t="shared" si="128"/>
        <v>0</v>
      </c>
      <c r="K4194" s="575"/>
      <c r="L4194" s="575"/>
      <c r="M4194" s="575"/>
      <c r="N4194" s="575"/>
      <c r="O4194" s="575"/>
      <c r="P4194" s="575"/>
      <c r="Q4194" s="575"/>
      <c r="R4194" s="575"/>
      <c r="S4194" s="575"/>
      <c r="T4194" s="575"/>
      <c r="U4194" s="575"/>
      <c r="V4194" s="575"/>
      <c r="W4194" s="575"/>
      <c r="X4194" s="575"/>
      <c r="Y4194" s="575"/>
    </row>
    <row r="4195" spans="1:25" s="88" customFormat="1" hidden="1">
      <c r="A4195" s="263"/>
      <c r="B4195" s="263"/>
      <c r="C4195" s="266"/>
      <c r="D4195" s="263"/>
      <c r="E4195" s="263"/>
      <c r="F4195" s="294" t="s">
        <v>238</v>
      </c>
      <c r="G4195" s="297" t="s">
        <v>239</v>
      </c>
      <c r="H4195" s="634"/>
      <c r="I4195" s="635"/>
      <c r="J4195" s="639">
        <f t="shared" si="128"/>
        <v>0</v>
      </c>
      <c r="K4195" s="575"/>
      <c r="L4195" s="575"/>
      <c r="M4195" s="575"/>
      <c r="N4195" s="575"/>
      <c r="O4195" s="575"/>
      <c r="P4195" s="575"/>
      <c r="Q4195" s="575"/>
      <c r="R4195" s="575"/>
      <c r="S4195" s="575"/>
      <c r="T4195" s="575"/>
      <c r="U4195" s="575"/>
      <c r="V4195" s="575"/>
      <c r="W4195" s="575"/>
      <c r="X4195" s="575"/>
      <c r="Y4195" s="575"/>
    </row>
    <row r="4196" spans="1:25" s="88" customFormat="1" hidden="1">
      <c r="A4196" s="263"/>
      <c r="B4196" s="263"/>
      <c r="C4196" s="266"/>
      <c r="D4196" s="263"/>
      <c r="E4196" s="263"/>
      <c r="F4196" s="294" t="s">
        <v>240</v>
      </c>
      <c r="G4196" s="297" t="s">
        <v>241</v>
      </c>
      <c r="H4196" s="634"/>
      <c r="I4196" s="635"/>
      <c r="J4196" s="639">
        <f t="shared" si="128"/>
        <v>0</v>
      </c>
      <c r="K4196" s="575"/>
      <c r="L4196" s="575"/>
      <c r="M4196" s="575"/>
      <c r="N4196" s="575"/>
      <c r="O4196" s="575"/>
      <c r="P4196" s="575"/>
      <c r="Q4196" s="575"/>
      <c r="R4196" s="575"/>
      <c r="S4196" s="575"/>
      <c r="T4196" s="575"/>
      <c r="U4196" s="575"/>
      <c r="V4196" s="575"/>
      <c r="W4196" s="575"/>
      <c r="X4196" s="575"/>
      <c r="Y4196" s="575"/>
    </row>
    <row r="4197" spans="1:25" s="88" customFormat="1" hidden="1">
      <c r="A4197" s="263"/>
      <c r="B4197" s="263"/>
      <c r="C4197" s="266"/>
      <c r="D4197" s="263"/>
      <c r="E4197" s="263"/>
      <c r="F4197" s="294" t="s">
        <v>242</v>
      </c>
      <c r="G4197" s="297" t="s">
        <v>243</v>
      </c>
      <c r="H4197" s="634"/>
      <c r="I4197" s="635"/>
      <c r="J4197" s="639">
        <f t="shared" si="128"/>
        <v>0</v>
      </c>
      <c r="K4197" s="575"/>
      <c r="L4197" s="575"/>
      <c r="M4197" s="575"/>
      <c r="N4197" s="575"/>
      <c r="O4197" s="575"/>
      <c r="P4197" s="575"/>
      <c r="Q4197" s="575"/>
      <c r="R4197" s="575"/>
      <c r="S4197" s="575"/>
      <c r="T4197" s="575"/>
      <c r="U4197" s="575"/>
      <c r="V4197" s="575"/>
      <c r="W4197" s="575"/>
      <c r="X4197" s="575"/>
      <c r="Y4197" s="575"/>
    </row>
    <row r="4198" spans="1:25" s="88" customFormat="1" hidden="1">
      <c r="A4198" s="263"/>
      <c r="B4198" s="263"/>
      <c r="C4198" s="266"/>
      <c r="D4198" s="263"/>
      <c r="E4198" s="263"/>
      <c r="F4198" s="294" t="s">
        <v>244</v>
      </c>
      <c r="G4198" s="297" t="s">
        <v>245</v>
      </c>
      <c r="H4198" s="634"/>
      <c r="I4198" s="635"/>
      <c r="J4198" s="639">
        <f t="shared" si="128"/>
        <v>0</v>
      </c>
      <c r="K4198" s="575"/>
      <c r="L4198" s="575"/>
      <c r="M4198" s="575"/>
      <c r="N4198" s="575"/>
      <c r="O4198" s="575"/>
      <c r="P4198" s="575"/>
      <c r="Q4198" s="575"/>
      <c r="R4198" s="575"/>
      <c r="S4198" s="575"/>
      <c r="T4198" s="575"/>
      <c r="U4198" s="575"/>
      <c r="V4198" s="575"/>
      <c r="W4198" s="575"/>
      <c r="X4198" s="575"/>
      <c r="Y4198" s="575"/>
    </row>
    <row r="4199" spans="1:25" s="88" customFormat="1" hidden="1">
      <c r="A4199" s="263"/>
      <c r="B4199" s="263"/>
      <c r="C4199" s="266"/>
      <c r="D4199" s="263"/>
      <c r="E4199" s="263"/>
      <c r="F4199" s="294" t="s">
        <v>246</v>
      </c>
      <c r="G4199" s="683" t="s">
        <v>5121</v>
      </c>
      <c r="H4199" s="634"/>
      <c r="I4199" s="635"/>
      <c r="J4199" s="639">
        <f t="shared" si="128"/>
        <v>0</v>
      </c>
      <c r="K4199" s="575"/>
      <c r="L4199" s="575"/>
      <c r="M4199" s="575"/>
      <c r="N4199" s="575"/>
      <c r="O4199" s="575"/>
      <c r="P4199" s="575"/>
      <c r="Q4199" s="575"/>
      <c r="R4199" s="575"/>
      <c r="S4199" s="575"/>
      <c r="T4199" s="575"/>
      <c r="U4199" s="575"/>
      <c r="V4199" s="575"/>
      <c r="W4199" s="575"/>
      <c r="X4199" s="575"/>
      <c r="Y4199" s="575"/>
    </row>
    <row r="4200" spans="1:25" s="88" customFormat="1" hidden="1">
      <c r="A4200" s="263"/>
      <c r="B4200" s="263"/>
      <c r="C4200" s="266"/>
      <c r="D4200" s="263"/>
      <c r="E4200" s="263"/>
      <c r="F4200" s="294" t="s">
        <v>247</v>
      </c>
      <c r="G4200" s="683" t="s">
        <v>5120</v>
      </c>
      <c r="H4200" s="634"/>
      <c r="I4200" s="635"/>
      <c r="J4200" s="639">
        <f t="shared" si="128"/>
        <v>0</v>
      </c>
      <c r="K4200" s="575"/>
      <c r="L4200" s="575"/>
      <c r="M4200" s="575"/>
      <c r="N4200" s="575"/>
      <c r="O4200" s="575"/>
      <c r="P4200" s="575"/>
      <c r="Q4200" s="575"/>
      <c r="R4200" s="575"/>
      <c r="S4200" s="575"/>
      <c r="T4200" s="575"/>
      <c r="U4200" s="575"/>
      <c r="V4200" s="575"/>
      <c r="W4200" s="575"/>
      <c r="X4200" s="575"/>
      <c r="Y4200" s="575"/>
    </row>
    <row r="4201" spans="1:25" s="88" customFormat="1" hidden="1">
      <c r="A4201" s="263"/>
      <c r="B4201" s="263"/>
      <c r="C4201" s="266"/>
      <c r="D4201" s="263"/>
      <c r="E4201" s="263"/>
      <c r="F4201" s="294" t="s">
        <v>248</v>
      </c>
      <c r="G4201" s="297" t="s">
        <v>57</v>
      </c>
      <c r="H4201" s="634"/>
      <c r="I4201" s="635"/>
      <c r="J4201" s="639">
        <f t="shared" si="128"/>
        <v>0</v>
      </c>
      <c r="K4201" s="575"/>
      <c r="L4201" s="575"/>
      <c r="M4201" s="575"/>
      <c r="N4201" s="575"/>
      <c r="O4201" s="575"/>
      <c r="P4201" s="575"/>
      <c r="Q4201" s="575"/>
      <c r="R4201" s="575"/>
      <c r="S4201" s="575"/>
      <c r="T4201" s="575"/>
      <c r="U4201" s="575"/>
      <c r="V4201" s="575"/>
      <c r="W4201" s="575"/>
      <c r="X4201" s="575"/>
      <c r="Y4201" s="575"/>
    </row>
    <row r="4202" spans="1:25" s="88" customFormat="1" hidden="1">
      <c r="A4202" s="263"/>
      <c r="B4202" s="263"/>
      <c r="C4202" s="266"/>
      <c r="D4202" s="263"/>
      <c r="E4202" s="263"/>
      <c r="F4202" s="294" t="s">
        <v>249</v>
      </c>
      <c r="G4202" s="297" t="s">
        <v>250</v>
      </c>
      <c r="H4202" s="634"/>
      <c r="I4202" s="635"/>
      <c r="J4202" s="639">
        <f t="shared" si="128"/>
        <v>0</v>
      </c>
      <c r="K4202" s="575"/>
      <c r="L4202" s="575"/>
      <c r="M4202" s="575"/>
      <c r="N4202" s="575"/>
      <c r="O4202" s="575"/>
      <c r="P4202" s="575"/>
      <c r="Q4202" s="575"/>
      <c r="R4202" s="575"/>
      <c r="S4202" s="575"/>
      <c r="T4202" s="575"/>
      <c r="U4202" s="575"/>
      <c r="V4202" s="575"/>
      <c r="W4202" s="575"/>
      <c r="X4202" s="575"/>
      <c r="Y4202" s="575"/>
    </row>
    <row r="4203" spans="1:25" s="88" customFormat="1" hidden="1">
      <c r="A4203" s="263"/>
      <c r="B4203" s="263"/>
      <c r="C4203" s="266"/>
      <c r="D4203" s="263"/>
      <c r="E4203" s="263"/>
      <c r="F4203" s="294" t="s">
        <v>251</v>
      </c>
      <c r="G4203" s="297" t="s">
        <v>252</v>
      </c>
      <c r="H4203" s="634"/>
      <c r="I4203" s="635"/>
      <c r="J4203" s="639">
        <f t="shared" si="128"/>
        <v>0</v>
      </c>
      <c r="K4203" s="575"/>
      <c r="L4203" s="575"/>
      <c r="M4203" s="575"/>
      <c r="N4203" s="575"/>
      <c r="O4203" s="575"/>
      <c r="P4203" s="575"/>
      <c r="Q4203" s="575"/>
      <c r="R4203" s="575"/>
      <c r="S4203" s="575"/>
      <c r="T4203" s="575"/>
      <c r="U4203" s="575"/>
      <c r="V4203" s="575"/>
      <c r="W4203" s="575"/>
      <c r="X4203" s="575"/>
      <c r="Y4203" s="575"/>
    </row>
    <row r="4204" spans="1:25" s="88" customFormat="1" hidden="1">
      <c r="A4204" s="263"/>
      <c r="B4204" s="263"/>
      <c r="C4204" s="266"/>
      <c r="D4204" s="263"/>
      <c r="E4204" s="263"/>
      <c r="F4204" s="294" t="s">
        <v>253</v>
      </c>
      <c r="G4204" s="297" t="s">
        <v>254</v>
      </c>
      <c r="H4204" s="634"/>
      <c r="I4204" s="635"/>
      <c r="J4204" s="639">
        <f t="shared" si="128"/>
        <v>0</v>
      </c>
      <c r="K4204" s="575"/>
      <c r="L4204" s="575"/>
      <c r="M4204" s="575"/>
      <c r="N4204" s="575"/>
      <c r="O4204" s="575"/>
      <c r="P4204" s="575"/>
      <c r="Q4204" s="575"/>
      <c r="R4204" s="575"/>
      <c r="S4204" s="575"/>
      <c r="T4204" s="575"/>
      <c r="U4204" s="575"/>
      <c r="V4204" s="575"/>
      <c r="W4204" s="575"/>
      <c r="X4204" s="575"/>
      <c r="Y4204" s="575"/>
    </row>
    <row r="4205" spans="1:25" s="88" customFormat="1" hidden="1">
      <c r="A4205" s="263"/>
      <c r="B4205" s="263"/>
      <c r="C4205" s="266"/>
      <c r="D4205" s="263"/>
      <c r="E4205" s="263"/>
      <c r="F4205" s="294" t="s">
        <v>255</v>
      </c>
      <c r="G4205" s="297" t="s">
        <v>256</v>
      </c>
      <c r="H4205" s="634"/>
      <c r="I4205" s="635"/>
      <c r="J4205" s="639">
        <f t="shared" si="128"/>
        <v>0</v>
      </c>
      <c r="K4205" s="575"/>
      <c r="L4205" s="575"/>
      <c r="M4205" s="575"/>
      <c r="N4205" s="575"/>
      <c r="O4205" s="575"/>
      <c r="P4205" s="575"/>
      <c r="Q4205" s="575"/>
      <c r="R4205" s="575"/>
      <c r="S4205" s="575"/>
      <c r="T4205" s="575"/>
      <c r="U4205" s="575"/>
      <c r="V4205" s="575"/>
      <c r="W4205" s="575"/>
      <c r="X4205" s="575"/>
      <c r="Y4205" s="575"/>
    </row>
    <row r="4206" spans="1:25" s="88" customFormat="1" hidden="1">
      <c r="A4206" s="263"/>
      <c r="B4206" s="263"/>
      <c r="C4206" s="266"/>
      <c r="D4206" s="263"/>
      <c r="E4206" s="263"/>
      <c r="F4206" s="294" t="s">
        <v>257</v>
      </c>
      <c r="G4206" s="297" t="s">
        <v>258</v>
      </c>
      <c r="H4206" s="634"/>
      <c r="I4206" s="635"/>
      <c r="J4206" s="639">
        <f t="shared" si="128"/>
        <v>0</v>
      </c>
      <c r="K4206" s="575"/>
      <c r="L4206" s="575"/>
      <c r="M4206" s="575"/>
      <c r="N4206" s="575"/>
      <c r="O4206" s="575"/>
      <c r="P4206" s="575"/>
      <c r="Q4206" s="575"/>
      <c r="R4206" s="575"/>
      <c r="S4206" s="575"/>
      <c r="T4206" s="575"/>
      <c r="U4206" s="575"/>
      <c r="V4206" s="575"/>
      <c r="W4206" s="575"/>
      <c r="X4206" s="575"/>
      <c r="Y4206" s="575"/>
    </row>
    <row r="4207" spans="1:25" s="88" customFormat="1" hidden="1">
      <c r="A4207" s="263"/>
      <c r="B4207" s="263"/>
      <c r="C4207" s="266"/>
      <c r="D4207" s="263"/>
      <c r="E4207" s="263"/>
      <c r="F4207" s="294" t="s">
        <v>259</v>
      </c>
      <c r="G4207" s="297" t="s">
        <v>260</v>
      </c>
      <c r="H4207" s="634"/>
      <c r="I4207" s="635"/>
      <c r="J4207" s="639">
        <f t="shared" si="128"/>
        <v>0</v>
      </c>
      <c r="K4207" s="575"/>
      <c r="L4207" s="575"/>
      <c r="M4207" s="575"/>
      <c r="N4207" s="575"/>
      <c r="O4207" s="575"/>
      <c r="P4207" s="575"/>
      <c r="Q4207" s="575"/>
      <c r="R4207" s="575"/>
      <c r="S4207" s="575"/>
      <c r="T4207" s="575"/>
      <c r="U4207" s="575"/>
      <c r="V4207" s="575"/>
      <c r="W4207" s="575"/>
      <c r="X4207" s="575"/>
      <c r="Y4207" s="575"/>
    </row>
    <row r="4208" spans="1:25" s="88" customFormat="1" ht="15.75" hidden="1" thickBot="1">
      <c r="A4208" s="263"/>
      <c r="B4208" s="263"/>
      <c r="C4208" s="266"/>
      <c r="D4208" s="263"/>
      <c r="E4208" s="263"/>
      <c r="F4208" s="294" t="s">
        <v>261</v>
      </c>
      <c r="G4208" s="297" t="s">
        <v>262</v>
      </c>
      <c r="H4208" s="638"/>
      <c r="I4208" s="639"/>
      <c r="J4208" s="639">
        <f t="shared" si="128"/>
        <v>0</v>
      </c>
      <c r="K4208" s="575"/>
      <c r="L4208" s="575"/>
      <c r="M4208" s="575"/>
      <c r="N4208" s="575"/>
      <c r="O4208" s="575"/>
      <c r="P4208" s="575"/>
      <c r="Q4208" s="575"/>
      <c r="R4208" s="575"/>
      <c r="S4208" s="575"/>
      <c r="T4208" s="575"/>
      <c r="U4208" s="575"/>
      <c r="V4208" s="575"/>
      <c r="W4208" s="575"/>
      <c r="X4208" s="575"/>
      <c r="Y4208" s="575"/>
    </row>
    <row r="4209" spans="1:25" s="88" customFormat="1" ht="15.75" thickBot="1">
      <c r="A4209" s="263"/>
      <c r="B4209" s="263"/>
      <c r="C4209" s="266"/>
      <c r="D4209" s="263"/>
      <c r="E4209" s="263"/>
      <c r="F4209" s="263"/>
      <c r="G4209" s="274" t="s">
        <v>4407</v>
      </c>
      <c r="H4209" s="640">
        <f>SUM(H4193:H4208)</f>
        <v>14000000</v>
      </c>
      <c r="I4209" s="641">
        <f>SUM(I4194:I4208)</f>
        <v>0</v>
      </c>
      <c r="J4209" s="641">
        <f>SUM(J4193:J4208)</f>
        <v>14000000</v>
      </c>
      <c r="K4209" s="575"/>
      <c r="L4209" s="575"/>
      <c r="M4209" s="575"/>
      <c r="N4209" s="575"/>
      <c r="O4209" s="575"/>
      <c r="P4209" s="575"/>
      <c r="Q4209" s="575"/>
      <c r="R4209" s="575"/>
      <c r="S4209" s="575"/>
      <c r="T4209" s="575"/>
      <c r="U4209" s="575"/>
      <c r="V4209" s="575"/>
      <c r="W4209" s="575"/>
      <c r="X4209" s="575"/>
      <c r="Y4209" s="575"/>
    </row>
    <row r="4210" spans="1:25" s="88" customFormat="1">
      <c r="A4210" s="263"/>
      <c r="B4210" s="263"/>
      <c r="C4210" s="266"/>
      <c r="D4210" s="263"/>
      <c r="E4210" s="419"/>
      <c r="F4210" s="426"/>
      <c r="G4210" s="276" t="s">
        <v>4425</v>
      </c>
      <c r="H4210" s="642"/>
      <c r="I4210" s="663"/>
      <c r="J4210" s="643"/>
      <c r="K4210" s="575"/>
      <c r="L4210" s="575"/>
      <c r="M4210" s="575"/>
      <c r="N4210" s="575"/>
      <c r="O4210" s="575"/>
      <c r="P4210" s="575"/>
      <c r="Q4210" s="575"/>
      <c r="R4210" s="575"/>
      <c r="S4210" s="575"/>
      <c r="T4210" s="575"/>
      <c r="U4210" s="575"/>
      <c r="V4210" s="575"/>
      <c r="W4210" s="575"/>
      <c r="X4210" s="575"/>
      <c r="Y4210" s="575"/>
    </row>
    <row r="4211" spans="1:25" s="88" customFormat="1" ht="15.75" thickBot="1">
      <c r="A4211" s="263"/>
      <c r="B4211" s="263"/>
      <c r="C4211" s="266"/>
      <c r="D4211" s="263"/>
      <c r="E4211" s="267"/>
      <c r="F4211" s="294" t="s">
        <v>234</v>
      </c>
      <c r="G4211" s="297" t="s">
        <v>235</v>
      </c>
      <c r="H4211" s="638">
        <f>SUM(H4132:H4191)</f>
        <v>14000000</v>
      </c>
      <c r="I4211" s="639"/>
      <c r="J4211" s="639">
        <f>SUM(H4211:I4211)</f>
        <v>14000000</v>
      </c>
      <c r="K4211" s="575"/>
      <c r="L4211" s="575"/>
      <c r="M4211" s="575"/>
      <c r="N4211" s="575"/>
      <c r="O4211" s="575"/>
      <c r="P4211" s="575"/>
      <c r="Q4211" s="575"/>
      <c r="R4211" s="575"/>
      <c r="S4211" s="575"/>
      <c r="T4211" s="575"/>
      <c r="U4211" s="575"/>
      <c r="V4211" s="575"/>
      <c r="W4211" s="575"/>
      <c r="X4211" s="575"/>
      <c r="Y4211" s="575"/>
    </row>
    <row r="4212" spans="1:25" s="88" customFormat="1" hidden="1">
      <c r="A4212" s="263"/>
      <c r="B4212" s="263"/>
      <c r="C4212" s="266"/>
      <c r="D4212" s="263"/>
      <c r="E4212" s="263"/>
      <c r="F4212" s="294" t="s">
        <v>236</v>
      </c>
      <c r="G4212" s="297" t="s">
        <v>237</v>
      </c>
      <c r="H4212" s="634"/>
      <c r="I4212" s="635"/>
      <c r="J4212" s="639">
        <f t="shared" ref="J4212:J4226" si="129">SUM(H4212:I4212)</f>
        <v>0</v>
      </c>
      <c r="K4212" s="575"/>
      <c r="L4212" s="575"/>
      <c r="M4212" s="575"/>
      <c r="N4212" s="575"/>
      <c r="O4212" s="575"/>
      <c r="P4212" s="575"/>
      <c r="Q4212" s="575"/>
      <c r="R4212" s="575"/>
      <c r="S4212" s="575"/>
      <c r="T4212" s="575"/>
      <c r="U4212" s="575"/>
      <c r="V4212" s="575"/>
      <c r="W4212" s="575"/>
      <c r="X4212" s="575"/>
      <c r="Y4212" s="575"/>
    </row>
    <row r="4213" spans="1:25" s="88" customFormat="1" hidden="1">
      <c r="A4213" s="263"/>
      <c r="B4213" s="263"/>
      <c r="C4213" s="266"/>
      <c r="D4213" s="263"/>
      <c r="E4213" s="263"/>
      <c r="F4213" s="294" t="s">
        <v>238</v>
      </c>
      <c r="G4213" s="297" t="s">
        <v>239</v>
      </c>
      <c r="H4213" s="634"/>
      <c r="I4213" s="635"/>
      <c r="J4213" s="639">
        <f t="shared" si="129"/>
        <v>0</v>
      </c>
      <c r="K4213" s="575"/>
      <c r="L4213" s="575"/>
      <c r="M4213" s="575"/>
      <c r="N4213" s="575"/>
      <c r="O4213" s="575"/>
      <c r="P4213" s="575"/>
      <c r="Q4213" s="575"/>
      <c r="R4213" s="575"/>
      <c r="S4213" s="575"/>
      <c r="T4213" s="575"/>
      <c r="U4213" s="575"/>
      <c r="V4213" s="575"/>
      <c r="W4213" s="575"/>
      <c r="X4213" s="575"/>
      <c r="Y4213" s="575"/>
    </row>
    <row r="4214" spans="1:25" s="88" customFormat="1" hidden="1">
      <c r="A4214" s="263"/>
      <c r="B4214" s="263"/>
      <c r="C4214" s="266"/>
      <c r="D4214" s="263"/>
      <c r="E4214" s="263"/>
      <c r="F4214" s="294" t="s">
        <v>240</v>
      </c>
      <c r="G4214" s="297" t="s">
        <v>241</v>
      </c>
      <c r="H4214" s="634"/>
      <c r="I4214" s="635"/>
      <c r="J4214" s="639">
        <f t="shared" si="129"/>
        <v>0</v>
      </c>
      <c r="K4214" s="575"/>
      <c r="L4214" s="575"/>
      <c r="M4214" s="575"/>
      <c r="N4214" s="575"/>
      <c r="O4214" s="575"/>
      <c r="P4214" s="575"/>
      <c r="Q4214" s="575"/>
      <c r="R4214" s="575"/>
      <c r="S4214" s="575"/>
      <c r="T4214" s="575"/>
      <c r="U4214" s="575"/>
      <c r="V4214" s="575"/>
      <c r="W4214" s="575"/>
      <c r="X4214" s="575"/>
      <c r="Y4214" s="575"/>
    </row>
    <row r="4215" spans="1:25" s="88" customFormat="1" hidden="1">
      <c r="A4215" s="263"/>
      <c r="B4215" s="263"/>
      <c r="C4215" s="266"/>
      <c r="D4215" s="263"/>
      <c r="E4215" s="263"/>
      <c r="F4215" s="294" t="s">
        <v>242</v>
      </c>
      <c r="G4215" s="297" t="s">
        <v>243</v>
      </c>
      <c r="H4215" s="634"/>
      <c r="I4215" s="635"/>
      <c r="J4215" s="639">
        <f t="shared" si="129"/>
        <v>0</v>
      </c>
      <c r="K4215" s="575"/>
      <c r="L4215" s="575"/>
      <c r="M4215" s="575"/>
      <c r="N4215" s="575"/>
      <c r="O4215" s="575"/>
      <c r="P4215" s="575"/>
      <c r="Q4215" s="575"/>
      <c r="R4215" s="575"/>
      <c r="S4215" s="575"/>
      <c r="T4215" s="575"/>
      <c r="U4215" s="575"/>
      <c r="V4215" s="575"/>
      <c r="W4215" s="575"/>
      <c r="X4215" s="575"/>
      <c r="Y4215" s="575"/>
    </row>
    <row r="4216" spans="1:25" s="88" customFormat="1" hidden="1">
      <c r="A4216" s="263"/>
      <c r="B4216" s="263"/>
      <c r="C4216" s="266"/>
      <c r="D4216" s="263"/>
      <c r="E4216" s="263"/>
      <c r="F4216" s="294" t="s">
        <v>244</v>
      </c>
      <c r="G4216" s="297" t="s">
        <v>245</v>
      </c>
      <c r="H4216" s="634"/>
      <c r="I4216" s="635"/>
      <c r="J4216" s="639">
        <f t="shared" si="129"/>
        <v>0</v>
      </c>
      <c r="K4216" s="575"/>
      <c r="L4216" s="575"/>
      <c r="M4216" s="575"/>
      <c r="N4216" s="575"/>
      <c r="O4216" s="575"/>
      <c r="P4216" s="575"/>
      <c r="Q4216" s="575"/>
      <c r="R4216" s="575"/>
      <c r="S4216" s="575"/>
      <c r="T4216" s="575"/>
      <c r="U4216" s="575"/>
      <c r="V4216" s="575"/>
      <c r="W4216" s="575"/>
      <c r="X4216" s="575"/>
      <c r="Y4216" s="575"/>
    </row>
    <row r="4217" spans="1:25" s="88" customFormat="1" hidden="1">
      <c r="A4217" s="263"/>
      <c r="B4217" s="263"/>
      <c r="C4217" s="266"/>
      <c r="D4217" s="263"/>
      <c r="E4217" s="263"/>
      <c r="F4217" s="294" t="s">
        <v>246</v>
      </c>
      <c r="G4217" s="683" t="s">
        <v>5121</v>
      </c>
      <c r="H4217" s="634"/>
      <c r="I4217" s="635"/>
      <c r="J4217" s="639">
        <f t="shared" si="129"/>
        <v>0</v>
      </c>
      <c r="K4217" s="575"/>
      <c r="L4217" s="575"/>
      <c r="M4217" s="575"/>
      <c r="N4217" s="575"/>
      <c r="O4217" s="575"/>
      <c r="P4217" s="575"/>
      <c r="Q4217" s="575"/>
      <c r="R4217" s="575"/>
      <c r="S4217" s="575"/>
      <c r="T4217" s="575"/>
      <c r="U4217" s="575"/>
      <c r="V4217" s="575"/>
      <c r="W4217" s="575"/>
      <c r="X4217" s="575"/>
      <c r="Y4217" s="575"/>
    </row>
    <row r="4218" spans="1:25" s="88" customFormat="1" hidden="1">
      <c r="A4218" s="263"/>
      <c r="B4218" s="263"/>
      <c r="C4218" s="266"/>
      <c r="D4218" s="263"/>
      <c r="E4218" s="263"/>
      <c r="F4218" s="294" t="s">
        <v>247</v>
      </c>
      <c r="G4218" s="683" t="s">
        <v>5120</v>
      </c>
      <c r="H4218" s="634"/>
      <c r="I4218" s="635"/>
      <c r="J4218" s="639">
        <f t="shared" si="129"/>
        <v>0</v>
      </c>
      <c r="K4218" s="575"/>
      <c r="L4218" s="575"/>
      <c r="M4218" s="575"/>
      <c r="N4218" s="575"/>
      <c r="O4218" s="575"/>
      <c r="P4218" s="575"/>
      <c r="Q4218" s="575"/>
      <c r="R4218" s="575"/>
      <c r="S4218" s="575"/>
      <c r="T4218" s="575"/>
      <c r="U4218" s="575"/>
      <c r="V4218" s="575"/>
      <c r="W4218" s="575"/>
      <c r="X4218" s="575"/>
      <c r="Y4218" s="575"/>
    </row>
    <row r="4219" spans="1:25" s="88" customFormat="1" hidden="1">
      <c r="A4219" s="263"/>
      <c r="B4219" s="263"/>
      <c r="C4219" s="266"/>
      <c r="D4219" s="263"/>
      <c r="E4219" s="263"/>
      <c r="F4219" s="294" t="s">
        <v>248</v>
      </c>
      <c r="G4219" s="297" t="s">
        <v>57</v>
      </c>
      <c r="H4219" s="634"/>
      <c r="I4219" s="635"/>
      <c r="J4219" s="639">
        <f t="shared" si="129"/>
        <v>0</v>
      </c>
      <c r="K4219" s="575"/>
      <c r="L4219" s="575"/>
      <c r="M4219" s="575"/>
      <c r="N4219" s="575"/>
      <c r="O4219" s="575"/>
      <c r="P4219" s="575"/>
      <c r="Q4219" s="575"/>
      <c r="R4219" s="575"/>
      <c r="S4219" s="575"/>
      <c r="T4219" s="575"/>
      <c r="U4219" s="575"/>
      <c r="V4219" s="575"/>
      <c r="W4219" s="575"/>
      <c r="X4219" s="575"/>
      <c r="Y4219" s="575"/>
    </row>
    <row r="4220" spans="1:25" s="88" customFormat="1" hidden="1">
      <c r="A4220" s="263"/>
      <c r="B4220" s="263"/>
      <c r="C4220" s="266"/>
      <c r="D4220" s="263"/>
      <c r="E4220" s="263"/>
      <c r="F4220" s="294" t="s">
        <v>249</v>
      </c>
      <c r="G4220" s="297" t="s">
        <v>250</v>
      </c>
      <c r="H4220" s="634"/>
      <c r="I4220" s="635"/>
      <c r="J4220" s="639">
        <f t="shared" si="129"/>
        <v>0</v>
      </c>
      <c r="K4220" s="575"/>
      <c r="L4220" s="575"/>
      <c r="M4220" s="575"/>
      <c r="N4220" s="575"/>
      <c r="O4220" s="575"/>
      <c r="P4220" s="575"/>
      <c r="Q4220" s="575"/>
      <c r="R4220" s="575"/>
      <c r="S4220" s="575"/>
      <c r="T4220" s="575"/>
      <c r="U4220" s="575"/>
      <c r="V4220" s="575"/>
      <c r="W4220" s="575"/>
      <c r="X4220" s="575"/>
      <c r="Y4220" s="575"/>
    </row>
    <row r="4221" spans="1:25" s="88" customFormat="1" hidden="1">
      <c r="A4221" s="263"/>
      <c r="B4221" s="263"/>
      <c r="C4221" s="266"/>
      <c r="D4221" s="263"/>
      <c r="E4221" s="263"/>
      <c r="F4221" s="294" t="s">
        <v>251</v>
      </c>
      <c r="G4221" s="297" t="s">
        <v>252</v>
      </c>
      <c r="H4221" s="634"/>
      <c r="I4221" s="635"/>
      <c r="J4221" s="639">
        <f t="shared" si="129"/>
        <v>0</v>
      </c>
      <c r="K4221" s="575"/>
      <c r="L4221" s="575"/>
      <c r="M4221" s="575"/>
      <c r="N4221" s="575"/>
      <c r="O4221" s="575"/>
      <c r="P4221" s="575"/>
      <c r="Q4221" s="575"/>
      <c r="R4221" s="575"/>
      <c r="S4221" s="575"/>
      <c r="T4221" s="575"/>
      <c r="U4221" s="575"/>
      <c r="V4221" s="575"/>
      <c r="W4221" s="575"/>
      <c r="X4221" s="575"/>
      <c r="Y4221" s="575"/>
    </row>
    <row r="4222" spans="1:25" s="88" customFormat="1" hidden="1">
      <c r="A4222" s="263"/>
      <c r="B4222" s="263"/>
      <c r="C4222" s="266"/>
      <c r="D4222" s="263"/>
      <c r="E4222" s="263"/>
      <c r="F4222" s="294" t="s">
        <v>253</v>
      </c>
      <c r="G4222" s="297" t="s">
        <v>254</v>
      </c>
      <c r="H4222" s="634"/>
      <c r="I4222" s="635"/>
      <c r="J4222" s="639">
        <f t="shared" si="129"/>
        <v>0</v>
      </c>
      <c r="K4222" s="575"/>
      <c r="L4222" s="575"/>
      <c r="M4222" s="575"/>
      <c r="N4222" s="575"/>
      <c r="O4222" s="575"/>
      <c r="P4222" s="575"/>
      <c r="Q4222" s="575"/>
      <c r="R4222" s="575"/>
      <c r="S4222" s="575"/>
      <c r="T4222" s="575"/>
      <c r="U4222" s="575"/>
      <c r="V4222" s="575"/>
      <c r="W4222" s="575"/>
      <c r="X4222" s="575"/>
      <c r="Y4222" s="575"/>
    </row>
    <row r="4223" spans="1:25" s="88" customFormat="1" hidden="1">
      <c r="A4223" s="263"/>
      <c r="B4223" s="263"/>
      <c r="C4223" s="266"/>
      <c r="D4223" s="263"/>
      <c r="E4223" s="263"/>
      <c r="F4223" s="294" t="s">
        <v>255</v>
      </c>
      <c r="G4223" s="297" t="s">
        <v>256</v>
      </c>
      <c r="H4223" s="634"/>
      <c r="I4223" s="635"/>
      <c r="J4223" s="639">
        <f t="shared" si="129"/>
        <v>0</v>
      </c>
      <c r="K4223" s="575"/>
      <c r="L4223" s="575"/>
      <c r="M4223" s="575"/>
      <c r="N4223" s="575"/>
      <c r="O4223" s="575"/>
      <c r="P4223" s="575"/>
      <c r="Q4223" s="575"/>
      <c r="R4223" s="575"/>
      <c r="S4223" s="575"/>
      <c r="T4223" s="575"/>
      <c r="U4223" s="575"/>
      <c r="V4223" s="575"/>
      <c r="W4223" s="575"/>
      <c r="X4223" s="575"/>
      <c r="Y4223" s="575"/>
    </row>
    <row r="4224" spans="1:25" s="88" customFormat="1" hidden="1">
      <c r="A4224" s="263"/>
      <c r="B4224" s="263"/>
      <c r="C4224" s="266"/>
      <c r="D4224" s="263"/>
      <c r="E4224" s="263"/>
      <c r="F4224" s="294" t="s">
        <v>257</v>
      </c>
      <c r="G4224" s="297" t="s">
        <v>258</v>
      </c>
      <c r="H4224" s="634"/>
      <c r="I4224" s="635"/>
      <c r="J4224" s="639">
        <f t="shared" si="129"/>
        <v>0</v>
      </c>
      <c r="K4224" s="575"/>
      <c r="L4224" s="575"/>
      <c r="M4224" s="575"/>
      <c r="N4224" s="575"/>
      <c r="O4224" s="575"/>
      <c r="P4224" s="575"/>
      <c r="Q4224" s="575"/>
      <c r="R4224" s="575"/>
      <c r="S4224" s="575"/>
      <c r="T4224" s="575"/>
      <c r="U4224" s="575"/>
      <c r="V4224" s="575"/>
      <c r="W4224" s="575"/>
      <c r="X4224" s="575"/>
      <c r="Y4224" s="575"/>
    </row>
    <row r="4225" spans="1:25" s="88" customFormat="1" hidden="1">
      <c r="A4225" s="263"/>
      <c r="B4225" s="263"/>
      <c r="C4225" s="266"/>
      <c r="D4225" s="263"/>
      <c r="E4225" s="263"/>
      <c r="F4225" s="294" t="s">
        <v>259</v>
      </c>
      <c r="G4225" s="297" t="s">
        <v>260</v>
      </c>
      <c r="H4225" s="634"/>
      <c r="I4225" s="635"/>
      <c r="J4225" s="639">
        <f t="shared" si="129"/>
        <v>0</v>
      </c>
      <c r="K4225" s="575"/>
      <c r="L4225" s="575"/>
      <c r="M4225" s="575"/>
      <c r="N4225" s="575"/>
      <c r="O4225" s="575"/>
      <c r="P4225" s="575"/>
      <c r="Q4225" s="575"/>
      <c r="R4225" s="575"/>
      <c r="S4225" s="575"/>
      <c r="T4225" s="575"/>
      <c r="U4225" s="575"/>
      <c r="V4225" s="575"/>
      <c r="W4225" s="575"/>
      <c r="X4225" s="575"/>
      <c r="Y4225" s="575"/>
    </row>
    <row r="4226" spans="1:25" s="88" customFormat="1" ht="15.75" hidden="1" thickBot="1">
      <c r="A4226" s="263"/>
      <c r="B4226" s="263"/>
      <c r="C4226" s="266"/>
      <c r="D4226" s="263"/>
      <c r="E4226" s="263"/>
      <c r="F4226" s="294" t="s">
        <v>261</v>
      </c>
      <c r="G4226" s="297" t="s">
        <v>262</v>
      </c>
      <c r="H4226" s="638"/>
      <c r="I4226" s="639"/>
      <c r="J4226" s="639">
        <f t="shared" si="129"/>
        <v>0</v>
      </c>
      <c r="K4226" s="575"/>
      <c r="L4226" s="575"/>
      <c r="M4226" s="575"/>
      <c r="N4226" s="575"/>
      <c r="O4226" s="575"/>
      <c r="P4226" s="575"/>
      <c r="Q4226" s="575"/>
      <c r="R4226" s="575"/>
      <c r="S4226" s="575"/>
      <c r="T4226" s="575"/>
      <c r="U4226" s="575"/>
      <c r="V4226" s="575"/>
      <c r="W4226" s="575"/>
      <c r="X4226" s="575"/>
      <c r="Y4226" s="575"/>
    </row>
    <row r="4227" spans="1:25" s="88" customFormat="1" ht="15.75" thickBot="1">
      <c r="A4227" s="263"/>
      <c r="B4227" s="263"/>
      <c r="C4227" s="266"/>
      <c r="D4227" s="263"/>
      <c r="E4227" s="263"/>
      <c r="F4227" s="263"/>
      <c r="G4227" s="274" t="s">
        <v>4426</v>
      </c>
      <c r="H4227" s="640">
        <f>SUM(H4211:H4226)</f>
        <v>14000000</v>
      </c>
      <c r="I4227" s="641">
        <f>SUM(I4212:I4226)</f>
        <v>0</v>
      </c>
      <c r="J4227" s="641">
        <f>SUM(J4211:J4226)</f>
        <v>14000000</v>
      </c>
      <c r="K4227" s="575"/>
      <c r="L4227" s="575"/>
      <c r="M4227" s="575"/>
      <c r="N4227" s="575"/>
      <c r="O4227" s="575"/>
      <c r="P4227" s="575"/>
      <c r="Q4227" s="575"/>
      <c r="R4227" s="575"/>
      <c r="S4227" s="575"/>
      <c r="T4227" s="575"/>
      <c r="U4227" s="575"/>
      <c r="V4227" s="575"/>
      <c r="W4227" s="575"/>
      <c r="X4227" s="575"/>
      <c r="Y4227" s="575"/>
    </row>
    <row r="4228" spans="1:25" s="88" customFormat="1" ht="5.25" customHeight="1">
      <c r="A4228" s="263"/>
      <c r="B4228" s="263"/>
      <c r="C4228" s="266"/>
      <c r="D4228" s="263"/>
      <c r="E4228" s="263"/>
      <c r="F4228" s="263"/>
      <c r="G4228" s="331"/>
      <c r="H4228" s="644"/>
      <c r="I4228" s="645"/>
      <c r="J4228" s="645"/>
      <c r="K4228" s="575"/>
      <c r="L4228" s="575"/>
      <c r="M4228" s="575"/>
      <c r="N4228" s="575"/>
      <c r="O4228" s="575"/>
      <c r="P4228" s="575"/>
      <c r="Q4228" s="575"/>
      <c r="R4228" s="575"/>
      <c r="S4228" s="575"/>
      <c r="T4228" s="575"/>
      <c r="U4228" s="575"/>
      <c r="V4228" s="575"/>
      <c r="W4228" s="575"/>
      <c r="X4228" s="575"/>
      <c r="Y4228" s="575"/>
    </row>
    <row r="4229" spans="1:25" s="88" customFormat="1">
      <c r="A4229" s="422"/>
      <c r="B4229" s="301"/>
      <c r="C4229" s="321" t="s">
        <v>4421</v>
      </c>
      <c r="D4229" s="264"/>
      <c r="E4229" s="264"/>
      <c r="F4229" s="322"/>
      <c r="G4229" s="323" t="s">
        <v>4076</v>
      </c>
      <c r="H4229" s="667"/>
      <c r="I4229" s="650"/>
      <c r="J4229" s="668"/>
      <c r="K4229" s="575"/>
      <c r="L4229" s="575"/>
      <c r="M4229" s="575"/>
      <c r="N4229" s="575"/>
      <c r="O4229" s="575"/>
      <c r="P4229" s="575"/>
      <c r="Q4229" s="575"/>
      <c r="R4229" s="575"/>
      <c r="S4229" s="575"/>
      <c r="T4229" s="575"/>
      <c r="U4229" s="575"/>
      <c r="V4229" s="575"/>
      <c r="W4229" s="575"/>
      <c r="X4229" s="575"/>
      <c r="Y4229" s="575"/>
    </row>
    <row r="4230" spans="1:25" s="88" customFormat="1">
      <c r="A4230" s="263"/>
      <c r="B4230" s="263"/>
      <c r="C4230" s="273"/>
      <c r="D4230" s="357">
        <v>640</v>
      </c>
      <c r="E4230" s="357"/>
      <c r="F4230" s="357"/>
      <c r="G4230" s="358" t="s">
        <v>184</v>
      </c>
      <c r="H4230" s="634"/>
      <c r="I4230" s="635"/>
      <c r="J4230" s="635"/>
      <c r="K4230" s="575"/>
      <c r="L4230" s="575"/>
      <c r="M4230" s="575"/>
      <c r="N4230" s="575"/>
      <c r="O4230" s="575"/>
      <c r="P4230" s="575"/>
      <c r="Q4230" s="575"/>
      <c r="R4230" s="575"/>
      <c r="S4230" s="575"/>
      <c r="T4230" s="575"/>
      <c r="U4230" s="575"/>
      <c r="V4230" s="575"/>
      <c r="W4230" s="575"/>
      <c r="X4230" s="575"/>
      <c r="Y4230" s="575"/>
    </row>
    <row r="4231" spans="1:25" s="88" customFormat="1" hidden="1">
      <c r="A4231" s="263"/>
      <c r="B4231" s="263"/>
      <c r="C4231" s="266"/>
      <c r="D4231" s="263"/>
      <c r="E4231" s="263"/>
      <c r="F4231" s="425">
        <v>411</v>
      </c>
      <c r="G4231" s="420" t="s">
        <v>4173</v>
      </c>
      <c r="H4231" s="634"/>
      <c r="I4231" s="635"/>
      <c r="J4231" s="635">
        <f>SUM(H4231:I4231)</f>
        <v>0</v>
      </c>
      <c r="K4231" s="575"/>
      <c r="L4231" s="575"/>
      <c r="M4231" s="575"/>
      <c r="N4231" s="575"/>
      <c r="O4231" s="575"/>
      <c r="P4231" s="575"/>
      <c r="Q4231" s="575"/>
      <c r="R4231" s="575"/>
      <c r="S4231" s="575"/>
      <c r="T4231" s="575"/>
      <c r="U4231" s="575"/>
      <c r="V4231" s="575"/>
      <c r="W4231" s="575"/>
      <c r="X4231" s="575"/>
      <c r="Y4231" s="575"/>
    </row>
    <row r="4232" spans="1:25" s="88" customFormat="1" hidden="1">
      <c r="A4232" s="263"/>
      <c r="B4232" s="263"/>
      <c r="C4232" s="266"/>
      <c r="D4232" s="263"/>
      <c r="E4232" s="263"/>
      <c r="F4232" s="425">
        <v>412</v>
      </c>
      <c r="G4232" s="418" t="s">
        <v>3770</v>
      </c>
      <c r="H4232" s="634"/>
      <c r="I4232" s="635"/>
      <c r="J4232" s="635">
        <f t="shared" ref="J4232:J4290" si="130">SUM(H4232:I4232)</f>
        <v>0</v>
      </c>
      <c r="K4232" s="575"/>
      <c r="L4232" s="575"/>
      <c r="M4232" s="575"/>
      <c r="N4232" s="575"/>
      <c r="O4232" s="575"/>
      <c r="P4232" s="575"/>
      <c r="Q4232" s="575"/>
      <c r="R4232" s="575"/>
      <c r="S4232" s="575"/>
      <c r="T4232" s="575"/>
      <c r="U4232" s="575"/>
      <c r="V4232" s="575"/>
      <c r="W4232" s="575"/>
      <c r="X4232" s="575"/>
      <c r="Y4232" s="575"/>
    </row>
    <row r="4233" spans="1:25" s="88" customFormat="1" hidden="1">
      <c r="A4233" s="263"/>
      <c r="B4233" s="263"/>
      <c r="C4233" s="266"/>
      <c r="D4233" s="263"/>
      <c r="E4233" s="263"/>
      <c r="F4233" s="425">
        <v>413</v>
      </c>
      <c r="G4233" s="420" t="s">
        <v>4174</v>
      </c>
      <c r="H4233" s="634"/>
      <c r="I4233" s="635"/>
      <c r="J4233" s="635">
        <f t="shared" si="130"/>
        <v>0</v>
      </c>
      <c r="K4233" s="575"/>
      <c r="L4233" s="575"/>
      <c r="M4233" s="575"/>
      <c r="N4233" s="575"/>
      <c r="O4233" s="575"/>
      <c r="P4233" s="575"/>
      <c r="Q4233" s="575"/>
      <c r="R4233" s="575"/>
      <c r="S4233" s="575"/>
      <c r="T4233" s="575"/>
      <c r="U4233" s="575"/>
      <c r="V4233" s="575"/>
      <c r="W4233" s="575"/>
      <c r="X4233" s="575"/>
      <c r="Y4233" s="575"/>
    </row>
    <row r="4234" spans="1:25" s="88" customFormat="1" hidden="1">
      <c r="A4234" s="263"/>
      <c r="B4234" s="263"/>
      <c r="C4234" s="266"/>
      <c r="D4234" s="263"/>
      <c r="E4234" s="263"/>
      <c r="F4234" s="425">
        <v>414</v>
      </c>
      <c r="G4234" s="420" t="s">
        <v>3773</v>
      </c>
      <c r="H4234" s="634"/>
      <c r="I4234" s="635"/>
      <c r="J4234" s="635">
        <f t="shared" si="130"/>
        <v>0</v>
      </c>
      <c r="K4234" s="575"/>
      <c r="L4234" s="575"/>
      <c r="M4234" s="575"/>
      <c r="N4234" s="575"/>
      <c r="O4234" s="575"/>
      <c r="P4234" s="575"/>
      <c r="Q4234" s="575"/>
      <c r="R4234" s="575"/>
      <c r="S4234" s="575"/>
      <c r="T4234" s="575"/>
      <c r="U4234" s="575"/>
      <c r="V4234" s="575"/>
      <c r="W4234" s="575"/>
      <c r="X4234" s="575"/>
      <c r="Y4234" s="575"/>
    </row>
    <row r="4235" spans="1:25" s="88" customFormat="1" hidden="1">
      <c r="A4235" s="263"/>
      <c r="B4235" s="263"/>
      <c r="C4235" s="266"/>
      <c r="D4235" s="263"/>
      <c r="E4235" s="263"/>
      <c r="F4235" s="425">
        <v>415</v>
      </c>
      <c r="G4235" s="420" t="s">
        <v>4183</v>
      </c>
      <c r="H4235" s="634"/>
      <c r="I4235" s="635"/>
      <c r="J4235" s="635">
        <f t="shared" si="130"/>
        <v>0</v>
      </c>
      <c r="K4235" s="575"/>
      <c r="L4235" s="575"/>
      <c r="M4235" s="575"/>
      <c r="N4235" s="575"/>
      <c r="O4235" s="575"/>
      <c r="P4235" s="575"/>
      <c r="Q4235" s="575"/>
      <c r="R4235" s="575"/>
      <c r="S4235" s="575"/>
      <c r="T4235" s="575"/>
      <c r="U4235" s="575"/>
      <c r="V4235" s="575"/>
      <c r="W4235" s="575"/>
      <c r="X4235" s="575"/>
      <c r="Y4235" s="575"/>
    </row>
    <row r="4236" spans="1:25" s="88" customFormat="1" hidden="1">
      <c r="A4236" s="263"/>
      <c r="B4236" s="263"/>
      <c r="C4236" s="266"/>
      <c r="D4236" s="263"/>
      <c r="E4236" s="263"/>
      <c r="F4236" s="425">
        <v>416</v>
      </c>
      <c r="G4236" s="420" t="s">
        <v>4184</v>
      </c>
      <c r="H4236" s="634"/>
      <c r="I4236" s="635"/>
      <c r="J4236" s="635">
        <f t="shared" si="130"/>
        <v>0</v>
      </c>
      <c r="K4236" s="575"/>
      <c r="L4236" s="575"/>
      <c r="M4236" s="575"/>
      <c r="N4236" s="575"/>
      <c r="O4236" s="575"/>
      <c r="P4236" s="575"/>
      <c r="Q4236" s="575"/>
      <c r="R4236" s="575"/>
      <c r="S4236" s="575"/>
      <c r="T4236" s="575"/>
      <c r="U4236" s="575"/>
      <c r="V4236" s="575"/>
      <c r="W4236" s="575"/>
      <c r="X4236" s="575"/>
      <c r="Y4236" s="575"/>
    </row>
    <row r="4237" spans="1:25" s="88" customFormat="1" hidden="1">
      <c r="A4237" s="263"/>
      <c r="B4237" s="263"/>
      <c r="C4237" s="266"/>
      <c r="D4237" s="263"/>
      <c r="E4237" s="263"/>
      <c r="F4237" s="425">
        <v>417</v>
      </c>
      <c r="G4237" s="420" t="s">
        <v>4185</v>
      </c>
      <c r="H4237" s="634"/>
      <c r="I4237" s="635"/>
      <c r="J4237" s="635">
        <f t="shared" si="130"/>
        <v>0</v>
      </c>
      <c r="K4237" s="575"/>
      <c r="L4237" s="575"/>
      <c r="M4237" s="575"/>
      <c r="N4237" s="575"/>
      <c r="O4237" s="575"/>
      <c r="P4237" s="575"/>
      <c r="Q4237" s="575"/>
      <c r="R4237" s="575"/>
      <c r="S4237" s="575"/>
      <c r="T4237" s="575"/>
      <c r="U4237" s="575"/>
      <c r="V4237" s="575"/>
      <c r="W4237" s="575"/>
      <c r="X4237" s="575"/>
      <c r="Y4237" s="575"/>
    </row>
    <row r="4238" spans="1:25" s="88" customFormat="1" hidden="1">
      <c r="A4238" s="263"/>
      <c r="B4238" s="263"/>
      <c r="C4238" s="266"/>
      <c r="D4238" s="263"/>
      <c r="E4238" s="263"/>
      <c r="F4238" s="425">
        <v>418</v>
      </c>
      <c r="G4238" s="420" t="s">
        <v>3779</v>
      </c>
      <c r="H4238" s="634"/>
      <c r="I4238" s="635"/>
      <c r="J4238" s="635">
        <f t="shared" si="130"/>
        <v>0</v>
      </c>
      <c r="K4238" s="575"/>
      <c r="L4238" s="575"/>
      <c r="M4238" s="575"/>
      <c r="N4238" s="575"/>
      <c r="O4238" s="575"/>
      <c r="P4238" s="575"/>
      <c r="Q4238" s="575"/>
      <c r="R4238" s="575"/>
      <c r="S4238" s="575"/>
      <c r="T4238" s="575"/>
      <c r="U4238" s="575"/>
      <c r="V4238" s="575"/>
      <c r="W4238" s="575"/>
      <c r="X4238" s="575"/>
      <c r="Y4238" s="575"/>
    </row>
    <row r="4239" spans="1:25" s="88" customFormat="1">
      <c r="A4239" s="263"/>
      <c r="B4239" s="263"/>
      <c r="C4239" s="266"/>
      <c r="D4239" s="263"/>
      <c r="E4239" s="263">
        <v>71</v>
      </c>
      <c r="F4239" s="425">
        <v>421</v>
      </c>
      <c r="G4239" s="420" t="s">
        <v>3783</v>
      </c>
      <c r="H4239" s="634">
        <v>7800000</v>
      </c>
      <c r="I4239" s="635"/>
      <c r="J4239" s="635">
        <f t="shared" si="130"/>
        <v>7800000</v>
      </c>
      <c r="K4239" s="575"/>
      <c r="L4239" s="575"/>
      <c r="M4239" s="575"/>
      <c r="N4239" s="575"/>
      <c r="O4239" s="575"/>
      <c r="P4239" s="575"/>
      <c r="Q4239" s="575"/>
      <c r="R4239" s="575"/>
      <c r="S4239" s="575"/>
      <c r="T4239" s="575"/>
      <c r="U4239" s="575"/>
      <c r="V4239" s="575"/>
      <c r="W4239" s="575"/>
      <c r="X4239" s="575"/>
      <c r="Y4239" s="575"/>
    </row>
    <row r="4240" spans="1:25" s="88" customFormat="1" hidden="1">
      <c r="A4240" s="263"/>
      <c r="B4240" s="263"/>
      <c r="C4240" s="266"/>
      <c r="D4240" s="263"/>
      <c r="E4240" s="263"/>
      <c r="F4240" s="425">
        <v>422</v>
      </c>
      <c r="G4240" s="420" t="s">
        <v>3784</v>
      </c>
      <c r="H4240" s="634"/>
      <c r="I4240" s="635"/>
      <c r="J4240" s="635">
        <f t="shared" si="130"/>
        <v>0</v>
      </c>
      <c r="K4240" s="575"/>
      <c r="L4240" s="575"/>
      <c r="M4240" s="575"/>
      <c r="N4240" s="575"/>
      <c r="O4240" s="575"/>
      <c r="P4240" s="575"/>
      <c r="Q4240" s="575"/>
      <c r="R4240" s="575"/>
      <c r="S4240" s="575"/>
      <c r="T4240" s="575"/>
      <c r="U4240" s="575"/>
      <c r="V4240" s="575"/>
      <c r="W4240" s="575"/>
      <c r="X4240" s="575"/>
      <c r="Y4240" s="575"/>
    </row>
    <row r="4241" spans="1:25" s="88" customFormat="1" hidden="1">
      <c r="A4241" s="263"/>
      <c r="B4241" s="263"/>
      <c r="C4241" s="266"/>
      <c r="D4241" s="263"/>
      <c r="E4241" s="263"/>
      <c r="F4241" s="425">
        <v>423</v>
      </c>
      <c r="G4241" s="420" t="s">
        <v>3785</v>
      </c>
      <c r="H4241" s="634"/>
      <c r="I4241" s="635"/>
      <c r="J4241" s="635">
        <f t="shared" si="130"/>
        <v>0</v>
      </c>
      <c r="K4241" s="575"/>
      <c r="L4241" s="575"/>
      <c r="M4241" s="575"/>
      <c r="N4241" s="575"/>
      <c r="O4241" s="575"/>
      <c r="P4241" s="575"/>
      <c r="Q4241" s="575"/>
      <c r="R4241" s="575"/>
      <c r="S4241" s="575"/>
      <c r="T4241" s="575"/>
      <c r="U4241" s="575"/>
      <c r="V4241" s="575"/>
      <c r="W4241" s="575"/>
      <c r="X4241" s="575"/>
      <c r="Y4241" s="575"/>
    </row>
    <row r="4242" spans="1:25" s="88" customFormat="1" hidden="1">
      <c r="A4242" s="263"/>
      <c r="B4242" s="263"/>
      <c r="C4242" s="266"/>
      <c r="D4242" s="263"/>
      <c r="E4242" s="263"/>
      <c r="F4242" s="425">
        <v>424</v>
      </c>
      <c r="G4242" s="420" t="s">
        <v>3787</v>
      </c>
      <c r="H4242" s="634"/>
      <c r="I4242" s="635"/>
      <c r="J4242" s="635">
        <f t="shared" si="130"/>
        <v>0</v>
      </c>
      <c r="K4242" s="575"/>
      <c r="L4242" s="575"/>
      <c r="M4242" s="575"/>
      <c r="N4242" s="575"/>
      <c r="O4242" s="575"/>
      <c r="P4242" s="575"/>
      <c r="Q4242" s="575"/>
      <c r="R4242" s="575"/>
      <c r="S4242" s="575"/>
      <c r="T4242" s="575"/>
      <c r="U4242" s="575"/>
      <c r="V4242" s="575"/>
      <c r="W4242" s="575"/>
      <c r="X4242" s="575"/>
      <c r="Y4242" s="575"/>
    </row>
    <row r="4243" spans="1:25" s="88" customFormat="1">
      <c r="A4243" s="263"/>
      <c r="B4243" s="263"/>
      <c r="C4243" s="266"/>
      <c r="D4243" s="263"/>
      <c r="E4243" s="263">
        <v>72</v>
      </c>
      <c r="F4243" s="425">
        <v>425</v>
      </c>
      <c r="G4243" s="420" t="s">
        <v>4186</v>
      </c>
      <c r="H4243" s="634">
        <v>600000</v>
      </c>
      <c r="I4243" s="635"/>
      <c r="J4243" s="635">
        <f t="shared" si="130"/>
        <v>600000</v>
      </c>
      <c r="K4243" s="575"/>
      <c r="L4243" s="575"/>
      <c r="M4243" s="575"/>
      <c r="N4243" s="575"/>
      <c r="O4243" s="575"/>
      <c r="P4243" s="575"/>
      <c r="Q4243" s="575"/>
      <c r="R4243" s="575"/>
      <c r="S4243" s="575"/>
      <c r="T4243" s="575"/>
      <c r="U4243" s="575"/>
      <c r="V4243" s="575"/>
      <c r="W4243" s="575"/>
      <c r="X4243" s="575"/>
      <c r="Y4243" s="575"/>
    </row>
    <row r="4244" spans="1:25" s="88" customFormat="1" ht="15.75" thickBot="1">
      <c r="A4244" s="263"/>
      <c r="B4244" s="263"/>
      <c r="C4244" s="266"/>
      <c r="D4244" s="263"/>
      <c r="E4244" s="263">
        <v>73</v>
      </c>
      <c r="F4244" s="425">
        <v>426</v>
      </c>
      <c r="G4244" s="420" t="s">
        <v>3791</v>
      </c>
      <c r="H4244" s="634">
        <v>700000</v>
      </c>
      <c r="I4244" s="635"/>
      <c r="J4244" s="635">
        <f t="shared" si="130"/>
        <v>700000</v>
      </c>
      <c r="K4244" s="575"/>
      <c r="L4244" s="575"/>
      <c r="M4244" s="575"/>
      <c r="N4244" s="575"/>
      <c r="O4244" s="575"/>
      <c r="P4244" s="575"/>
      <c r="Q4244" s="575"/>
      <c r="R4244" s="575"/>
      <c r="S4244" s="575"/>
      <c r="T4244" s="575"/>
      <c r="U4244" s="575"/>
      <c r="V4244" s="575"/>
      <c r="W4244" s="575"/>
      <c r="X4244" s="575"/>
      <c r="Y4244" s="575"/>
    </row>
    <row r="4245" spans="1:25" s="88" customFormat="1" hidden="1">
      <c r="A4245" s="263"/>
      <c r="B4245" s="263"/>
      <c r="C4245" s="266"/>
      <c r="D4245" s="263"/>
      <c r="E4245" s="263"/>
      <c r="F4245" s="425">
        <v>431</v>
      </c>
      <c r="G4245" s="420" t="s">
        <v>4187</v>
      </c>
      <c r="H4245" s="634"/>
      <c r="I4245" s="635"/>
      <c r="J4245" s="635">
        <f t="shared" si="130"/>
        <v>0</v>
      </c>
      <c r="K4245" s="575"/>
      <c r="L4245" s="575"/>
      <c r="M4245" s="575"/>
      <c r="N4245" s="575"/>
      <c r="O4245" s="575"/>
      <c r="P4245" s="575"/>
      <c r="Q4245" s="575"/>
      <c r="R4245" s="575"/>
      <c r="S4245" s="575"/>
      <c r="T4245" s="575"/>
      <c r="U4245" s="575"/>
      <c r="V4245" s="575"/>
      <c r="W4245" s="575"/>
      <c r="X4245" s="575"/>
      <c r="Y4245" s="575"/>
    </row>
    <row r="4246" spans="1:25" s="88" customFormat="1" hidden="1">
      <c r="A4246" s="263"/>
      <c r="B4246" s="263"/>
      <c r="C4246" s="266"/>
      <c r="D4246" s="263"/>
      <c r="E4246" s="263"/>
      <c r="F4246" s="425">
        <v>432</v>
      </c>
      <c r="G4246" s="420" t="s">
        <v>4188</v>
      </c>
      <c r="H4246" s="634"/>
      <c r="I4246" s="635"/>
      <c r="J4246" s="635">
        <f t="shared" si="130"/>
        <v>0</v>
      </c>
      <c r="K4246" s="575"/>
      <c r="L4246" s="575"/>
      <c r="M4246" s="575"/>
      <c r="N4246" s="575"/>
      <c r="O4246" s="575"/>
      <c r="P4246" s="575"/>
      <c r="Q4246" s="575"/>
      <c r="R4246" s="575"/>
      <c r="S4246" s="575"/>
      <c r="T4246" s="575"/>
      <c r="U4246" s="575"/>
      <c r="V4246" s="575"/>
      <c r="W4246" s="575"/>
      <c r="X4246" s="575"/>
      <c r="Y4246" s="575"/>
    </row>
    <row r="4247" spans="1:25" s="88" customFormat="1" hidden="1">
      <c r="A4247" s="263"/>
      <c r="B4247" s="263"/>
      <c r="C4247" s="266"/>
      <c r="D4247" s="263"/>
      <c r="E4247" s="263"/>
      <c r="F4247" s="425">
        <v>433</v>
      </c>
      <c r="G4247" s="420" t="s">
        <v>4189</v>
      </c>
      <c r="H4247" s="634"/>
      <c r="I4247" s="635"/>
      <c r="J4247" s="635">
        <f t="shared" si="130"/>
        <v>0</v>
      </c>
      <c r="K4247" s="575"/>
      <c r="L4247" s="575"/>
      <c r="M4247" s="575"/>
      <c r="N4247" s="575"/>
      <c r="O4247" s="575"/>
      <c r="P4247" s="575"/>
      <c r="Q4247" s="575"/>
      <c r="R4247" s="575"/>
      <c r="S4247" s="575"/>
      <c r="T4247" s="575"/>
      <c r="U4247" s="575"/>
      <c r="V4247" s="575"/>
      <c r="W4247" s="575"/>
      <c r="X4247" s="575"/>
      <c r="Y4247" s="575"/>
    </row>
    <row r="4248" spans="1:25" s="88" customFormat="1" hidden="1">
      <c r="A4248" s="263"/>
      <c r="B4248" s="263"/>
      <c r="C4248" s="266"/>
      <c r="D4248" s="263"/>
      <c r="E4248" s="263"/>
      <c r="F4248" s="425">
        <v>434</v>
      </c>
      <c r="G4248" s="420" t="s">
        <v>4190</v>
      </c>
      <c r="H4248" s="634"/>
      <c r="I4248" s="635"/>
      <c r="J4248" s="635">
        <f t="shared" si="130"/>
        <v>0</v>
      </c>
      <c r="K4248" s="575"/>
      <c r="L4248" s="575"/>
      <c r="M4248" s="575"/>
      <c r="N4248" s="575"/>
      <c r="O4248" s="575"/>
      <c r="P4248" s="575"/>
      <c r="Q4248" s="575"/>
      <c r="R4248" s="575"/>
      <c r="S4248" s="575"/>
      <c r="T4248" s="575"/>
      <c r="U4248" s="575"/>
      <c r="V4248" s="575"/>
      <c r="W4248" s="575"/>
      <c r="X4248" s="575"/>
      <c r="Y4248" s="575"/>
    </row>
    <row r="4249" spans="1:25" s="88" customFormat="1" hidden="1">
      <c r="A4249" s="263"/>
      <c r="B4249" s="263"/>
      <c r="C4249" s="266"/>
      <c r="D4249" s="263"/>
      <c r="E4249" s="263"/>
      <c r="F4249" s="425">
        <v>435</v>
      </c>
      <c r="G4249" s="420" t="s">
        <v>3798</v>
      </c>
      <c r="H4249" s="634"/>
      <c r="I4249" s="635"/>
      <c r="J4249" s="635">
        <f t="shared" si="130"/>
        <v>0</v>
      </c>
      <c r="K4249" s="575"/>
      <c r="L4249" s="575"/>
      <c r="M4249" s="575"/>
      <c r="N4249" s="575"/>
      <c r="O4249" s="575"/>
      <c r="P4249" s="575"/>
      <c r="Q4249" s="575"/>
      <c r="R4249" s="575"/>
      <c r="S4249" s="575"/>
      <c r="T4249" s="575"/>
      <c r="U4249" s="575"/>
      <c r="V4249" s="575"/>
      <c r="W4249" s="575"/>
      <c r="X4249" s="575"/>
      <c r="Y4249" s="575"/>
    </row>
    <row r="4250" spans="1:25" s="88" customFormat="1" hidden="1">
      <c r="A4250" s="263"/>
      <c r="B4250" s="263"/>
      <c r="C4250" s="266"/>
      <c r="D4250" s="263"/>
      <c r="E4250" s="263"/>
      <c r="F4250" s="425">
        <v>441</v>
      </c>
      <c r="G4250" s="420" t="s">
        <v>4191</v>
      </c>
      <c r="H4250" s="634"/>
      <c r="I4250" s="635"/>
      <c r="J4250" s="635">
        <f t="shared" si="130"/>
        <v>0</v>
      </c>
      <c r="K4250" s="575"/>
      <c r="L4250" s="575"/>
      <c r="M4250" s="575"/>
      <c r="N4250" s="575"/>
      <c r="O4250" s="575"/>
      <c r="P4250" s="575"/>
      <c r="Q4250" s="575"/>
      <c r="R4250" s="575"/>
      <c r="S4250" s="575"/>
      <c r="T4250" s="575"/>
      <c r="U4250" s="575"/>
      <c r="V4250" s="575"/>
      <c r="W4250" s="575"/>
      <c r="X4250" s="575"/>
      <c r="Y4250" s="575"/>
    </row>
    <row r="4251" spans="1:25" s="88" customFormat="1" hidden="1">
      <c r="A4251" s="263"/>
      <c r="B4251" s="263"/>
      <c r="C4251" s="266"/>
      <c r="D4251" s="263"/>
      <c r="E4251" s="263"/>
      <c r="F4251" s="425">
        <v>442</v>
      </c>
      <c r="G4251" s="420" t="s">
        <v>4192</v>
      </c>
      <c r="H4251" s="634"/>
      <c r="I4251" s="635"/>
      <c r="J4251" s="635">
        <f t="shared" si="130"/>
        <v>0</v>
      </c>
      <c r="K4251" s="575"/>
      <c r="L4251" s="575"/>
      <c r="M4251" s="575"/>
      <c r="N4251" s="575"/>
      <c r="O4251" s="575"/>
      <c r="P4251" s="575"/>
      <c r="Q4251" s="575"/>
      <c r="R4251" s="575"/>
      <c r="S4251" s="575"/>
      <c r="T4251" s="575"/>
      <c r="U4251" s="575"/>
      <c r="V4251" s="575"/>
      <c r="W4251" s="575"/>
      <c r="X4251" s="575"/>
      <c r="Y4251" s="575"/>
    </row>
    <row r="4252" spans="1:25" s="88" customFormat="1" hidden="1">
      <c r="A4252" s="263"/>
      <c r="B4252" s="263"/>
      <c r="C4252" s="266"/>
      <c r="D4252" s="263"/>
      <c r="E4252" s="263"/>
      <c r="F4252" s="425">
        <v>443</v>
      </c>
      <c r="G4252" s="420" t="s">
        <v>3803</v>
      </c>
      <c r="H4252" s="634"/>
      <c r="I4252" s="635"/>
      <c r="J4252" s="635">
        <f t="shared" si="130"/>
        <v>0</v>
      </c>
      <c r="K4252" s="575"/>
      <c r="L4252" s="575"/>
      <c r="M4252" s="575"/>
      <c r="N4252" s="575"/>
      <c r="O4252" s="575"/>
      <c r="P4252" s="575"/>
      <c r="Q4252" s="575"/>
      <c r="R4252" s="575"/>
      <c r="S4252" s="575"/>
      <c r="T4252" s="575"/>
      <c r="U4252" s="575"/>
      <c r="V4252" s="575"/>
      <c r="W4252" s="575"/>
      <c r="X4252" s="575"/>
      <c r="Y4252" s="575"/>
    </row>
    <row r="4253" spans="1:25" s="88" customFormat="1" hidden="1">
      <c r="A4253" s="263"/>
      <c r="B4253" s="263"/>
      <c r="C4253" s="266"/>
      <c r="D4253" s="263"/>
      <c r="E4253" s="263"/>
      <c r="F4253" s="425">
        <v>444</v>
      </c>
      <c r="G4253" s="420" t="s">
        <v>3804</v>
      </c>
      <c r="H4253" s="634"/>
      <c r="I4253" s="635"/>
      <c r="J4253" s="635">
        <f t="shared" si="130"/>
        <v>0</v>
      </c>
      <c r="K4253" s="575"/>
      <c r="L4253" s="575"/>
      <c r="M4253" s="575"/>
      <c r="N4253" s="575"/>
      <c r="O4253" s="575"/>
      <c r="P4253" s="575"/>
      <c r="Q4253" s="575"/>
      <c r="R4253" s="575"/>
      <c r="S4253" s="575"/>
      <c r="T4253" s="575"/>
      <c r="U4253" s="575"/>
      <c r="V4253" s="575"/>
      <c r="W4253" s="575"/>
      <c r="X4253" s="575"/>
      <c r="Y4253" s="575"/>
    </row>
    <row r="4254" spans="1:25" s="88" customFormat="1" ht="30" hidden="1">
      <c r="A4254" s="263"/>
      <c r="B4254" s="263"/>
      <c r="C4254" s="266"/>
      <c r="D4254" s="263"/>
      <c r="E4254" s="263"/>
      <c r="F4254" s="425">
        <v>4511</v>
      </c>
      <c r="G4254" s="268" t="s">
        <v>1690</v>
      </c>
      <c r="H4254" s="634"/>
      <c r="I4254" s="635"/>
      <c r="J4254" s="635">
        <f t="shared" si="130"/>
        <v>0</v>
      </c>
      <c r="K4254" s="575"/>
      <c r="L4254" s="575"/>
      <c r="M4254" s="575"/>
      <c r="N4254" s="575"/>
      <c r="O4254" s="575"/>
      <c r="P4254" s="575"/>
      <c r="Q4254" s="575"/>
      <c r="R4254" s="575"/>
      <c r="S4254" s="575"/>
      <c r="T4254" s="575"/>
      <c r="U4254" s="575"/>
      <c r="V4254" s="575"/>
      <c r="W4254" s="575"/>
      <c r="X4254" s="575"/>
      <c r="Y4254" s="575"/>
    </row>
    <row r="4255" spans="1:25" s="88" customFormat="1" ht="30" hidden="1">
      <c r="A4255" s="263"/>
      <c r="B4255" s="263"/>
      <c r="C4255" s="266"/>
      <c r="D4255" s="263"/>
      <c r="E4255" s="263"/>
      <c r="F4255" s="425">
        <v>4512</v>
      </c>
      <c r="G4255" s="268" t="s">
        <v>1699</v>
      </c>
      <c r="H4255" s="634"/>
      <c r="I4255" s="635"/>
      <c r="J4255" s="635">
        <f t="shared" si="130"/>
        <v>0</v>
      </c>
      <c r="K4255" s="575"/>
      <c r="L4255" s="575"/>
      <c r="M4255" s="575"/>
      <c r="N4255" s="575"/>
      <c r="O4255" s="575"/>
      <c r="P4255" s="575"/>
      <c r="Q4255" s="575"/>
      <c r="R4255" s="575"/>
      <c r="S4255" s="575"/>
      <c r="T4255" s="575"/>
      <c r="U4255" s="575"/>
      <c r="V4255" s="575"/>
      <c r="W4255" s="575"/>
      <c r="X4255" s="575"/>
      <c r="Y4255" s="575"/>
    </row>
    <row r="4256" spans="1:25" s="88" customFormat="1" hidden="1">
      <c r="A4256" s="263"/>
      <c r="B4256" s="263"/>
      <c r="C4256" s="266"/>
      <c r="D4256" s="263"/>
      <c r="E4256" s="263"/>
      <c r="F4256" s="425">
        <v>452</v>
      </c>
      <c r="G4256" s="420" t="s">
        <v>4193</v>
      </c>
      <c r="H4256" s="634"/>
      <c r="I4256" s="635"/>
      <c r="J4256" s="635">
        <f t="shared" si="130"/>
        <v>0</v>
      </c>
      <c r="K4256" s="575"/>
      <c r="L4256" s="575"/>
      <c r="M4256" s="575"/>
      <c r="N4256" s="575"/>
      <c r="O4256" s="575"/>
      <c r="P4256" s="575"/>
      <c r="Q4256" s="575"/>
      <c r="R4256" s="575"/>
      <c r="S4256" s="575"/>
      <c r="T4256" s="575"/>
      <c r="U4256" s="575"/>
      <c r="V4256" s="575"/>
      <c r="W4256" s="575"/>
      <c r="X4256" s="575"/>
      <c r="Y4256" s="575"/>
    </row>
    <row r="4257" spans="1:25" s="88" customFormat="1" hidden="1">
      <c r="A4257" s="263"/>
      <c r="B4257" s="263"/>
      <c r="C4257" s="266"/>
      <c r="D4257" s="263"/>
      <c r="E4257" s="263"/>
      <c r="F4257" s="425">
        <v>453</v>
      </c>
      <c r="G4257" s="420" t="s">
        <v>4194</v>
      </c>
      <c r="H4257" s="634"/>
      <c r="I4257" s="635"/>
      <c r="J4257" s="635">
        <f t="shared" si="130"/>
        <v>0</v>
      </c>
      <c r="K4257" s="575"/>
      <c r="L4257" s="575"/>
      <c r="M4257" s="575"/>
      <c r="N4257" s="575"/>
      <c r="O4257" s="575"/>
      <c r="P4257" s="575"/>
      <c r="Q4257" s="575"/>
      <c r="R4257" s="575"/>
      <c r="S4257" s="575"/>
      <c r="T4257" s="575"/>
      <c r="U4257" s="575"/>
      <c r="V4257" s="575"/>
      <c r="W4257" s="575"/>
      <c r="X4257" s="575"/>
      <c r="Y4257" s="575"/>
    </row>
    <row r="4258" spans="1:25" s="88" customFormat="1" hidden="1">
      <c r="A4258" s="263"/>
      <c r="B4258" s="263"/>
      <c r="C4258" s="266"/>
      <c r="D4258" s="263"/>
      <c r="E4258" s="263"/>
      <c r="F4258" s="425">
        <v>454</v>
      </c>
      <c r="G4258" s="420" t="s">
        <v>3809</v>
      </c>
      <c r="H4258" s="634"/>
      <c r="I4258" s="635"/>
      <c r="J4258" s="635">
        <f t="shared" si="130"/>
        <v>0</v>
      </c>
      <c r="K4258" s="575"/>
      <c r="L4258" s="575"/>
      <c r="M4258" s="575"/>
      <c r="N4258" s="575"/>
      <c r="O4258" s="575"/>
      <c r="P4258" s="575"/>
      <c r="Q4258" s="575"/>
      <c r="R4258" s="575"/>
      <c r="S4258" s="575"/>
      <c r="T4258" s="575"/>
      <c r="U4258" s="575"/>
      <c r="V4258" s="575"/>
      <c r="W4258" s="575"/>
      <c r="X4258" s="575"/>
      <c r="Y4258" s="575"/>
    </row>
    <row r="4259" spans="1:25" s="88" customFormat="1" hidden="1">
      <c r="A4259" s="263"/>
      <c r="B4259" s="263"/>
      <c r="C4259" s="266"/>
      <c r="D4259" s="263"/>
      <c r="E4259" s="263"/>
      <c r="F4259" s="425">
        <v>461</v>
      </c>
      <c r="G4259" s="420" t="s">
        <v>4175</v>
      </c>
      <c r="H4259" s="634"/>
      <c r="I4259" s="635"/>
      <c r="J4259" s="635">
        <f t="shared" si="130"/>
        <v>0</v>
      </c>
      <c r="K4259" s="575"/>
      <c r="L4259" s="575"/>
      <c r="M4259" s="575"/>
      <c r="N4259" s="575"/>
      <c r="O4259" s="575"/>
      <c r="P4259" s="575"/>
      <c r="Q4259" s="575"/>
      <c r="R4259" s="575"/>
      <c r="S4259" s="575"/>
      <c r="T4259" s="575"/>
      <c r="U4259" s="575"/>
      <c r="V4259" s="575"/>
      <c r="W4259" s="575"/>
      <c r="X4259" s="575"/>
      <c r="Y4259" s="575"/>
    </row>
    <row r="4260" spans="1:25" s="88" customFormat="1" hidden="1">
      <c r="A4260" s="263"/>
      <c r="B4260" s="263"/>
      <c r="C4260" s="266"/>
      <c r="D4260" s="263"/>
      <c r="E4260" s="263"/>
      <c r="F4260" s="425">
        <v>462</v>
      </c>
      <c r="G4260" s="420" t="s">
        <v>3812</v>
      </c>
      <c r="H4260" s="634"/>
      <c r="I4260" s="635"/>
      <c r="J4260" s="635">
        <f t="shared" si="130"/>
        <v>0</v>
      </c>
      <c r="K4260" s="575"/>
      <c r="L4260" s="575"/>
      <c r="M4260" s="575"/>
      <c r="N4260" s="575"/>
      <c r="O4260" s="575"/>
      <c r="P4260" s="575"/>
      <c r="Q4260" s="575"/>
      <c r="R4260" s="575"/>
      <c r="S4260" s="575"/>
      <c r="T4260" s="575"/>
      <c r="U4260" s="575"/>
      <c r="V4260" s="575"/>
      <c r="W4260" s="575"/>
      <c r="X4260" s="575"/>
      <c r="Y4260" s="575"/>
    </row>
    <row r="4261" spans="1:25" s="88" customFormat="1" hidden="1">
      <c r="A4261" s="263"/>
      <c r="B4261" s="263"/>
      <c r="C4261" s="266"/>
      <c r="D4261" s="263"/>
      <c r="E4261" s="263"/>
      <c r="F4261" s="425">
        <v>4631</v>
      </c>
      <c r="G4261" s="420" t="s">
        <v>3813</v>
      </c>
      <c r="H4261" s="634"/>
      <c r="I4261" s="635"/>
      <c r="J4261" s="635">
        <f t="shared" si="130"/>
        <v>0</v>
      </c>
      <c r="K4261" s="575"/>
      <c r="L4261" s="575"/>
      <c r="M4261" s="575"/>
      <c r="N4261" s="575"/>
      <c r="O4261" s="575"/>
      <c r="P4261" s="575"/>
      <c r="Q4261" s="575"/>
      <c r="R4261" s="575"/>
      <c r="S4261" s="575"/>
      <c r="T4261" s="575"/>
      <c r="U4261" s="575"/>
      <c r="V4261" s="575"/>
      <c r="W4261" s="575"/>
      <c r="X4261" s="575"/>
      <c r="Y4261" s="575"/>
    </row>
    <row r="4262" spans="1:25" s="88" customFormat="1" hidden="1">
      <c r="A4262" s="263"/>
      <c r="B4262" s="263"/>
      <c r="C4262" s="266"/>
      <c r="D4262" s="263"/>
      <c r="E4262" s="263"/>
      <c r="F4262" s="425">
        <v>4632</v>
      </c>
      <c r="G4262" s="420" t="s">
        <v>3814</v>
      </c>
      <c r="H4262" s="634"/>
      <c r="I4262" s="635"/>
      <c r="J4262" s="635">
        <f t="shared" si="130"/>
        <v>0</v>
      </c>
      <c r="K4262" s="575"/>
      <c r="L4262" s="575"/>
      <c r="M4262" s="575"/>
      <c r="N4262" s="575"/>
      <c r="O4262" s="575"/>
      <c r="P4262" s="575"/>
      <c r="Q4262" s="575"/>
      <c r="R4262" s="575"/>
      <c r="S4262" s="575"/>
      <c r="T4262" s="575"/>
      <c r="U4262" s="575"/>
      <c r="V4262" s="575"/>
      <c r="W4262" s="575"/>
      <c r="X4262" s="575"/>
      <c r="Y4262" s="575"/>
    </row>
    <row r="4263" spans="1:25" s="88" customFormat="1" hidden="1">
      <c r="A4263" s="263"/>
      <c r="B4263" s="263"/>
      <c r="C4263" s="266"/>
      <c r="D4263" s="263"/>
      <c r="E4263" s="263"/>
      <c r="F4263" s="425">
        <v>464</v>
      </c>
      <c r="G4263" s="420" t="s">
        <v>3815</v>
      </c>
      <c r="H4263" s="634"/>
      <c r="I4263" s="635"/>
      <c r="J4263" s="635">
        <f t="shared" si="130"/>
        <v>0</v>
      </c>
      <c r="K4263" s="575"/>
      <c r="L4263" s="575"/>
      <c r="M4263" s="575"/>
      <c r="N4263" s="575"/>
      <c r="O4263" s="575"/>
      <c r="P4263" s="575"/>
      <c r="Q4263" s="575"/>
      <c r="R4263" s="575"/>
      <c r="S4263" s="575"/>
      <c r="T4263" s="575"/>
      <c r="U4263" s="575"/>
      <c r="V4263" s="575"/>
      <c r="W4263" s="575"/>
      <c r="X4263" s="575"/>
      <c r="Y4263" s="575"/>
    </row>
    <row r="4264" spans="1:25" s="88" customFormat="1" hidden="1">
      <c r="A4264" s="263"/>
      <c r="B4264" s="263"/>
      <c r="C4264" s="266"/>
      <c r="D4264" s="263"/>
      <c r="E4264" s="263"/>
      <c r="F4264" s="425">
        <v>465</v>
      </c>
      <c r="G4264" s="420" t="s">
        <v>4176</v>
      </c>
      <c r="H4264" s="634"/>
      <c r="I4264" s="635"/>
      <c r="J4264" s="635">
        <f t="shared" si="130"/>
        <v>0</v>
      </c>
      <c r="K4264" s="575"/>
      <c r="L4264" s="575"/>
      <c r="M4264" s="575"/>
      <c r="N4264" s="575"/>
      <c r="O4264" s="575"/>
      <c r="P4264" s="575"/>
      <c r="Q4264" s="575"/>
      <c r="R4264" s="575"/>
      <c r="S4264" s="575"/>
      <c r="T4264" s="575"/>
      <c r="U4264" s="575"/>
      <c r="V4264" s="575"/>
      <c r="W4264" s="575"/>
      <c r="X4264" s="575"/>
      <c r="Y4264" s="575"/>
    </row>
    <row r="4265" spans="1:25" s="88" customFormat="1" hidden="1">
      <c r="A4265" s="263"/>
      <c r="B4265" s="263"/>
      <c r="C4265" s="266"/>
      <c r="D4265" s="263"/>
      <c r="E4265" s="263"/>
      <c r="F4265" s="425">
        <v>472</v>
      </c>
      <c r="G4265" s="420" t="s">
        <v>3819</v>
      </c>
      <c r="H4265" s="634"/>
      <c r="I4265" s="635"/>
      <c r="J4265" s="635">
        <f t="shared" si="130"/>
        <v>0</v>
      </c>
      <c r="K4265" s="575"/>
      <c r="L4265" s="575"/>
      <c r="M4265" s="575"/>
      <c r="N4265" s="575"/>
      <c r="O4265" s="575"/>
      <c r="P4265" s="575"/>
      <c r="Q4265" s="575"/>
      <c r="R4265" s="575"/>
      <c r="S4265" s="575"/>
      <c r="T4265" s="575"/>
      <c r="U4265" s="575"/>
      <c r="V4265" s="575"/>
      <c r="W4265" s="575"/>
      <c r="X4265" s="575"/>
      <c r="Y4265" s="575"/>
    </row>
    <row r="4266" spans="1:25" s="88" customFormat="1" hidden="1">
      <c r="A4266" s="263"/>
      <c r="B4266" s="263"/>
      <c r="C4266" s="266"/>
      <c r="D4266" s="263"/>
      <c r="E4266" s="263"/>
      <c r="F4266" s="425">
        <v>481</v>
      </c>
      <c r="G4266" s="420" t="s">
        <v>4195</v>
      </c>
      <c r="H4266" s="634"/>
      <c r="I4266" s="635"/>
      <c r="J4266" s="635">
        <f t="shared" si="130"/>
        <v>0</v>
      </c>
      <c r="K4266" s="575"/>
      <c r="L4266" s="575"/>
      <c r="M4266" s="575"/>
      <c r="N4266" s="575"/>
      <c r="O4266" s="575"/>
      <c r="P4266" s="575"/>
      <c r="Q4266" s="575"/>
      <c r="R4266" s="575"/>
      <c r="S4266" s="575"/>
      <c r="T4266" s="575"/>
      <c r="U4266" s="575"/>
      <c r="V4266" s="575"/>
      <c r="W4266" s="575"/>
      <c r="X4266" s="575"/>
      <c r="Y4266" s="575"/>
    </row>
    <row r="4267" spans="1:25" s="88" customFormat="1" hidden="1">
      <c r="A4267" s="263"/>
      <c r="B4267" s="263"/>
      <c r="C4267" s="266"/>
      <c r="D4267" s="263"/>
      <c r="E4267" s="263"/>
      <c r="F4267" s="425">
        <v>482</v>
      </c>
      <c r="G4267" s="420" t="s">
        <v>4196</v>
      </c>
      <c r="H4267" s="634"/>
      <c r="I4267" s="635"/>
      <c r="J4267" s="635">
        <f t="shared" si="130"/>
        <v>0</v>
      </c>
      <c r="K4267" s="575"/>
      <c r="L4267" s="575"/>
      <c r="M4267" s="575"/>
      <c r="N4267" s="575"/>
      <c r="O4267" s="575"/>
      <c r="P4267" s="575"/>
      <c r="Q4267" s="575"/>
      <c r="R4267" s="575"/>
      <c r="S4267" s="575"/>
      <c r="T4267" s="575"/>
      <c r="U4267" s="575"/>
      <c r="V4267" s="575"/>
      <c r="W4267" s="575"/>
      <c r="X4267" s="575"/>
      <c r="Y4267" s="575"/>
    </row>
    <row r="4268" spans="1:25" s="88" customFormat="1" hidden="1">
      <c r="A4268" s="263"/>
      <c r="B4268" s="263"/>
      <c r="C4268" s="266"/>
      <c r="D4268" s="263"/>
      <c r="E4268" s="263"/>
      <c r="F4268" s="425">
        <v>483</v>
      </c>
      <c r="G4268" s="423" t="s">
        <v>4197</v>
      </c>
      <c r="H4268" s="634"/>
      <c r="I4268" s="635"/>
      <c r="J4268" s="635">
        <f t="shared" si="130"/>
        <v>0</v>
      </c>
      <c r="K4268" s="575"/>
      <c r="L4268" s="575"/>
      <c r="M4268" s="575"/>
      <c r="N4268" s="575"/>
      <c r="O4268" s="575"/>
      <c r="P4268" s="575"/>
      <c r="Q4268" s="575"/>
      <c r="R4268" s="575"/>
      <c r="S4268" s="575"/>
      <c r="T4268" s="575"/>
      <c r="U4268" s="575"/>
      <c r="V4268" s="575"/>
      <c r="W4268" s="575"/>
      <c r="X4268" s="575"/>
      <c r="Y4268" s="575"/>
    </row>
    <row r="4269" spans="1:25" s="88" customFormat="1" ht="30" hidden="1">
      <c r="A4269" s="263"/>
      <c r="B4269" s="263"/>
      <c r="C4269" s="266"/>
      <c r="D4269" s="263"/>
      <c r="E4269" s="263"/>
      <c r="F4269" s="425">
        <v>484</v>
      </c>
      <c r="G4269" s="420" t="s">
        <v>4198</v>
      </c>
      <c r="H4269" s="634"/>
      <c r="I4269" s="635"/>
      <c r="J4269" s="635">
        <f t="shared" si="130"/>
        <v>0</v>
      </c>
      <c r="K4269" s="575"/>
      <c r="L4269" s="575"/>
      <c r="M4269" s="575"/>
      <c r="N4269" s="575"/>
      <c r="O4269" s="575"/>
      <c r="P4269" s="575"/>
      <c r="Q4269" s="575"/>
      <c r="R4269" s="575"/>
      <c r="S4269" s="575"/>
      <c r="T4269" s="575"/>
      <c r="U4269" s="575"/>
      <c r="V4269" s="575"/>
      <c r="W4269" s="575"/>
      <c r="X4269" s="575"/>
      <c r="Y4269" s="575"/>
    </row>
    <row r="4270" spans="1:25" s="88" customFormat="1" ht="30" hidden="1">
      <c r="A4270" s="263"/>
      <c r="B4270" s="263"/>
      <c r="C4270" s="266"/>
      <c r="D4270" s="263"/>
      <c r="E4270" s="263"/>
      <c r="F4270" s="425">
        <v>485</v>
      </c>
      <c r="G4270" s="420" t="s">
        <v>4199</v>
      </c>
      <c r="H4270" s="634"/>
      <c r="I4270" s="635"/>
      <c r="J4270" s="635">
        <f t="shared" si="130"/>
        <v>0</v>
      </c>
      <c r="K4270" s="575"/>
      <c r="L4270" s="575"/>
      <c r="M4270" s="575"/>
      <c r="N4270" s="575"/>
      <c r="O4270" s="575"/>
      <c r="P4270" s="575"/>
      <c r="Q4270" s="575"/>
      <c r="R4270" s="575"/>
      <c r="S4270" s="575"/>
      <c r="T4270" s="575"/>
      <c r="U4270" s="575"/>
      <c r="V4270" s="575"/>
      <c r="W4270" s="575"/>
      <c r="X4270" s="575"/>
      <c r="Y4270" s="575"/>
    </row>
    <row r="4271" spans="1:25" s="88" customFormat="1" ht="30" hidden="1">
      <c r="A4271" s="263"/>
      <c r="B4271" s="263"/>
      <c r="C4271" s="266"/>
      <c r="D4271" s="263"/>
      <c r="E4271" s="263"/>
      <c r="F4271" s="425">
        <v>489</v>
      </c>
      <c r="G4271" s="420" t="s">
        <v>3827</v>
      </c>
      <c r="H4271" s="634"/>
      <c r="I4271" s="635"/>
      <c r="J4271" s="635">
        <f t="shared" si="130"/>
        <v>0</v>
      </c>
      <c r="K4271" s="575"/>
      <c r="L4271" s="575"/>
      <c r="M4271" s="575"/>
      <c r="N4271" s="575"/>
      <c r="O4271" s="575"/>
      <c r="P4271" s="575"/>
      <c r="Q4271" s="575"/>
      <c r="R4271" s="575"/>
      <c r="S4271" s="575"/>
      <c r="T4271" s="575"/>
      <c r="U4271" s="575"/>
      <c r="V4271" s="575"/>
      <c r="W4271" s="575"/>
      <c r="X4271" s="575"/>
      <c r="Y4271" s="575"/>
    </row>
    <row r="4272" spans="1:25" s="88" customFormat="1" hidden="1">
      <c r="A4272" s="263"/>
      <c r="B4272" s="263"/>
      <c r="C4272" s="266"/>
      <c r="D4272" s="263"/>
      <c r="E4272" s="263"/>
      <c r="F4272" s="425">
        <v>494</v>
      </c>
      <c r="G4272" s="420" t="s">
        <v>4177</v>
      </c>
      <c r="H4272" s="634"/>
      <c r="I4272" s="635"/>
      <c r="J4272" s="635">
        <f t="shared" si="130"/>
        <v>0</v>
      </c>
      <c r="K4272" s="575"/>
      <c r="L4272" s="575"/>
      <c r="M4272" s="575"/>
      <c r="N4272" s="575"/>
      <c r="O4272" s="575"/>
      <c r="P4272" s="575"/>
      <c r="Q4272" s="575"/>
      <c r="R4272" s="575"/>
      <c r="S4272" s="575"/>
      <c r="T4272" s="575"/>
      <c r="U4272" s="575"/>
      <c r="V4272" s="575"/>
      <c r="W4272" s="575"/>
      <c r="X4272" s="575"/>
      <c r="Y4272" s="575"/>
    </row>
    <row r="4273" spans="1:25" s="88" customFormat="1" ht="30" hidden="1">
      <c r="A4273" s="263"/>
      <c r="B4273" s="263"/>
      <c r="C4273" s="266"/>
      <c r="D4273" s="263"/>
      <c r="E4273" s="263"/>
      <c r="F4273" s="425">
        <v>495</v>
      </c>
      <c r="G4273" s="420" t="s">
        <v>4178</v>
      </c>
      <c r="H4273" s="634"/>
      <c r="I4273" s="635"/>
      <c r="J4273" s="635">
        <f t="shared" si="130"/>
        <v>0</v>
      </c>
      <c r="K4273" s="575"/>
      <c r="L4273" s="575"/>
      <c r="M4273" s="575"/>
      <c r="N4273" s="575"/>
      <c r="O4273" s="575"/>
      <c r="P4273" s="575"/>
      <c r="Q4273" s="575"/>
      <c r="R4273" s="575"/>
      <c r="S4273" s="575"/>
      <c r="T4273" s="575"/>
      <c r="U4273" s="575"/>
      <c r="V4273" s="575"/>
      <c r="W4273" s="575"/>
      <c r="X4273" s="575"/>
      <c r="Y4273" s="575"/>
    </row>
    <row r="4274" spans="1:25" s="88" customFormat="1" ht="30" hidden="1">
      <c r="A4274" s="263"/>
      <c r="B4274" s="263"/>
      <c r="C4274" s="266"/>
      <c r="D4274" s="263"/>
      <c r="E4274" s="263"/>
      <c r="F4274" s="425">
        <v>496</v>
      </c>
      <c r="G4274" s="420" t="s">
        <v>4179</v>
      </c>
      <c r="H4274" s="634"/>
      <c r="I4274" s="635"/>
      <c r="J4274" s="635">
        <f t="shared" si="130"/>
        <v>0</v>
      </c>
      <c r="K4274" s="575"/>
      <c r="L4274" s="575"/>
      <c r="M4274" s="575"/>
      <c r="N4274" s="575"/>
      <c r="O4274" s="575"/>
      <c r="P4274" s="575"/>
      <c r="Q4274" s="575"/>
      <c r="R4274" s="575"/>
      <c r="S4274" s="575"/>
      <c r="T4274" s="575"/>
      <c r="U4274" s="575"/>
      <c r="V4274" s="575"/>
      <c r="W4274" s="575"/>
      <c r="X4274" s="575"/>
      <c r="Y4274" s="575"/>
    </row>
    <row r="4275" spans="1:25" s="88" customFormat="1" hidden="1">
      <c r="A4275" s="263"/>
      <c r="B4275" s="263"/>
      <c r="C4275" s="266"/>
      <c r="D4275" s="263"/>
      <c r="E4275" s="263"/>
      <c r="F4275" s="425">
        <v>499</v>
      </c>
      <c r="G4275" s="420" t="s">
        <v>4180</v>
      </c>
      <c r="H4275" s="634"/>
      <c r="I4275" s="635"/>
      <c r="J4275" s="635">
        <f t="shared" si="130"/>
        <v>0</v>
      </c>
      <c r="K4275" s="575"/>
      <c r="L4275" s="575"/>
      <c r="M4275" s="575"/>
      <c r="N4275" s="575"/>
      <c r="O4275" s="575"/>
      <c r="P4275" s="575"/>
      <c r="Q4275" s="575"/>
      <c r="R4275" s="575"/>
      <c r="S4275" s="575"/>
      <c r="T4275" s="575"/>
      <c r="U4275" s="575"/>
      <c r="V4275" s="575"/>
      <c r="W4275" s="575"/>
      <c r="X4275" s="575"/>
      <c r="Y4275" s="575"/>
    </row>
    <row r="4276" spans="1:25" s="88" customFormat="1" hidden="1">
      <c r="A4276" s="263"/>
      <c r="B4276" s="263"/>
      <c r="C4276" s="266"/>
      <c r="D4276" s="263"/>
      <c r="E4276" s="263"/>
      <c r="F4276" s="425">
        <v>511</v>
      </c>
      <c r="G4276" s="423" t="s">
        <v>4200</v>
      </c>
      <c r="H4276" s="634"/>
      <c r="I4276" s="635"/>
      <c r="J4276" s="635">
        <f t="shared" si="130"/>
        <v>0</v>
      </c>
      <c r="K4276" s="575"/>
      <c r="L4276" s="575"/>
      <c r="M4276" s="575"/>
      <c r="N4276" s="575"/>
      <c r="O4276" s="575"/>
      <c r="P4276" s="575"/>
      <c r="Q4276" s="575"/>
      <c r="R4276" s="575"/>
      <c r="S4276" s="575"/>
      <c r="T4276" s="575"/>
      <c r="U4276" s="575"/>
      <c r="V4276" s="575"/>
      <c r="W4276" s="575"/>
      <c r="X4276" s="575"/>
      <c r="Y4276" s="575"/>
    </row>
    <row r="4277" spans="1:25" s="88" customFormat="1" hidden="1">
      <c r="A4277" s="263"/>
      <c r="B4277" s="263"/>
      <c r="C4277" s="266"/>
      <c r="D4277" s="263"/>
      <c r="E4277" s="263"/>
      <c r="F4277" s="425">
        <v>512</v>
      </c>
      <c r="G4277" s="423" t="s">
        <v>4201</v>
      </c>
      <c r="H4277" s="634"/>
      <c r="I4277" s="635"/>
      <c r="J4277" s="635">
        <f t="shared" si="130"/>
        <v>0</v>
      </c>
      <c r="K4277" s="575"/>
      <c r="L4277" s="575"/>
      <c r="M4277" s="575"/>
      <c r="N4277" s="575"/>
      <c r="O4277" s="575"/>
      <c r="P4277" s="575"/>
      <c r="Q4277" s="575"/>
      <c r="R4277" s="575"/>
      <c r="S4277" s="575"/>
      <c r="T4277" s="575"/>
      <c r="U4277" s="575"/>
      <c r="V4277" s="575"/>
      <c r="W4277" s="575"/>
      <c r="X4277" s="575"/>
      <c r="Y4277" s="575"/>
    </row>
    <row r="4278" spans="1:25" s="88" customFormat="1" hidden="1">
      <c r="A4278" s="263"/>
      <c r="B4278" s="263"/>
      <c r="C4278" s="266"/>
      <c r="D4278" s="263"/>
      <c r="E4278" s="263"/>
      <c r="F4278" s="425">
        <v>513</v>
      </c>
      <c r="G4278" s="423" t="s">
        <v>4202</v>
      </c>
      <c r="H4278" s="634"/>
      <c r="I4278" s="635"/>
      <c r="J4278" s="635">
        <f t="shared" si="130"/>
        <v>0</v>
      </c>
      <c r="K4278" s="575"/>
      <c r="L4278" s="575"/>
      <c r="M4278" s="575"/>
      <c r="N4278" s="575"/>
      <c r="O4278" s="575"/>
      <c r="P4278" s="575"/>
      <c r="Q4278" s="575"/>
      <c r="R4278" s="575"/>
      <c r="S4278" s="575"/>
      <c r="T4278" s="575"/>
      <c r="U4278" s="575"/>
      <c r="V4278" s="575"/>
      <c r="W4278" s="575"/>
      <c r="X4278" s="575"/>
      <c r="Y4278" s="575"/>
    </row>
    <row r="4279" spans="1:25" s="88" customFormat="1" hidden="1">
      <c r="A4279" s="263"/>
      <c r="B4279" s="263"/>
      <c r="C4279" s="266"/>
      <c r="D4279" s="263"/>
      <c r="E4279" s="263"/>
      <c r="F4279" s="425">
        <v>514</v>
      </c>
      <c r="G4279" s="420" t="s">
        <v>4203</v>
      </c>
      <c r="H4279" s="634"/>
      <c r="I4279" s="635"/>
      <c r="J4279" s="635">
        <f t="shared" si="130"/>
        <v>0</v>
      </c>
      <c r="K4279" s="575"/>
      <c r="L4279" s="575"/>
      <c r="M4279" s="575"/>
      <c r="N4279" s="575"/>
      <c r="O4279" s="575"/>
      <c r="P4279" s="575"/>
      <c r="Q4279" s="575"/>
      <c r="R4279" s="575"/>
      <c r="S4279" s="575"/>
      <c r="T4279" s="575"/>
      <c r="U4279" s="575"/>
      <c r="V4279" s="575"/>
      <c r="W4279" s="575"/>
      <c r="X4279" s="575"/>
      <c r="Y4279" s="575"/>
    </row>
    <row r="4280" spans="1:25" s="88" customFormat="1" hidden="1">
      <c r="A4280" s="263"/>
      <c r="B4280" s="263"/>
      <c r="C4280" s="266"/>
      <c r="D4280" s="263"/>
      <c r="E4280" s="263"/>
      <c r="F4280" s="425">
        <v>515</v>
      </c>
      <c r="G4280" s="420" t="s">
        <v>3838</v>
      </c>
      <c r="H4280" s="634"/>
      <c r="I4280" s="635"/>
      <c r="J4280" s="635">
        <f t="shared" si="130"/>
        <v>0</v>
      </c>
      <c r="K4280" s="575"/>
      <c r="L4280" s="575"/>
      <c r="M4280" s="575"/>
      <c r="N4280" s="575"/>
      <c r="O4280" s="575"/>
      <c r="P4280" s="575"/>
      <c r="Q4280" s="575"/>
      <c r="R4280" s="575"/>
      <c r="S4280" s="575"/>
      <c r="T4280" s="575"/>
      <c r="U4280" s="575"/>
      <c r="V4280" s="575"/>
      <c r="W4280" s="575"/>
      <c r="X4280" s="575"/>
      <c r="Y4280" s="575"/>
    </row>
    <row r="4281" spans="1:25" s="88" customFormat="1" hidden="1">
      <c r="A4281" s="263"/>
      <c r="B4281" s="263"/>
      <c r="C4281" s="266"/>
      <c r="D4281" s="263"/>
      <c r="E4281" s="263"/>
      <c r="F4281" s="425">
        <v>521</v>
      </c>
      <c r="G4281" s="420" t="s">
        <v>4204</v>
      </c>
      <c r="H4281" s="634"/>
      <c r="I4281" s="635"/>
      <c r="J4281" s="635">
        <f t="shared" si="130"/>
        <v>0</v>
      </c>
      <c r="K4281" s="575"/>
      <c r="L4281" s="575"/>
      <c r="M4281" s="575"/>
      <c r="N4281" s="575"/>
      <c r="O4281" s="575"/>
      <c r="P4281" s="575"/>
      <c r="Q4281" s="575"/>
      <c r="R4281" s="575"/>
      <c r="S4281" s="575"/>
      <c r="T4281" s="575"/>
      <c r="U4281" s="575"/>
      <c r="V4281" s="575"/>
      <c r="W4281" s="575"/>
      <c r="X4281" s="575"/>
      <c r="Y4281" s="575"/>
    </row>
    <row r="4282" spans="1:25" s="88" customFormat="1" hidden="1">
      <c r="A4282" s="263"/>
      <c r="B4282" s="263"/>
      <c r="C4282" s="266"/>
      <c r="D4282" s="263"/>
      <c r="E4282" s="263"/>
      <c r="F4282" s="425">
        <v>522</v>
      </c>
      <c r="G4282" s="420" t="s">
        <v>4205</v>
      </c>
      <c r="H4282" s="634"/>
      <c r="I4282" s="635"/>
      <c r="J4282" s="635">
        <f t="shared" si="130"/>
        <v>0</v>
      </c>
      <c r="K4282" s="575"/>
      <c r="L4282" s="575"/>
      <c r="M4282" s="575"/>
      <c r="N4282" s="575"/>
      <c r="O4282" s="575"/>
      <c r="P4282" s="575"/>
      <c r="Q4282" s="575"/>
      <c r="R4282" s="575"/>
      <c r="S4282" s="575"/>
      <c r="T4282" s="575"/>
      <c r="U4282" s="575"/>
      <c r="V4282" s="575"/>
      <c r="W4282" s="575"/>
      <c r="X4282" s="575"/>
      <c r="Y4282" s="575"/>
    </row>
    <row r="4283" spans="1:25" s="88" customFormat="1" hidden="1">
      <c r="A4283" s="263"/>
      <c r="B4283" s="263"/>
      <c r="C4283" s="266"/>
      <c r="D4283" s="263"/>
      <c r="E4283" s="263"/>
      <c r="F4283" s="425">
        <v>523</v>
      </c>
      <c r="G4283" s="420" t="s">
        <v>3843</v>
      </c>
      <c r="H4283" s="634"/>
      <c r="I4283" s="635"/>
      <c r="J4283" s="635">
        <f t="shared" si="130"/>
        <v>0</v>
      </c>
      <c r="K4283" s="575"/>
      <c r="L4283" s="575"/>
      <c r="M4283" s="575"/>
      <c r="N4283" s="575"/>
      <c r="O4283" s="575"/>
      <c r="P4283" s="575"/>
      <c r="Q4283" s="575"/>
      <c r="R4283" s="575"/>
      <c r="S4283" s="575"/>
      <c r="T4283" s="575"/>
      <c r="U4283" s="575"/>
      <c r="V4283" s="575"/>
      <c r="W4283" s="575"/>
      <c r="X4283" s="575"/>
      <c r="Y4283" s="575"/>
    </row>
    <row r="4284" spans="1:25" s="88" customFormat="1" hidden="1">
      <c r="A4284" s="263"/>
      <c r="B4284" s="263"/>
      <c r="C4284" s="266"/>
      <c r="D4284" s="263"/>
      <c r="E4284" s="263"/>
      <c r="F4284" s="425">
        <v>531</v>
      </c>
      <c r="G4284" s="418" t="s">
        <v>4181</v>
      </c>
      <c r="H4284" s="634"/>
      <c r="I4284" s="635"/>
      <c r="J4284" s="635">
        <f t="shared" si="130"/>
        <v>0</v>
      </c>
      <c r="K4284" s="575"/>
      <c r="L4284" s="575"/>
      <c r="M4284" s="575"/>
      <c r="N4284" s="575"/>
      <c r="O4284" s="575"/>
      <c r="P4284" s="575"/>
      <c r="Q4284" s="575"/>
      <c r="R4284" s="575"/>
      <c r="S4284" s="575"/>
      <c r="T4284" s="575"/>
      <c r="U4284" s="575"/>
      <c r="V4284" s="575"/>
      <c r="W4284" s="575"/>
      <c r="X4284" s="575"/>
      <c r="Y4284" s="575"/>
    </row>
    <row r="4285" spans="1:25" s="88" customFormat="1" hidden="1">
      <c r="A4285" s="263"/>
      <c r="B4285" s="263"/>
      <c r="C4285" s="266"/>
      <c r="D4285" s="263"/>
      <c r="E4285" s="263"/>
      <c r="F4285" s="425">
        <v>541</v>
      </c>
      <c r="G4285" s="420" t="s">
        <v>4206</v>
      </c>
      <c r="H4285" s="634"/>
      <c r="I4285" s="635"/>
      <c r="J4285" s="635">
        <f t="shared" si="130"/>
        <v>0</v>
      </c>
      <c r="K4285" s="575"/>
      <c r="L4285" s="575"/>
      <c r="M4285" s="575"/>
      <c r="N4285" s="575"/>
      <c r="O4285" s="575"/>
      <c r="P4285" s="575"/>
      <c r="Q4285" s="575"/>
      <c r="R4285" s="575"/>
      <c r="S4285" s="575"/>
      <c r="T4285" s="575"/>
      <c r="U4285" s="575"/>
      <c r="V4285" s="575"/>
      <c r="W4285" s="575"/>
      <c r="X4285" s="575"/>
      <c r="Y4285" s="575"/>
    </row>
    <row r="4286" spans="1:25" s="88" customFormat="1" hidden="1">
      <c r="A4286" s="263"/>
      <c r="B4286" s="263"/>
      <c r="C4286" s="266"/>
      <c r="D4286" s="263"/>
      <c r="E4286" s="263"/>
      <c r="F4286" s="425">
        <v>542</v>
      </c>
      <c r="G4286" s="420" t="s">
        <v>4207</v>
      </c>
      <c r="H4286" s="634"/>
      <c r="I4286" s="635"/>
      <c r="J4286" s="635">
        <f t="shared" si="130"/>
        <v>0</v>
      </c>
      <c r="K4286" s="575"/>
      <c r="L4286" s="575"/>
      <c r="M4286" s="575"/>
      <c r="N4286" s="575"/>
      <c r="O4286" s="575"/>
      <c r="P4286" s="575"/>
      <c r="Q4286" s="575"/>
      <c r="R4286" s="575"/>
      <c r="S4286" s="575"/>
      <c r="T4286" s="575"/>
      <c r="U4286" s="575"/>
      <c r="V4286" s="575"/>
      <c r="W4286" s="575"/>
      <c r="X4286" s="575"/>
      <c r="Y4286" s="575"/>
    </row>
    <row r="4287" spans="1:25" s="88" customFormat="1" hidden="1">
      <c r="A4287" s="263"/>
      <c r="B4287" s="263"/>
      <c r="C4287" s="266"/>
      <c r="D4287" s="263"/>
      <c r="E4287" s="263"/>
      <c r="F4287" s="425">
        <v>543</v>
      </c>
      <c r="G4287" s="420" t="s">
        <v>3848</v>
      </c>
      <c r="H4287" s="634"/>
      <c r="I4287" s="635"/>
      <c r="J4287" s="635">
        <f t="shared" si="130"/>
        <v>0</v>
      </c>
      <c r="K4287" s="575"/>
      <c r="L4287" s="575"/>
      <c r="M4287" s="575"/>
      <c r="N4287" s="575"/>
      <c r="O4287" s="575"/>
      <c r="P4287" s="575"/>
      <c r="Q4287" s="575"/>
      <c r="R4287" s="575"/>
      <c r="S4287" s="575"/>
      <c r="T4287" s="575"/>
      <c r="U4287" s="575"/>
      <c r="V4287" s="575"/>
      <c r="W4287" s="575"/>
      <c r="X4287" s="575"/>
      <c r="Y4287" s="575"/>
    </row>
    <row r="4288" spans="1:25" s="88" customFormat="1" ht="30" hidden="1">
      <c r="A4288" s="263"/>
      <c r="B4288" s="263"/>
      <c r="C4288" s="266"/>
      <c r="D4288" s="263"/>
      <c r="E4288" s="263"/>
      <c r="F4288" s="425">
        <v>551</v>
      </c>
      <c r="G4288" s="420" t="s">
        <v>4182</v>
      </c>
      <c r="H4288" s="634"/>
      <c r="I4288" s="635"/>
      <c r="J4288" s="635">
        <f t="shared" si="130"/>
        <v>0</v>
      </c>
      <c r="K4288" s="575"/>
      <c r="L4288" s="575"/>
      <c r="M4288" s="575"/>
      <c r="N4288" s="575"/>
      <c r="O4288" s="575"/>
      <c r="P4288" s="575"/>
      <c r="Q4288" s="575"/>
      <c r="R4288" s="575"/>
      <c r="S4288" s="575"/>
      <c r="T4288" s="575"/>
      <c r="U4288" s="575"/>
      <c r="V4288" s="575"/>
      <c r="W4288" s="575"/>
      <c r="X4288" s="575"/>
      <c r="Y4288" s="575"/>
    </row>
    <row r="4289" spans="1:25" s="88" customFormat="1" hidden="1">
      <c r="A4289" s="263"/>
      <c r="B4289" s="263"/>
      <c r="C4289" s="266"/>
      <c r="D4289" s="263"/>
      <c r="E4289" s="263"/>
      <c r="F4289" s="426">
        <v>611</v>
      </c>
      <c r="G4289" s="424" t="s">
        <v>3854</v>
      </c>
      <c r="H4289" s="634"/>
      <c r="I4289" s="635"/>
      <c r="J4289" s="635">
        <f t="shared" si="130"/>
        <v>0</v>
      </c>
      <c r="K4289" s="575"/>
      <c r="L4289" s="575"/>
      <c r="M4289" s="575"/>
      <c r="N4289" s="575"/>
      <c r="O4289" s="575"/>
      <c r="P4289" s="575"/>
      <c r="Q4289" s="575"/>
      <c r="R4289" s="575"/>
      <c r="S4289" s="575"/>
      <c r="T4289" s="575"/>
      <c r="U4289" s="575"/>
      <c r="V4289" s="575"/>
      <c r="W4289" s="575"/>
      <c r="X4289" s="575"/>
      <c r="Y4289" s="575"/>
    </row>
    <row r="4290" spans="1:25" s="88" customFormat="1" ht="15.75" hidden="1" thickBot="1">
      <c r="A4290" s="263"/>
      <c r="B4290" s="263"/>
      <c r="C4290" s="266"/>
      <c r="D4290" s="263"/>
      <c r="E4290" s="263"/>
      <c r="F4290" s="426">
        <v>620</v>
      </c>
      <c r="G4290" s="424" t="s">
        <v>88</v>
      </c>
      <c r="H4290" s="634"/>
      <c r="I4290" s="635"/>
      <c r="J4290" s="635">
        <f t="shared" si="130"/>
        <v>0</v>
      </c>
      <c r="K4290" s="575"/>
      <c r="L4290" s="575"/>
      <c r="M4290" s="575"/>
      <c r="N4290" s="575"/>
      <c r="O4290" s="575"/>
      <c r="P4290" s="575"/>
      <c r="Q4290" s="575"/>
      <c r="R4290" s="575"/>
      <c r="S4290" s="575"/>
      <c r="T4290" s="575"/>
      <c r="U4290" s="575"/>
      <c r="V4290" s="575"/>
      <c r="W4290" s="575"/>
      <c r="X4290" s="575"/>
      <c r="Y4290" s="575"/>
    </row>
    <row r="4291" spans="1:25" s="88" customFormat="1">
      <c r="A4291" s="263"/>
      <c r="B4291" s="263"/>
      <c r="C4291" s="266"/>
      <c r="D4291" s="263"/>
      <c r="E4291" s="419"/>
      <c r="F4291" s="426"/>
      <c r="G4291" s="372" t="s">
        <v>4408</v>
      </c>
      <c r="H4291" s="636"/>
      <c r="I4291" s="662"/>
      <c r="J4291" s="637"/>
      <c r="K4291" s="575"/>
      <c r="L4291" s="575"/>
      <c r="M4291" s="575"/>
      <c r="N4291" s="575"/>
      <c r="O4291" s="575"/>
      <c r="P4291" s="575"/>
      <c r="Q4291" s="575"/>
      <c r="R4291" s="575"/>
      <c r="S4291" s="575"/>
      <c r="T4291" s="575"/>
      <c r="U4291" s="575"/>
      <c r="V4291" s="575"/>
      <c r="W4291" s="575"/>
      <c r="X4291" s="575"/>
      <c r="Y4291" s="575"/>
    </row>
    <row r="4292" spans="1:25" s="88" customFormat="1" ht="15.75" thickBot="1">
      <c r="A4292" s="263"/>
      <c r="B4292" s="263"/>
      <c r="C4292" s="266"/>
      <c r="D4292" s="263"/>
      <c r="E4292" s="267"/>
      <c r="F4292" s="294" t="s">
        <v>234</v>
      </c>
      <c r="G4292" s="297" t="s">
        <v>235</v>
      </c>
      <c r="H4292" s="638">
        <f>SUM(H4231:H4290)</f>
        <v>9100000</v>
      </c>
      <c r="I4292" s="639"/>
      <c r="J4292" s="639">
        <f t="shared" ref="J4292:J4307" si="131">SUM(H4292:I4292)</f>
        <v>9100000</v>
      </c>
      <c r="K4292" s="575"/>
      <c r="L4292" s="575"/>
      <c r="M4292" s="575"/>
      <c r="N4292" s="575"/>
      <c r="O4292" s="575"/>
      <c r="P4292" s="575"/>
      <c r="Q4292" s="575"/>
      <c r="R4292" s="575"/>
      <c r="S4292" s="575"/>
      <c r="T4292" s="575"/>
      <c r="U4292" s="575"/>
      <c r="V4292" s="575"/>
      <c r="W4292" s="575"/>
      <c r="X4292" s="575"/>
      <c r="Y4292" s="575"/>
    </row>
    <row r="4293" spans="1:25" s="88" customFormat="1" hidden="1">
      <c r="A4293" s="263"/>
      <c r="B4293" s="263"/>
      <c r="C4293" s="266"/>
      <c r="D4293" s="263"/>
      <c r="E4293" s="263"/>
      <c r="F4293" s="294" t="s">
        <v>236</v>
      </c>
      <c r="G4293" s="297" t="s">
        <v>237</v>
      </c>
      <c r="H4293" s="634"/>
      <c r="I4293" s="635"/>
      <c r="J4293" s="639">
        <f t="shared" si="131"/>
        <v>0</v>
      </c>
      <c r="K4293" s="575"/>
      <c r="L4293" s="575"/>
      <c r="M4293" s="575"/>
      <c r="N4293" s="575"/>
      <c r="O4293" s="575"/>
      <c r="P4293" s="575"/>
      <c r="Q4293" s="575"/>
      <c r="R4293" s="575"/>
      <c r="S4293" s="575"/>
      <c r="T4293" s="575"/>
      <c r="U4293" s="575"/>
      <c r="V4293" s="575"/>
      <c r="W4293" s="575"/>
      <c r="X4293" s="575"/>
      <c r="Y4293" s="575"/>
    </row>
    <row r="4294" spans="1:25" s="88" customFormat="1" hidden="1">
      <c r="A4294" s="263"/>
      <c r="B4294" s="263"/>
      <c r="C4294" s="266"/>
      <c r="D4294" s="263"/>
      <c r="E4294" s="263"/>
      <c r="F4294" s="294" t="s">
        <v>238</v>
      </c>
      <c r="G4294" s="297" t="s">
        <v>239</v>
      </c>
      <c r="H4294" s="634"/>
      <c r="I4294" s="635"/>
      <c r="J4294" s="639">
        <f t="shared" si="131"/>
        <v>0</v>
      </c>
      <c r="K4294" s="575"/>
      <c r="L4294" s="575"/>
      <c r="M4294" s="575"/>
      <c r="N4294" s="575"/>
      <c r="O4294" s="575"/>
      <c r="P4294" s="575"/>
      <c r="Q4294" s="575"/>
      <c r="R4294" s="575"/>
      <c r="S4294" s="575"/>
      <c r="T4294" s="575"/>
      <c r="U4294" s="575"/>
      <c r="V4294" s="575"/>
      <c r="W4294" s="575"/>
      <c r="X4294" s="575"/>
      <c r="Y4294" s="575"/>
    </row>
    <row r="4295" spans="1:25" s="88" customFormat="1" hidden="1">
      <c r="A4295" s="263"/>
      <c r="B4295" s="263"/>
      <c r="C4295" s="266"/>
      <c r="D4295" s="263"/>
      <c r="E4295" s="263"/>
      <c r="F4295" s="294" t="s">
        <v>240</v>
      </c>
      <c r="G4295" s="297" t="s">
        <v>241</v>
      </c>
      <c r="H4295" s="634"/>
      <c r="I4295" s="635"/>
      <c r="J4295" s="639">
        <f t="shared" si="131"/>
        <v>0</v>
      </c>
      <c r="K4295" s="575"/>
      <c r="L4295" s="575"/>
      <c r="M4295" s="575"/>
      <c r="N4295" s="575"/>
      <c r="O4295" s="575"/>
      <c r="P4295" s="575"/>
      <c r="Q4295" s="575"/>
      <c r="R4295" s="575"/>
      <c r="S4295" s="575"/>
      <c r="T4295" s="575"/>
      <c r="U4295" s="575"/>
      <c r="V4295" s="575"/>
      <c r="W4295" s="575"/>
      <c r="X4295" s="575"/>
      <c r="Y4295" s="575"/>
    </row>
    <row r="4296" spans="1:25" s="88" customFormat="1" hidden="1">
      <c r="A4296" s="263"/>
      <c r="B4296" s="263"/>
      <c r="C4296" s="266"/>
      <c r="D4296" s="263"/>
      <c r="E4296" s="263"/>
      <c r="F4296" s="294" t="s">
        <v>242</v>
      </c>
      <c r="G4296" s="297" t="s">
        <v>243</v>
      </c>
      <c r="H4296" s="634"/>
      <c r="I4296" s="635"/>
      <c r="J4296" s="639">
        <f t="shared" si="131"/>
        <v>0</v>
      </c>
      <c r="K4296" s="575"/>
      <c r="L4296" s="575"/>
      <c r="M4296" s="575"/>
      <c r="N4296" s="575"/>
      <c r="O4296" s="575"/>
      <c r="P4296" s="575"/>
      <c r="Q4296" s="575"/>
      <c r="R4296" s="575"/>
      <c r="S4296" s="575"/>
      <c r="T4296" s="575"/>
      <c r="U4296" s="575"/>
      <c r="V4296" s="575"/>
      <c r="W4296" s="575"/>
      <c r="X4296" s="575"/>
      <c r="Y4296" s="575"/>
    </row>
    <row r="4297" spans="1:25" s="88" customFormat="1" hidden="1">
      <c r="A4297" s="263"/>
      <c r="B4297" s="263"/>
      <c r="C4297" s="266"/>
      <c r="D4297" s="263"/>
      <c r="E4297" s="263"/>
      <c r="F4297" s="294" t="s">
        <v>244</v>
      </c>
      <c r="G4297" s="297" t="s">
        <v>245</v>
      </c>
      <c r="H4297" s="634"/>
      <c r="I4297" s="635"/>
      <c r="J4297" s="639">
        <f t="shared" si="131"/>
        <v>0</v>
      </c>
      <c r="K4297" s="575"/>
      <c r="L4297" s="575"/>
      <c r="M4297" s="575"/>
      <c r="N4297" s="575"/>
      <c r="O4297" s="575"/>
      <c r="P4297" s="575"/>
      <c r="Q4297" s="575"/>
      <c r="R4297" s="575"/>
      <c r="S4297" s="575"/>
      <c r="T4297" s="575"/>
      <c r="U4297" s="575"/>
      <c r="V4297" s="575"/>
      <c r="W4297" s="575"/>
      <c r="X4297" s="575"/>
      <c r="Y4297" s="575"/>
    </row>
    <row r="4298" spans="1:25" s="88" customFormat="1" hidden="1">
      <c r="A4298" s="263"/>
      <c r="B4298" s="263"/>
      <c r="C4298" s="266"/>
      <c r="D4298" s="263"/>
      <c r="E4298" s="263"/>
      <c r="F4298" s="294" t="s">
        <v>246</v>
      </c>
      <c r="G4298" s="683" t="s">
        <v>5121</v>
      </c>
      <c r="H4298" s="634"/>
      <c r="I4298" s="635"/>
      <c r="J4298" s="639">
        <f t="shared" si="131"/>
        <v>0</v>
      </c>
      <c r="K4298" s="575"/>
      <c r="L4298" s="575"/>
      <c r="M4298" s="575"/>
      <c r="N4298" s="575"/>
      <c r="O4298" s="575"/>
      <c r="P4298" s="575"/>
      <c r="Q4298" s="575"/>
      <c r="R4298" s="575"/>
      <c r="S4298" s="575"/>
      <c r="T4298" s="575"/>
      <c r="U4298" s="575"/>
      <c r="V4298" s="575"/>
      <c r="W4298" s="575"/>
      <c r="X4298" s="575"/>
      <c r="Y4298" s="575"/>
    </row>
    <row r="4299" spans="1:25" s="88" customFormat="1" hidden="1">
      <c r="A4299" s="263"/>
      <c r="B4299" s="263"/>
      <c r="C4299" s="266"/>
      <c r="D4299" s="263"/>
      <c r="E4299" s="263"/>
      <c r="F4299" s="294" t="s">
        <v>247</v>
      </c>
      <c r="G4299" s="683" t="s">
        <v>5120</v>
      </c>
      <c r="H4299" s="634"/>
      <c r="I4299" s="635"/>
      <c r="J4299" s="639">
        <f t="shared" si="131"/>
        <v>0</v>
      </c>
      <c r="K4299" s="575"/>
      <c r="L4299" s="575"/>
      <c r="M4299" s="575"/>
      <c r="N4299" s="575"/>
      <c r="O4299" s="575"/>
      <c r="P4299" s="575"/>
      <c r="Q4299" s="575"/>
      <c r="R4299" s="575"/>
      <c r="S4299" s="575"/>
      <c r="T4299" s="575"/>
      <c r="U4299" s="575"/>
      <c r="V4299" s="575"/>
      <c r="W4299" s="575"/>
      <c r="X4299" s="575"/>
      <c r="Y4299" s="575"/>
    </row>
    <row r="4300" spans="1:25" s="88" customFormat="1" hidden="1">
      <c r="A4300" s="263"/>
      <c r="B4300" s="263"/>
      <c r="C4300" s="266"/>
      <c r="D4300" s="263"/>
      <c r="E4300" s="263"/>
      <c r="F4300" s="294" t="s">
        <v>248</v>
      </c>
      <c r="G4300" s="297" t="s">
        <v>57</v>
      </c>
      <c r="H4300" s="634"/>
      <c r="I4300" s="635"/>
      <c r="J4300" s="639">
        <f t="shared" si="131"/>
        <v>0</v>
      </c>
      <c r="K4300" s="575"/>
      <c r="L4300" s="575"/>
      <c r="M4300" s="575"/>
      <c r="N4300" s="575"/>
      <c r="O4300" s="575"/>
      <c r="P4300" s="575"/>
      <c r="Q4300" s="575"/>
      <c r="R4300" s="575"/>
      <c r="S4300" s="575"/>
      <c r="T4300" s="575"/>
      <c r="U4300" s="575"/>
      <c r="V4300" s="575"/>
      <c r="W4300" s="575"/>
      <c r="X4300" s="575"/>
      <c r="Y4300" s="575"/>
    </row>
    <row r="4301" spans="1:25" s="88" customFormat="1" hidden="1">
      <c r="A4301" s="263"/>
      <c r="B4301" s="263"/>
      <c r="C4301" s="266"/>
      <c r="D4301" s="263"/>
      <c r="E4301" s="263"/>
      <c r="F4301" s="294" t="s">
        <v>249</v>
      </c>
      <c r="G4301" s="297" t="s">
        <v>250</v>
      </c>
      <c r="H4301" s="634"/>
      <c r="I4301" s="635"/>
      <c r="J4301" s="639">
        <f t="shared" si="131"/>
        <v>0</v>
      </c>
      <c r="K4301" s="575"/>
      <c r="L4301" s="575"/>
      <c r="M4301" s="575"/>
      <c r="N4301" s="575"/>
      <c r="O4301" s="575"/>
      <c r="P4301" s="575"/>
      <c r="Q4301" s="575"/>
      <c r="R4301" s="575"/>
      <c r="S4301" s="575"/>
      <c r="T4301" s="575"/>
      <c r="U4301" s="575"/>
      <c r="V4301" s="575"/>
      <c r="W4301" s="575"/>
      <c r="X4301" s="575"/>
      <c r="Y4301" s="575"/>
    </row>
    <row r="4302" spans="1:25" s="88" customFormat="1" hidden="1">
      <c r="A4302" s="263"/>
      <c r="B4302" s="263"/>
      <c r="C4302" s="266"/>
      <c r="D4302" s="263"/>
      <c r="E4302" s="263"/>
      <c r="F4302" s="294" t="s">
        <v>251</v>
      </c>
      <c r="G4302" s="297" t="s">
        <v>252</v>
      </c>
      <c r="H4302" s="634"/>
      <c r="I4302" s="635"/>
      <c r="J4302" s="639">
        <f t="shared" si="131"/>
        <v>0</v>
      </c>
      <c r="K4302" s="575"/>
      <c r="L4302" s="575"/>
      <c r="M4302" s="575"/>
      <c r="N4302" s="575"/>
      <c r="O4302" s="575"/>
      <c r="P4302" s="575"/>
      <c r="Q4302" s="575"/>
      <c r="R4302" s="575"/>
      <c r="S4302" s="575"/>
      <c r="T4302" s="575"/>
      <c r="U4302" s="575"/>
      <c r="V4302" s="575"/>
      <c r="W4302" s="575"/>
      <c r="X4302" s="575"/>
      <c r="Y4302" s="575"/>
    </row>
    <row r="4303" spans="1:25" s="88" customFormat="1" hidden="1">
      <c r="A4303" s="263"/>
      <c r="B4303" s="263"/>
      <c r="C4303" s="266"/>
      <c r="D4303" s="263"/>
      <c r="E4303" s="263"/>
      <c r="F4303" s="294" t="s">
        <v>253</v>
      </c>
      <c r="G4303" s="297" t="s">
        <v>254</v>
      </c>
      <c r="H4303" s="634"/>
      <c r="I4303" s="635"/>
      <c r="J4303" s="639">
        <f t="shared" si="131"/>
        <v>0</v>
      </c>
      <c r="K4303" s="575"/>
      <c r="L4303" s="575"/>
      <c r="M4303" s="575"/>
      <c r="N4303" s="575"/>
      <c r="O4303" s="575"/>
      <c r="P4303" s="575"/>
      <c r="Q4303" s="575"/>
      <c r="R4303" s="575"/>
      <c r="S4303" s="575"/>
      <c r="T4303" s="575"/>
      <c r="U4303" s="575"/>
      <c r="V4303" s="575"/>
      <c r="W4303" s="575"/>
      <c r="X4303" s="575"/>
      <c r="Y4303" s="575"/>
    </row>
    <row r="4304" spans="1:25" s="88" customFormat="1" hidden="1">
      <c r="A4304" s="263"/>
      <c r="B4304" s="263"/>
      <c r="C4304" s="266"/>
      <c r="D4304" s="263"/>
      <c r="E4304" s="263"/>
      <c r="F4304" s="294" t="s">
        <v>255</v>
      </c>
      <c r="G4304" s="297" t="s">
        <v>256</v>
      </c>
      <c r="H4304" s="634"/>
      <c r="I4304" s="635"/>
      <c r="J4304" s="639">
        <f t="shared" si="131"/>
        <v>0</v>
      </c>
      <c r="K4304" s="575"/>
      <c r="L4304" s="575"/>
      <c r="M4304" s="575"/>
      <c r="N4304" s="575"/>
      <c r="O4304" s="575"/>
      <c r="P4304" s="575"/>
      <c r="Q4304" s="575"/>
      <c r="R4304" s="575"/>
      <c r="S4304" s="575"/>
      <c r="T4304" s="575"/>
      <c r="U4304" s="575"/>
      <c r="V4304" s="575"/>
      <c r="W4304" s="575"/>
      <c r="X4304" s="575"/>
      <c r="Y4304" s="575"/>
    </row>
    <row r="4305" spans="1:25" s="88" customFormat="1" hidden="1">
      <c r="A4305" s="263"/>
      <c r="B4305" s="263"/>
      <c r="C4305" s="266"/>
      <c r="D4305" s="263"/>
      <c r="E4305" s="263"/>
      <c r="F4305" s="294" t="s">
        <v>257</v>
      </c>
      <c r="G4305" s="297" t="s">
        <v>258</v>
      </c>
      <c r="H4305" s="634"/>
      <c r="I4305" s="635"/>
      <c r="J4305" s="639">
        <f t="shared" si="131"/>
        <v>0</v>
      </c>
      <c r="K4305" s="575"/>
      <c r="L4305" s="575"/>
      <c r="M4305" s="575"/>
      <c r="N4305" s="575"/>
      <c r="O4305" s="575"/>
      <c r="P4305" s="575"/>
      <c r="Q4305" s="575"/>
      <c r="R4305" s="575"/>
      <c r="S4305" s="575"/>
      <c r="T4305" s="575"/>
      <c r="U4305" s="575"/>
      <c r="V4305" s="575"/>
      <c r="W4305" s="575"/>
      <c r="X4305" s="575"/>
      <c r="Y4305" s="575"/>
    </row>
    <row r="4306" spans="1:25" s="88" customFormat="1" hidden="1">
      <c r="A4306" s="263"/>
      <c r="B4306" s="263"/>
      <c r="C4306" s="266"/>
      <c r="D4306" s="263"/>
      <c r="E4306" s="263"/>
      <c r="F4306" s="294" t="s">
        <v>259</v>
      </c>
      <c r="G4306" s="297" t="s">
        <v>260</v>
      </c>
      <c r="H4306" s="634"/>
      <c r="I4306" s="635"/>
      <c r="J4306" s="639">
        <f t="shared" si="131"/>
        <v>0</v>
      </c>
      <c r="K4306" s="575"/>
      <c r="L4306" s="575"/>
      <c r="M4306" s="575"/>
      <c r="N4306" s="575"/>
      <c r="O4306" s="575"/>
      <c r="P4306" s="575"/>
      <c r="Q4306" s="575"/>
      <c r="R4306" s="575"/>
      <c r="S4306" s="575"/>
      <c r="T4306" s="575"/>
      <c r="U4306" s="575"/>
      <c r="V4306" s="575"/>
      <c r="W4306" s="575"/>
      <c r="X4306" s="575"/>
      <c r="Y4306" s="575"/>
    </row>
    <row r="4307" spans="1:25" s="88" customFormat="1" ht="15.75" hidden="1" thickBot="1">
      <c r="A4307" s="263"/>
      <c r="B4307" s="263"/>
      <c r="C4307" s="266"/>
      <c r="D4307" s="263"/>
      <c r="E4307" s="263"/>
      <c r="F4307" s="294" t="s">
        <v>261</v>
      </c>
      <c r="G4307" s="297" t="s">
        <v>262</v>
      </c>
      <c r="H4307" s="638"/>
      <c r="I4307" s="639"/>
      <c r="J4307" s="639">
        <f t="shared" si="131"/>
        <v>0</v>
      </c>
      <c r="K4307" s="575"/>
      <c r="L4307" s="575"/>
      <c r="M4307" s="575"/>
      <c r="N4307" s="575"/>
      <c r="O4307" s="575"/>
      <c r="P4307" s="575"/>
      <c r="Q4307" s="575"/>
      <c r="R4307" s="575"/>
      <c r="S4307" s="575"/>
      <c r="T4307" s="575"/>
      <c r="U4307" s="575"/>
      <c r="V4307" s="575"/>
      <c r="W4307" s="575"/>
      <c r="X4307" s="575"/>
      <c r="Y4307" s="575"/>
    </row>
    <row r="4308" spans="1:25" s="88" customFormat="1" ht="15.75" thickBot="1">
      <c r="A4308" s="263"/>
      <c r="B4308" s="263"/>
      <c r="C4308" s="266"/>
      <c r="D4308" s="263"/>
      <c r="E4308" s="263"/>
      <c r="F4308" s="263"/>
      <c r="G4308" s="274" t="s">
        <v>4409</v>
      </c>
      <c r="H4308" s="640">
        <f>SUM(H4292:H4307)</f>
        <v>9100000</v>
      </c>
      <c r="I4308" s="641">
        <f>SUM(I4293:I4307)</f>
        <v>0</v>
      </c>
      <c r="J4308" s="641">
        <f>SUM(J4292:J4307)</f>
        <v>9100000</v>
      </c>
      <c r="K4308" s="575"/>
      <c r="L4308" s="575"/>
      <c r="M4308" s="575"/>
      <c r="N4308" s="575"/>
      <c r="O4308" s="575"/>
      <c r="P4308" s="575"/>
      <c r="Q4308" s="575"/>
      <c r="R4308" s="575"/>
      <c r="S4308" s="575"/>
      <c r="T4308" s="575"/>
      <c r="U4308" s="575"/>
      <c r="V4308" s="575"/>
      <c r="W4308" s="575"/>
      <c r="X4308" s="575"/>
      <c r="Y4308" s="575"/>
    </row>
    <row r="4309" spans="1:25" s="88" customFormat="1">
      <c r="A4309" s="263"/>
      <c r="B4309" s="263"/>
      <c r="C4309" s="266"/>
      <c r="D4309" s="263"/>
      <c r="E4309" s="419"/>
      <c r="F4309" s="426"/>
      <c r="G4309" s="276" t="s">
        <v>4427</v>
      </c>
      <c r="H4309" s="642"/>
      <c r="I4309" s="663"/>
      <c r="J4309" s="643"/>
      <c r="K4309" s="575"/>
      <c r="L4309" s="575"/>
      <c r="M4309" s="575"/>
      <c r="N4309" s="575"/>
      <c r="O4309" s="575"/>
      <c r="P4309" s="575"/>
      <c r="Q4309" s="575"/>
      <c r="R4309" s="575"/>
      <c r="S4309" s="575"/>
      <c r="T4309" s="575"/>
      <c r="U4309" s="575"/>
      <c r="V4309" s="575"/>
      <c r="W4309" s="575"/>
      <c r="X4309" s="575"/>
      <c r="Y4309" s="575"/>
    </row>
    <row r="4310" spans="1:25" s="88" customFormat="1" ht="15.75" thickBot="1">
      <c r="A4310" s="263"/>
      <c r="B4310" s="263"/>
      <c r="C4310" s="266"/>
      <c r="D4310" s="263"/>
      <c r="E4310" s="267"/>
      <c r="F4310" s="294" t="s">
        <v>234</v>
      </c>
      <c r="G4310" s="297" t="s">
        <v>235</v>
      </c>
      <c r="H4310" s="638">
        <f>SUM(H4231:H4290)</f>
        <v>9100000</v>
      </c>
      <c r="I4310" s="639"/>
      <c r="J4310" s="639">
        <f>SUM(H4310:I4310)</f>
        <v>9100000</v>
      </c>
      <c r="K4310" s="575"/>
      <c r="L4310" s="575"/>
      <c r="M4310" s="575"/>
      <c r="N4310" s="575"/>
      <c r="O4310" s="575"/>
      <c r="P4310" s="575"/>
      <c r="Q4310" s="575"/>
      <c r="R4310" s="575"/>
      <c r="S4310" s="575"/>
      <c r="T4310" s="575"/>
      <c r="U4310" s="575"/>
      <c r="V4310" s="575"/>
      <c r="W4310" s="575"/>
      <c r="X4310" s="575"/>
      <c r="Y4310" s="575"/>
    </row>
    <row r="4311" spans="1:25" s="88" customFormat="1" hidden="1">
      <c r="A4311" s="263"/>
      <c r="B4311" s="263"/>
      <c r="C4311" s="266"/>
      <c r="D4311" s="263"/>
      <c r="E4311" s="263"/>
      <c r="F4311" s="294" t="s">
        <v>236</v>
      </c>
      <c r="G4311" s="297" t="s">
        <v>237</v>
      </c>
      <c r="H4311" s="634"/>
      <c r="I4311" s="635"/>
      <c r="J4311" s="639">
        <f t="shared" ref="J4311:J4325" si="132">SUM(H4311:I4311)</f>
        <v>0</v>
      </c>
      <c r="K4311" s="575"/>
      <c r="L4311" s="575"/>
      <c r="M4311" s="575"/>
      <c r="N4311" s="575"/>
      <c r="O4311" s="575"/>
      <c r="P4311" s="575"/>
      <c r="Q4311" s="575"/>
      <c r="R4311" s="575"/>
      <c r="S4311" s="575"/>
      <c r="T4311" s="575"/>
      <c r="U4311" s="575"/>
      <c r="V4311" s="575"/>
      <c r="W4311" s="575"/>
      <c r="X4311" s="575"/>
      <c r="Y4311" s="575"/>
    </row>
    <row r="4312" spans="1:25" s="88" customFormat="1" hidden="1">
      <c r="A4312" s="263"/>
      <c r="B4312" s="263"/>
      <c r="C4312" s="266"/>
      <c r="D4312" s="263"/>
      <c r="E4312" s="263"/>
      <c r="F4312" s="294" t="s">
        <v>238</v>
      </c>
      <c r="G4312" s="297" t="s">
        <v>239</v>
      </c>
      <c r="H4312" s="634"/>
      <c r="I4312" s="635"/>
      <c r="J4312" s="639">
        <f t="shared" si="132"/>
        <v>0</v>
      </c>
      <c r="K4312" s="575"/>
      <c r="L4312" s="575"/>
      <c r="M4312" s="575"/>
      <c r="N4312" s="575"/>
      <c r="O4312" s="575"/>
      <c r="P4312" s="575"/>
      <c r="Q4312" s="575"/>
      <c r="R4312" s="575"/>
      <c r="S4312" s="575"/>
      <c r="T4312" s="575"/>
      <c r="U4312" s="575"/>
      <c r="V4312" s="575"/>
      <c r="W4312" s="575"/>
      <c r="X4312" s="575"/>
      <c r="Y4312" s="575"/>
    </row>
    <row r="4313" spans="1:25" s="88" customFormat="1" hidden="1">
      <c r="A4313" s="263"/>
      <c r="B4313" s="263"/>
      <c r="C4313" s="266"/>
      <c r="D4313" s="263"/>
      <c r="E4313" s="263"/>
      <c r="F4313" s="294" t="s">
        <v>240</v>
      </c>
      <c r="G4313" s="297" t="s">
        <v>241</v>
      </c>
      <c r="H4313" s="634"/>
      <c r="I4313" s="635"/>
      <c r="J4313" s="639">
        <f t="shared" si="132"/>
        <v>0</v>
      </c>
      <c r="K4313" s="575"/>
      <c r="L4313" s="575"/>
      <c r="M4313" s="575"/>
      <c r="N4313" s="575"/>
      <c r="O4313" s="575"/>
      <c r="P4313" s="575"/>
      <c r="Q4313" s="575"/>
      <c r="R4313" s="575"/>
      <c r="S4313" s="575"/>
      <c r="T4313" s="575"/>
      <c r="U4313" s="575"/>
      <c r="V4313" s="575"/>
      <c r="W4313" s="575"/>
      <c r="X4313" s="575"/>
      <c r="Y4313" s="575"/>
    </row>
    <row r="4314" spans="1:25" s="88" customFormat="1" hidden="1">
      <c r="A4314" s="263"/>
      <c r="B4314" s="263"/>
      <c r="C4314" s="266"/>
      <c r="D4314" s="263"/>
      <c r="E4314" s="263"/>
      <c r="F4314" s="294" t="s">
        <v>242</v>
      </c>
      <c r="G4314" s="297" t="s">
        <v>243</v>
      </c>
      <c r="H4314" s="634"/>
      <c r="I4314" s="635"/>
      <c r="J4314" s="639">
        <f t="shared" si="132"/>
        <v>0</v>
      </c>
      <c r="K4314" s="575"/>
      <c r="L4314" s="575"/>
      <c r="M4314" s="575"/>
      <c r="N4314" s="575"/>
      <c r="O4314" s="575"/>
      <c r="P4314" s="575"/>
      <c r="Q4314" s="575"/>
      <c r="R4314" s="575"/>
      <c r="S4314" s="575"/>
      <c r="T4314" s="575"/>
      <c r="U4314" s="575"/>
      <c r="V4314" s="575"/>
      <c r="W4314" s="575"/>
      <c r="X4314" s="575"/>
      <c r="Y4314" s="575"/>
    </row>
    <row r="4315" spans="1:25" s="88" customFormat="1" hidden="1">
      <c r="A4315" s="263"/>
      <c r="B4315" s="263"/>
      <c r="C4315" s="266"/>
      <c r="D4315" s="263"/>
      <c r="E4315" s="263"/>
      <c r="F4315" s="294" t="s">
        <v>244</v>
      </c>
      <c r="G4315" s="297" t="s">
        <v>245</v>
      </c>
      <c r="H4315" s="634"/>
      <c r="I4315" s="635"/>
      <c r="J4315" s="639">
        <f t="shared" si="132"/>
        <v>0</v>
      </c>
      <c r="K4315" s="575"/>
      <c r="L4315" s="575"/>
      <c r="M4315" s="575"/>
      <c r="N4315" s="575"/>
      <c r="O4315" s="575"/>
      <c r="P4315" s="575"/>
      <c r="Q4315" s="575"/>
      <c r="R4315" s="575"/>
      <c r="S4315" s="575"/>
      <c r="T4315" s="575"/>
      <c r="U4315" s="575"/>
      <c r="V4315" s="575"/>
      <c r="W4315" s="575"/>
      <c r="X4315" s="575"/>
      <c r="Y4315" s="575"/>
    </row>
    <row r="4316" spans="1:25" s="88" customFormat="1" hidden="1">
      <c r="A4316" s="263"/>
      <c r="B4316" s="263"/>
      <c r="C4316" s="266"/>
      <c r="D4316" s="263"/>
      <c r="E4316" s="263"/>
      <c r="F4316" s="294" t="s">
        <v>246</v>
      </c>
      <c r="G4316" s="683" t="s">
        <v>5121</v>
      </c>
      <c r="H4316" s="634"/>
      <c r="I4316" s="635"/>
      <c r="J4316" s="639">
        <f t="shared" si="132"/>
        <v>0</v>
      </c>
      <c r="K4316" s="575"/>
      <c r="L4316" s="575"/>
      <c r="M4316" s="575"/>
      <c r="N4316" s="575"/>
      <c r="O4316" s="575"/>
      <c r="P4316" s="575"/>
      <c r="Q4316" s="575"/>
      <c r="R4316" s="575"/>
      <c r="S4316" s="575"/>
      <c r="T4316" s="575"/>
      <c r="U4316" s="575"/>
      <c r="V4316" s="575"/>
      <c r="W4316" s="575"/>
      <c r="X4316" s="575"/>
      <c r="Y4316" s="575"/>
    </row>
    <row r="4317" spans="1:25" s="88" customFormat="1" hidden="1">
      <c r="A4317" s="263"/>
      <c r="B4317" s="263"/>
      <c r="C4317" s="266"/>
      <c r="D4317" s="263"/>
      <c r="E4317" s="263"/>
      <c r="F4317" s="294" t="s">
        <v>247</v>
      </c>
      <c r="G4317" s="683" t="s">
        <v>5120</v>
      </c>
      <c r="H4317" s="634"/>
      <c r="I4317" s="635"/>
      <c r="J4317" s="639">
        <f t="shared" si="132"/>
        <v>0</v>
      </c>
      <c r="K4317" s="575"/>
      <c r="L4317" s="575"/>
      <c r="M4317" s="575"/>
      <c r="N4317" s="575"/>
      <c r="O4317" s="575"/>
      <c r="P4317" s="575"/>
      <c r="Q4317" s="575"/>
      <c r="R4317" s="575"/>
      <c r="S4317" s="575"/>
      <c r="T4317" s="575"/>
      <c r="U4317" s="575"/>
      <c r="V4317" s="575"/>
      <c r="W4317" s="575"/>
      <c r="X4317" s="575"/>
      <c r="Y4317" s="575"/>
    </row>
    <row r="4318" spans="1:25" s="88" customFormat="1" hidden="1">
      <c r="A4318" s="263"/>
      <c r="B4318" s="263"/>
      <c r="C4318" s="266"/>
      <c r="D4318" s="263"/>
      <c r="E4318" s="263"/>
      <c r="F4318" s="294" t="s">
        <v>248</v>
      </c>
      <c r="G4318" s="297" t="s">
        <v>57</v>
      </c>
      <c r="H4318" s="634"/>
      <c r="I4318" s="635"/>
      <c r="J4318" s="639">
        <f t="shared" si="132"/>
        <v>0</v>
      </c>
      <c r="K4318" s="575"/>
      <c r="L4318" s="575"/>
      <c r="M4318" s="575"/>
      <c r="N4318" s="575"/>
      <c r="O4318" s="575"/>
      <c r="P4318" s="575"/>
      <c r="Q4318" s="575"/>
      <c r="R4318" s="575"/>
      <c r="S4318" s="575"/>
      <c r="T4318" s="575"/>
      <c r="U4318" s="575"/>
      <c r="V4318" s="575"/>
      <c r="W4318" s="575"/>
      <c r="X4318" s="575"/>
      <c r="Y4318" s="575"/>
    </row>
    <row r="4319" spans="1:25" s="88" customFormat="1" hidden="1">
      <c r="A4319" s="263"/>
      <c r="B4319" s="263"/>
      <c r="C4319" s="266"/>
      <c r="D4319" s="263"/>
      <c r="E4319" s="263"/>
      <c r="F4319" s="294" t="s">
        <v>249</v>
      </c>
      <c r="G4319" s="297" t="s">
        <v>250</v>
      </c>
      <c r="H4319" s="634"/>
      <c r="I4319" s="635"/>
      <c r="J4319" s="639">
        <f t="shared" si="132"/>
        <v>0</v>
      </c>
      <c r="K4319" s="575"/>
      <c r="L4319" s="575"/>
      <c r="M4319" s="575"/>
      <c r="N4319" s="575"/>
      <c r="O4319" s="575"/>
      <c r="P4319" s="575"/>
      <c r="Q4319" s="575"/>
      <c r="R4319" s="575"/>
      <c r="S4319" s="575"/>
      <c r="T4319" s="575"/>
      <c r="U4319" s="575"/>
      <c r="V4319" s="575"/>
      <c r="W4319" s="575"/>
      <c r="X4319" s="575"/>
      <c r="Y4319" s="575"/>
    </row>
    <row r="4320" spans="1:25" s="88" customFormat="1" hidden="1">
      <c r="A4320" s="263"/>
      <c r="B4320" s="263"/>
      <c r="C4320" s="266"/>
      <c r="D4320" s="263"/>
      <c r="E4320" s="263"/>
      <c r="F4320" s="294" t="s">
        <v>251</v>
      </c>
      <c r="G4320" s="297" t="s">
        <v>252</v>
      </c>
      <c r="H4320" s="634"/>
      <c r="I4320" s="635"/>
      <c r="J4320" s="639">
        <f t="shared" si="132"/>
        <v>0</v>
      </c>
      <c r="K4320" s="575"/>
      <c r="L4320" s="575"/>
      <c r="M4320" s="575"/>
      <c r="N4320" s="575"/>
      <c r="O4320" s="575"/>
      <c r="P4320" s="575"/>
      <c r="Q4320" s="575"/>
      <c r="R4320" s="575"/>
      <c r="S4320" s="575"/>
      <c r="T4320" s="575"/>
      <c r="U4320" s="575"/>
      <c r="V4320" s="575"/>
      <c r="W4320" s="575"/>
      <c r="X4320" s="575"/>
      <c r="Y4320" s="575"/>
    </row>
    <row r="4321" spans="1:25" s="88" customFormat="1" hidden="1">
      <c r="A4321" s="263"/>
      <c r="B4321" s="263"/>
      <c r="C4321" s="266"/>
      <c r="D4321" s="263"/>
      <c r="E4321" s="263"/>
      <c r="F4321" s="294" t="s">
        <v>253</v>
      </c>
      <c r="G4321" s="297" t="s">
        <v>254</v>
      </c>
      <c r="H4321" s="634"/>
      <c r="I4321" s="635"/>
      <c r="J4321" s="639">
        <f t="shared" si="132"/>
        <v>0</v>
      </c>
      <c r="K4321" s="575"/>
      <c r="L4321" s="575"/>
      <c r="M4321" s="575"/>
      <c r="N4321" s="575"/>
      <c r="O4321" s="575"/>
      <c r="P4321" s="575"/>
      <c r="Q4321" s="575"/>
      <c r="R4321" s="575"/>
      <c r="S4321" s="575"/>
      <c r="T4321" s="575"/>
      <c r="U4321" s="575"/>
      <c r="V4321" s="575"/>
      <c r="W4321" s="575"/>
      <c r="X4321" s="575"/>
      <c r="Y4321" s="575"/>
    </row>
    <row r="4322" spans="1:25" s="88" customFormat="1" hidden="1">
      <c r="A4322" s="263"/>
      <c r="B4322" s="263"/>
      <c r="C4322" s="266"/>
      <c r="D4322" s="263"/>
      <c r="E4322" s="263"/>
      <c r="F4322" s="294" t="s">
        <v>255</v>
      </c>
      <c r="G4322" s="297" t="s">
        <v>256</v>
      </c>
      <c r="H4322" s="634"/>
      <c r="I4322" s="635"/>
      <c r="J4322" s="639">
        <f t="shared" si="132"/>
        <v>0</v>
      </c>
      <c r="K4322" s="575"/>
      <c r="L4322" s="575"/>
      <c r="M4322" s="575"/>
      <c r="N4322" s="575"/>
      <c r="O4322" s="575"/>
      <c r="P4322" s="575"/>
      <c r="Q4322" s="575"/>
      <c r="R4322" s="575"/>
      <c r="S4322" s="575"/>
      <c r="T4322" s="575"/>
      <c r="U4322" s="575"/>
      <c r="V4322" s="575"/>
      <c r="W4322" s="575"/>
      <c r="X4322" s="575"/>
      <c r="Y4322" s="575"/>
    </row>
    <row r="4323" spans="1:25" s="88" customFormat="1" hidden="1">
      <c r="A4323" s="263"/>
      <c r="B4323" s="263"/>
      <c r="C4323" s="266"/>
      <c r="D4323" s="263"/>
      <c r="E4323" s="263"/>
      <c r="F4323" s="294" t="s">
        <v>257</v>
      </c>
      <c r="G4323" s="297" t="s">
        <v>258</v>
      </c>
      <c r="H4323" s="634"/>
      <c r="I4323" s="635"/>
      <c r="J4323" s="639">
        <f t="shared" si="132"/>
        <v>0</v>
      </c>
      <c r="K4323" s="575"/>
      <c r="L4323" s="575"/>
      <c r="M4323" s="575"/>
      <c r="N4323" s="575"/>
      <c r="O4323" s="575"/>
      <c r="P4323" s="575"/>
      <c r="Q4323" s="575"/>
      <c r="R4323" s="575"/>
      <c r="S4323" s="575"/>
      <c r="T4323" s="575"/>
      <c r="U4323" s="575"/>
      <c r="V4323" s="575"/>
      <c r="W4323" s="575"/>
      <c r="X4323" s="575"/>
      <c r="Y4323" s="575"/>
    </row>
    <row r="4324" spans="1:25" s="88" customFormat="1" hidden="1">
      <c r="A4324" s="263"/>
      <c r="B4324" s="263"/>
      <c r="C4324" s="266"/>
      <c r="D4324" s="263"/>
      <c r="E4324" s="263"/>
      <c r="F4324" s="294" t="s">
        <v>259</v>
      </c>
      <c r="G4324" s="297" t="s">
        <v>260</v>
      </c>
      <c r="H4324" s="634"/>
      <c r="I4324" s="635"/>
      <c r="J4324" s="639">
        <f t="shared" si="132"/>
        <v>0</v>
      </c>
      <c r="K4324" s="575"/>
      <c r="L4324" s="575"/>
      <c r="M4324" s="575"/>
      <c r="N4324" s="575"/>
      <c r="O4324" s="575"/>
      <c r="P4324" s="575"/>
      <c r="Q4324" s="575"/>
      <c r="R4324" s="575"/>
      <c r="S4324" s="575"/>
      <c r="T4324" s="575"/>
      <c r="U4324" s="575"/>
      <c r="V4324" s="575"/>
      <c r="W4324" s="575"/>
      <c r="X4324" s="575"/>
      <c r="Y4324" s="575"/>
    </row>
    <row r="4325" spans="1:25" s="88" customFormat="1" ht="15.75" hidden="1" thickBot="1">
      <c r="A4325" s="263"/>
      <c r="B4325" s="263"/>
      <c r="C4325" s="266"/>
      <c r="D4325" s="263"/>
      <c r="E4325" s="263"/>
      <c r="F4325" s="294" t="s">
        <v>261</v>
      </c>
      <c r="G4325" s="297" t="s">
        <v>262</v>
      </c>
      <c r="H4325" s="638"/>
      <c r="I4325" s="639"/>
      <c r="J4325" s="639">
        <f t="shared" si="132"/>
        <v>0</v>
      </c>
      <c r="K4325" s="575"/>
      <c r="L4325" s="575"/>
      <c r="M4325" s="575"/>
      <c r="N4325" s="575"/>
      <c r="O4325" s="575"/>
      <c r="P4325" s="575"/>
      <c r="Q4325" s="575"/>
      <c r="R4325" s="575"/>
      <c r="S4325" s="575"/>
      <c r="T4325" s="575"/>
      <c r="U4325" s="575"/>
      <c r="V4325" s="575"/>
      <c r="W4325" s="575"/>
      <c r="X4325" s="575"/>
      <c r="Y4325" s="575"/>
    </row>
    <row r="4326" spans="1:25" s="88" customFormat="1" ht="15.75" thickBot="1">
      <c r="A4326" s="263"/>
      <c r="B4326" s="263"/>
      <c r="C4326" s="266"/>
      <c r="D4326" s="263"/>
      <c r="E4326" s="263"/>
      <c r="F4326" s="263"/>
      <c r="G4326" s="274" t="s">
        <v>4428</v>
      </c>
      <c r="H4326" s="640">
        <f>SUM(H4310:H4325)</f>
        <v>9100000</v>
      </c>
      <c r="I4326" s="641">
        <f>SUM(I4311:I4325)</f>
        <v>0</v>
      </c>
      <c r="J4326" s="641">
        <f>SUM(J4310:J4325)</f>
        <v>9100000</v>
      </c>
      <c r="K4326" s="575"/>
      <c r="L4326" s="575"/>
      <c r="M4326" s="575"/>
      <c r="N4326" s="575"/>
      <c r="O4326" s="575"/>
      <c r="P4326" s="575"/>
      <c r="Q4326" s="575"/>
      <c r="R4326" s="575"/>
      <c r="S4326" s="575"/>
      <c r="T4326" s="575"/>
      <c r="U4326" s="575"/>
      <c r="V4326" s="575"/>
      <c r="W4326" s="575"/>
      <c r="X4326" s="575"/>
      <c r="Y4326" s="575"/>
    </row>
    <row r="4327" spans="1:25" s="88" customFormat="1">
      <c r="A4327" s="263"/>
      <c r="B4327" s="263"/>
      <c r="C4327" s="266"/>
      <c r="D4327" s="263"/>
      <c r="E4327" s="559"/>
      <c r="F4327" s="570"/>
      <c r="G4327" s="295" t="s">
        <v>4313</v>
      </c>
      <c r="H4327" s="646"/>
      <c r="I4327" s="664"/>
      <c r="J4327" s="647"/>
      <c r="K4327" s="575"/>
      <c r="L4327" s="575"/>
      <c r="M4327" s="575"/>
      <c r="N4327" s="575"/>
      <c r="O4327" s="575"/>
      <c r="P4327" s="575"/>
      <c r="Q4327" s="575"/>
      <c r="R4327" s="575"/>
      <c r="S4327" s="575"/>
      <c r="T4327" s="575"/>
      <c r="U4327" s="575"/>
      <c r="V4327" s="575"/>
      <c r="W4327" s="575"/>
      <c r="X4327" s="575"/>
      <c r="Y4327" s="575"/>
    </row>
    <row r="4328" spans="1:25" s="88" customFormat="1" ht="15.75" thickBot="1">
      <c r="A4328" s="263"/>
      <c r="B4328" s="263"/>
      <c r="C4328" s="266"/>
      <c r="D4328" s="263"/>
      <c r="E4328" s="267"/>
      <c r="F4328" s="682" t="s">
        <v>234</v>
      </c>
      <c r="G4328" s="683" t="s">
        <v>235</v>
      </c>
      <c r="H4328" s="638">
        <f>SUM(H4310,H4211,H4112,H4013)</f>
        <v>66230000</v>
      </c>
      <c r="I4328" s="639"/>
      <c r="J4328" s="639">
        <f>SUM(H4328:I4328)</f>
        <v>66230000</v>
      </c>
      <c r="K4328" s="575"/>
      <c r="L4328" s="575"/>
      <c r="M4328" s="575"/>
      <c r="N4328" s="575"/>
      <c r="O4328" s="575"/>
      <c r="P4328" s="575"/>
      <c r="Q4328" s="575"/>
      <c r="R4328" s="575"/>
      <c r="S4328" s="575"/>
      <c r="T4328" s="575"/>
      <c r="U4328" s="575"/>
      <c r="V4328" s="575"/>
      <c r="W4328" s="575"/>
      <c r="X4328" s="575"/>
      <c r="Y4328" s="575"/>
    </row>
    <row r="4329" spans="1:25" s="88" customFormat="1" hidden="1">
      <c r="A4329" s="263"/>
      <c r="B4329" s="263"/>
      <c r="C4329" s="266"/>
      <c r="D4329" s="263"/>
      <c r="E4329" s="263"/>
      <c r="F4329" s="682" t="s">
        <v>236</v>
      </c>
      <c r="G4329" s="683" t="s">
        <v>237</v>
      </c>
      <c r="H4329" s="634"/>
      <c r="I4329" s="635"/>
      <c r="J4329" s="639">
        <f t="shared" ref="J4329:J4343" si="133">SUM(H4329:I4329)</f>
        <v>0</v>
      </c>
      <c r="K4329" s="575"/>
      <c r="L4329" s="575"/>
      <c r="M4329" s="575"/>
      <c r="N4329" s="575"/>
      <c r="O4329" s="575"/>
      <c r="P4329" s="575"/>
      <c r="Q4329" s="575"/>
      <c r="R4329" s="575"/>
      <c r="S4329" s="575"/>
      <c r="T4329" s="575"/>
      <c r="U4329" s="575"/>
      <c r="V4329" s="575"/>
      <c r="W4329" s="575"/>
      <c r="X4329" s="575"/>
      <c r="Y4329" s="575"/>
    </row>
    <row r="4330" spans="1:25" s="88" customFormat="1" hidden="1">
      <c r="A4330" s="263"/>
      <c r="B4330" s="263"/>
      <c r="C4330" s="266"/>
      <c r="D4330" s="263"/>
      <c r="E4330" s="263"/>
      <c r="F4330" s="682" t="s">
        <v>238</v>
      </c>
      <c r="G4330" s="683" t="s">
        <v>239</v>
      </c>
      <c r="H4330" s="634"/>
      <c r="I4330" s="635"/>
      <c r="J4330" s="639">
        <f t="shared" si="133"/>
        <v>0</v>
      </c>
      <c r="K4330" s="575"/>
      <c r="L4330" s="575"/>
      <c r="M4330" s="575"/>
      <c r="N4330" s="575"/>
      <c r="O4330" s="575"/>
      <c r="P4330" s="575"/>
      <c r="Q4330" s="575"/>
      <c r="R4330" s="575"/>
      <c r="S4330" s="575"/>
      <c r="T4330" s="575"/>
      <c r="U4330" s="575"/>
      <c r="V4330" s="575"/>
      <c r="W4330" s="575"/>
      <c r="X4330" s="575"/>
      <c r="Y4330" s="575"/>
    </row>
    <row r="4331" spans="1:25" s="88" customFormat="1" hidden="1">
      <c r="A4331" s="263"/>
      <c r="B4331" s="263"/>
      <c r="C4331" s="266"/>
      <c r="D4331" s="263"/>
      <c r="E4331" s="263"/>
      <c r="F4331" s="682" t="s">
        <v>240</v>
      </c>
      <c r="G4331" s="683" t="s">
        <v>241</v>
      </c>
      <c r="H4331" s="634"/>
      <c r="I4331" s="635"/>
      <c r="J4331" s="639">
        <f t="shared" si="133"/>
        <v>0</v>
      </c>
      <c r="K4331" s="575"/>
      <c r="L4331" s="575"/>
      <c r="M4331" s="575"/>
      <c r="N4331" s="575"/>
      <c r="O4331" s="575"/>
      <c r="P4331" s="575"/>
      <c r="Q4331" s="575"/>
      <c r="R4331" s="575"/>
      <c r="S4331" s="575"/>
      <c r="T4331" s="575"/>
      <c r="U4331" s="575"/>
      <c r="V4331" s="575"/>
      <c r="W4331" s="575"/>
      <c r="X4331" s="575"/>
      <c r="Y4331" s="575"/>
    </row>
    <row r="4332" spans="1:25" s="88" customFormat="1" hidden="1">
      <c r="A4332" s="263"/>
      <c r="B4332" s="263"/>
      <c r="C4332" s="266"/>
      <c r="D4332" s="263"/>
      <c r="E4332" s="263"/>
      <c r="F4332" s="682" t="s">
        <v>242</v>
      </c>
      <c r="G4332" s="683" t="s">
        <v>243</v>
      </c>
      <c r="H4332" s="634"/>
      <c r="I4332" s="635"/>
      <c r="J4332" s="639">
        <f t="shared" si="133"/>
        <v>0</v>
      </c>
      <c r="K4332" s="575"/>
      <c r="L4332" s="575"/>
      <c r="M4332" s="575"/>
      <c r="N4332" s="575"/>
      <c r="O4332" s="575"/>
      <c r="P4332" s="575"/>
      <c r="Q4332" s="575"/>
      <c r="R4332" s="575"/>
      <c r="S4332" s="575"/>
      <c r="T4332" s="575"/>
      <c r="U4332" s="575"/>
      <c r="V4332" s="575"/>
      <c r="W4332" s="575"/>
      <c r="X4332" s="575"/>
      <c r="Y4332" s="575"/>
    </row>
    <row r="4333" spans="1:25" s="88" customFormat="1" hidden="1">
      <c r="A4333" s="263"/>
      <c r="B4333" s="263"/>
      <c r="C4333" s="266"/>
      <c r="D4333" s="263"/>
      <c r="E4333" s="263"/>
      <c r="F4333" s="682" t="s">
        <v>244</v>
      </c>
      <c r="G4333" s="683" t="s">
        <v>245</v>
      </c>
      <c r="H4333" s="634"/>
      <c r="I4333" s="635"/>
      <c r="J4333" s="639">
        <f t="shared" si="133"/>
        <v>0</v>
      </c>
      <c r="K4333" s="575"/>
      <c r="L4333" s="575"/>
      <c r="M4333" s="575"/>
      <c r="N4333" s="575"/>
      <c r="O4333" s="575"/>
      <c r="P4333" s="575"/>
      <c r="Q4333" s="575"/>
      <c r="R4333" s="575"/>
      <c r="S4333" s="575"/>
      <c r="T4333" s="575"/>
      <c r="U4333" s="575"/>
      <c r="V4333" s="575"/>
      <c r="W4333" s="575"/>
      <c r="X4333" s="575"/>
      <c r="Y4333" s="575"/>
    </row>
    <row r="4334" spans="1:25" s="88" customFormat="1" hidden="1">
      <c r="A4334" s="263"/>
      <c r="B4334" s="263"/>
      <c r="C4334" s="266"/>
      <c r="D4334" s="263"/>
      <c r="E4334" s="263"/>
      <c r="F4334" s="682" t="s">
        <v>246</v>
      </c>
      <c r="G4334" s="683" t="s">
        <v>5121</v>
      </c>
      <c r="H4334" s="634"/>
      <c r="I4334" s="635"/>
      <c r="J4334" s="639">
        <f t="shared" si="133"/>
        <v>0</v>
      </c>
      <c r="K4334" s="575"/>
      <c r="L4334" s="575"/>
      <c r="M4334" s="575"/>
      <c r="N4334" s="575"/>
      <c r="O4334" s="575"/>
      <c r="P4334" s="575"/>
      <c r="Q4334" s="575"/>
      <c r="R4334" s="575"/>
      <c r="S4334" s="575"/>
      <c r="T4334" s="575"/>
      <c r="U4334" s="575"/>
      <c r="V4334" s="575"/>
      <c r="W4334" s="575"/>
      <c r="X4334" s="575"/>
      <c r="Y4334" s="575"/>
    </row>
    <row r="4335" spans="1:25" s="88" customFormat="1" hidden="1">
      <c r="A4335" s="263"/>
      <c r="B4335" s="263"/>
      <c r="C4335" s="266"/>
      <c r="D4335" s="263"/>
      <c r="E4335" s="263"/>
      <c r="F4335" s="682" t="s">
        <v>247</v>
      </c>
      <c r="G4335" s="683" t="s">
        <v>5120</v>
      </c>
      <c r="H4335" s="634"/>
      <c r="I4335" s="635"/>
      <c r="J4335" s="639">
        <f t="shared" si="133"/>
        <v>0</v>
      </c>
      <c r="K4335" s="575"/>
      <c r="L4335" s="575"/>
      <c r="M4335" s="575"/>
      <c r="N4335" s="575"/>
      <c r="O4335" s="575"/>
      <c r="P4335" s="575"/>
      <c r="Q4335" s="575"/>
      <c r="R4335" s="575"/>
      <c r="S4335" s="575"/>
      <c r="T4335" s="575"/>
      <c r="U4335" s="575"/>
      <c r="V4335" s="575"/>
      <c r="W4335" s="575"/>
      <c r="X4335" s="575"/>
      <c r="Y4335" s="575"/>
    </row>
    <row r="4336" spans="1:25" s="88" customFormat="1" hidden="1">
      <c r="A4336" s="263"/>
      <c r="B4336" s="263"/>
      <c r="C4336" s="266"/>
      <c r="D4336" s="263"/>
      <c r="E4336" s="263"/>
      <c r="F4336" s="682" t="s">
        <v>248</v>
      </c>
      <c r="G4336" s="683" t="s">
        <v>57</v>
      </c>
      <c r="H4336" s="634"/>
      <c r="I4336" s="635"/>
      <c r="J4336" s="639">
        <f t="shared" si="133"/>
        <v>0</v>
      </c>
      <c r="K4336" s="575"/>
      <c r="L4336" s="575"/>
      <c r="M4336" s="575"/>
      <c r="N4336" s="575"/>
      <c r="O4336" s="575"/>
      <c r="P4336" s="575"/>
      <c r="Q4336" s="575"/>
      <c r="R4336" s="575"/>
      <c r="S4336" s="575"/>
      <c r="T4336" s="575"/>
      <c r="U4336" s="575"/>
      <c r="V4336" s="575"/>
      <c r="W4336" s="575"/>
      <c r="X4336" s="575"/>
      <c r="Y4336" s="575"/>
    </row>
    <row r="4337" spans="1:25" s="88" customFormat="1" hidden="1">
      <c r="A4337" s="263"/>
      <c r="B4337" s="263"/>
      <c r="C4337" s="266"/>
      <c r="D4337" s="263"/>
      <c r="E4337" s="263"/>
      <c r="F4337" s="682" t="s">
        <v>249</v>
      </c>
      <c r="G4337" s="683" t="s">
        <v>250</v>
      </c>
      <c r="H4337" s="634"/>
      <c r="I4337" s="635"/>
      <c r="J4337" s="639">
        <f t="shared" si="133"/>
        <v>0</v>
      </c>
      <c r="K4337" s="575"/>
      <c r="L4337" s="575"/>
      <c r="M4337" s="575"/>
      <c r="N4337" s="575"/>
      <c r="O4337" s="575"/>
      <c r="P4337" s="575"/>
      <c r="Q4337" s="575"/>
      <c r="R4337" s="575"/>
      <c r="S4337" s="575"/>
      <c r="T4337" s="575"/>
      <c r="U4337" s="575"/>
      <c r="V4337" s="575"/>
      <c r="W4337" s="575"/>
      <c r="X4337" s="575"/>
      <c r="Y4337" s="575"/>
    </row>
    <row r="4338" spans="1:25" s="88" customFormat="1" hidden="1">
      <c r="A4338" s="263"/>
      <c r="B4338" s="263"/>
      <c r="C4338" s="266"/>
      <c r="D4338" s="263"/>
      <c r="E4338" s="263"/>
      <c r="F4338" s="682" t="s">
        <v>251</v>
      </c>
      <c r="G4338" s="683" t="s">
        <v>252</v>
      </c>
      <c r="H4338" s="634"/>
      <c r="I4338" s="635"/>
      <c r="J4338" s="639">
        <f t="shared" si="133"/>
        <v>0</v>
      </c>
      <c r="K4338" s="575"/>
      <c r="L4338" s="575"/>
      <c r="M4338" s="575"/>
      <c r="N4338" s="575"/>
      <c r="O4338" s="575"/>
      <c r="P4338" s="575"/>
      <c r="Q4338" s="575"/>
      <c r="R4338" s="575"/>
      <c r="S4338" s="575"/>
      <c r="T4338" s="575"/>
      <c r="U4338" s="575"/>
      <c r="V4338" s="575"/>
      <c r="W4338" s="575"/>
      <c r="X4338" s="575"/>
      <c r="Y4338" s="575"/>
    </row>
    <row r="4339" spans="1:25" s="88" customFormat="1" hidden="1">
      <c r="A4339" s="263"/>
      <c r="B4339" s="263"/>
      <c r="C4339" s="266"/>
      <c r="D4339" s="263"/>
      <c r="E4339" s="263"/>
      <c r="F4339" s="682" t="s">
        <v>253</v>
      </c>
      <c r="G4339" s="683" t="s">
        <v>254</v>
      </c>
      <c r="H4339" s="634"/>
      <c r="I4339" s="635"/>
      <c r="J4339" s="639">
        <f t="shared" si="133"/>
        <v>0</v>
      </c>
      <c r="K4339" s="575"/>
      <c r="L4339" s="575"/>
      <c r="M4339" s="575"/>
      <c r="N4339" s="575"/>
      <c r="O4339" s="575"/>
      <c r="P4339" s="575"/>
      <c r="Q4339" s="575"/>
      <c r="R4339" s="575"/>
      <c r="S4339" s="575"/>
      <c r="T4339" s="575"/>
      <c r="U4339" s="575"/>
      <c r="V4339" s="575"/>
      <c r="W4339" s="575"/>
      <c r="X4339" s="575"/>
      <c r="Y4339" s="575"/>
    </row>
    <row r="4340" spans="1:25" s="88" customFormat="1" hidden="1">
      <c r="A4340" s="263"/>
      <c r="B4340" s="263"/>
      <c r="C4340" s="266"/>
      <c r="D4340" s="263"/>
      <c r="E4340" s="263"/>
      <c r="F4340" s="682" t="s">
        <v>255</v>
      </c>
      <c r="G4340" s="683" t="s">
        <v>256</v>
      </c>
      <c r="H4340" s="634"/>
      <c r="I4340" s="635"/>
      <c r="J4340" s="639">
        <f t="shared" si="133"/>
        <v>0</v>
      </c>
      <c r="K4340" s="575"/>
      <c r="L4340" s="575"/>
      <c r="M4340" s="575"/>
      <c r="N4340" s="575"/>
      <c r="O4340" s="575"/>
      <c r="P4340" s="575"/>
      <c r="Q4340" s="575"/>
      <c r="R4340" s="575"/>
      <c r="S4340" s="575"/>
      <c r="T4340" s="575"/>
      <c r="U4340" s="575"/>
      <c r="V4340" s="575"/>
      <c r="W4340" s="575"/>
      <c r="X4340" s="575"/>
      <c r="Y4340" s="575"/>
    </row>
    <row r="4341" spans="1:25" s="88" customFormat="1" hidden="1">
      <c r="A4341" s="263"/>
      <c r="B4341" s="263"/>
      <c r="C4341" s="266"/>
      <c r="D4341" s="263"/>
      <c r="E4341" s="263"/>
      <c r="F4341" s="682" t="s">
        <v>257</v>
      </c>
      <c r="G4341" s="683" t="s">
        <v>258</v>
      </c>
      <c r="H4341" s="634"/>
      <c r="I4341" s="635"/>
      <c r="J4341" s="639">
        <f t="shared" si="133"/>
        <v>0</v>
      </c>
      <c r="K4341" s="575"/>
      <c r="L4341" s="575"/>
      <c r="M4341" s="575"/>
      <c r="N4341" s="575"/>
      <c r="O4341" s="575"/>
      <c r="P4341" s="575"/>
      <c r="Q4341" s="575"/>
      <c r="R4341" s="575"/>
      <c r="S4341" s="575"/>
      <c r="T4341" s="575"/>
      <c r="U4341" s="575"/>
      <c r="V4341" s="575"/>
      <c r="W4341" s="575"/>
      <c r="X4341" s="575"/>
      <c r="Y4341" s="575"/>
    </row>
    <row r="4342" spans="1:25" s="88" customFormat="1" hidden="1">
      <c r="A4342" s="263"/>
      <c r="B4342" s="263"/>
      <c r="C4342" s="266"/>
      <c r="D4342" s="263"/>
      <c r="E4342" s="263"/>
      <c r="F4342" s="682" t="s">
        <v>259</v>
      </c>
      <c r="G4342" s="683" t="s">
        <v>260</v>
      </c>
      <c r="H4342" s="634"/>
      <c r="I4342" s="635"/>
      <c r="J4342" s="639">
        <f t="shared" si="133"/>
        <v>0</v>
      </c>
      <c r="K4342" s="575"/>
      <c r="L4342" s="575"/>
      <c r="M4342" s="575"/>
      <c r="N4342" s="575"/>
      <c r="O4342" s="575"/>
      <c r="P4342" s="575"/>
      <c r="Q4342" s="575"/>
      <c r="R4342" s="575"/>
      <c r="S4342" s="575"/>
      <c r="T4342" s="575"/>
      <c r="U4342" s="575"/>
      <c r="V4342" s="575"/>
      <c r="W4342" s="575"/>
      <c r="X4342" s="575"/>
      <c r="Y4342" s="575"/>
    </row>
    <row r="4343" spans="1:25" s="88" customFormat="1" ht="15.75" hidden="1" thickBot="1">
      <c r="A4343" s="263"/>
      <c r="B4343" s="263"/>
      <c r="C4343" s="266"/>
      <c r="D4343" s="263"/>
      <c r="E4343" s="263"/>
      <c r="F4343" s="682" t="s">
        <v>261</v>
      </c>
      <c r="G4343" s="683" t="s">
        <v>262</v>
      </c>
      <c r="H4343" s="638"/>
      <c r="I4343" s="639"/>
      <c r="J4343" s="639">
        <f t="shared" si="133"/>
        <v>0</v>
      </c>
      <c r="K4343" s="575"/>
      <c r="L4343" s="575"/>
      <c r="M4343" s="575"/>
      <c r="N4343" s="575"/>
      <c r="O4343" s="575"/>
      <c r="P4343" s="575"/>
      <c r="Q4343" s="575"/>
      <c r="R4343" s="575"/>
      <c r="S4343" s="575"/>
      <c r="T4343" s="575"/>
      <c r="U4343" s="575"/>
      <c r="V4343" s="575"/>
      <c r="W4343" s="575"/>
      <c r="X4343" s="575"/>
      <c r="Y4343" s="575"/>
    </row>
    <row r="4344" spans="1:25" s="88" customFormat="1" ht="15.75" thickBot="1">
      <c r="A4344" s="263"/>
      <c r="B4344" s="263"/>
      <c r="C4344" s="266"/>
      <c r="D4344" s="263"/>
      <c r="E4344" s="263"/>
      <c r="F4344" s="263"/>
      <c r="G4344" s="274" t="s">
        <v>4314</v>
      </c>
      <c r="H4344" s="640">
        <f>SUM(H4328:H4343)</f>
        <v>66230000</v>
      </c>
      <c r="I4344" s="641">
        <f>SUM(I4329:I4343)</f>
        <v>0</v>
      </c>
      <c r="J4344" s="641">
        <f>SUM(J4328:J4343)</f>
        <v>66230000</v>
      </c>
      <c r="K4344" s="575"/>
      <c r="L4344" s="575"/>
      <c r="M4344" s="575"/>
      <c r="N4344" s="575"/>
      <c r="O4344" s="575"/>
      <c r="P4344" s="575"/>
      <c r="Q4344" s="575"/>
      <c r="R4344" s="575"/>
      <c r="S4344" s="575"/>
      <c r="T4344" s="575"/>
      <c r="U4344" s="575"/>
      <c r="V4344" s="575"/>
      <c r="W4344" s="575"/>
      <c r="X4344" s="575"/>
      <c r="Y4344" s="575"/>
    </row>
    <row r="4345" spans="1:25" s="88" customFormat="1" ht="6.75" hidden="1" customHeight="1">
      <c r="A4345" s="263"/>
      <c r="B4345" s="263"/>
      <c r="C4345" s="266"/>
      <c r="D4345" s="263"/>
      <c r="E4345" s="263"/>
      <c r="F4345" s="263"/>
      <c r="G4345" s="331"/>
      <c r="H4345" s="644"/>
      <c r="I4345" s="645"/>
      <c r="J4345" s="645"/>
      <c r="K4345" s="575"/>
      <c r="L4345" s="575"/>
      <c r="M4345" s="575"/>
      <c r="N4345" s="575"/>
      <c r="O4345" s="575"/>
      <c r="P4345" s="575"/>
      <c r="Q4345" s="575"/>
      <c r="R4345" s="575"/>
      <c r="S4345" s="575"/>
      <c r="T4345" s="575"/>
      <c r="U4345" s="575"/>
      <c r="V4345" s="575"/>
      <c r="W4345" s="575"/>
      <c r="X4345" s="575"/>
      <c r="Y4345" s="575"/>
    </row>
    <row r="4346" spans="1:25" s="88" customFormat="1" hidden="1">
      <c r="A4346" s="263"/>
      <c r="B4346" s="263"/>
      <c r="C4346" s="266"/>
      <c r="D4346" s="263"/>
      <c r="E4346" s="263"/>
      <c r="F4346" s="263"/>
      <c r="G4346" s="331"/>
      <c r="H4346" s="644"/>
      <c r="I4346" s="645"/>
      <c r="J4346" s="645"/>
      <c r="K4346" s="575"/>
      <c r="L4346" s="575"/>
      <c r="M4346" s="575"/>
      <c r="N4346" s="575"/>
      <c r="O4346" s="575"/>
      <c r="P4346" s="575"/>
      <c r="Q4346" s="575"/>
      <c r="R4346" s="575"/>
      <c r="S4346" s="575"/>
      <c r="T4346" s="575"/>
      <c r="U4346" s="575"/>
      <c r="V4346" s="575"/>
      <c r="W4346" s="575"/>
      <c r="X4346" s="575"/>
      <c r="Y4346" s="575"/>
    </row>
    <row r="4347" spans="1:25" s="88" customFormat="1" hidden="1">
      <c r="A4347" s="263"/>
      <c r="B4347" s="263"/>
      <c r="C4347" s="266"/>
      <c r="D4347" s="263"/>
      <c r="E4347" s="263"/>
      <c r="F4347" s="263"/>
      <c r="G4347" s="331"/>
      <c r="H4347" s="644"/>
      <c r="I4347" s="645"/>
      <c r="J4347" s="645"/>
      <c r="K4347" s="575"/>
      <c r="L4347" s="575"/>
      <c r="M4347" s="575"/>
      <c r="N4347" s="575"/>
      <c r="O4347" s="575"/>
      <c r="P4347" s="575"/>
      <c r="Q4347" s="575"/>
      <c r="R4347" s="575"/>
      <c r="S4347" s="575"/>
      <c r="T4347" s="575"/>
      <c r="U4347" s="575"/>
      <c r="V4347" s="575"/>
      <c r="W4347" s="575"/>
      <c r="X4347" s="575"/>
      <c r="Y4347" s="575"/>
    </row>
    <row r="4348" spans="1:25" s="88" customFormat="1" hidden="1">
      <c r="A4348" s="263"/>
      <c r="B4348" s="263"/>
      <c r="C4348" s="266"/>
      <c r="D4348" s="263"/>
      <c r="E4348" s="263"/>
      <c r="F4348" s="263"/>
      <c r="G4348" s="331"/>
      <c r="H4348" s="644"/>
      <c r="I4348" s="645"/>
      <c r="J4348" s="645"/>
      <c r="K4348" s="575"/>
      <c r="L4348" s="575"/>
      <c r="M4348" s="575"/>
      <c r="N4348" s="575"/>
      <c r="O4348" s="575"/>
      <c r="P4348" s="575"/>
      <c r="Q4348" s="575"/>
      <c r="R4348" s="575"/>
      <c r="S4348" s="575"/>
      <c r="T4348" s="575"/>
      <c r="U4348" s="575"/>
      <c r="V4348" s="575"/>
      <c r="W4348" s="575"/>
      <c r="X4348" s="575"/>
      <c r="Y4348" s="575"/>
    </row>
    <row r="4349" spans="1:25" s="88" customFormat="1" hidden="1">
      <c r="A4349" s="263"/>
      <c r="B4349" s="263"/>
      <c r="C4349" s="266"/>
      <c r="D4349" s="263"/>
      <c r="E4349" s="263"/>
      <c r="F4349" s="263"/>
      <c r="G4349" s="331"/>
      <c r="H4349" s="644"/>
      <c r="I4349" s="645"/>
      <c r="J4349" s="645"/>
      <c r="K4349" s="575"/>
      <c r="L4349" s="575"/>
      <c r="M4349" s="575"/>
      <c r="N4349" s="575"/>
      <c r="O4349" s="575"/>
      <c r="P4349" s="575"/>
      <c r="Q4349" s="575"/>
      <c r="R4349" s="575"/>
      <c r="S4349" s="575"/>
      <c r="T4349" s="575"/>
      <c r="U4349" s="575"/>
      <c r="V4349" s="575"/>
      <c r="W4349" s="575"/>
      <c r="X4349" s="575"/>
      <c r="Y4349" s="575"/>
    </row>
    <row r="4350" spans="1:25" s="88" customFormat="1" hidden="1">
      <c r="A4350" s="263"/>
      <c r="B4350" s="263"/>
      <c r="C4350" s="266"/>
      <c r="D4350" s="263"/>
      <c r="E4350" s="263"/>
      <c r="F4350" s="263"/>
      <c r="G4350" s="331"/>
      <c r="H4350" s="644"/>
      <c r="I4350" s="645"/>
      <c r="J4350" s="645"/>
      <c r="K4350" s="575"/>
      <c r="L4350" s="575"/>
      <c r="M4350" s="575"/>
      <c r="N4350" s="575"/>
      <c r="O4350" s="575"/>
      <c r="P4350" s="575"/>
      <c r="Q4350" s="575"/>
      <c r="R4350" s="575"/>
      <c r="S4350" s="575"/>
      <c r="T4350" s="575"/>
      <c r="U4350" s="575"/>
      <c r="V4350" s="575"/>
      <c r="W4350" s="575"/>
      <c r="X4350" s="575"/>
      <c r="Y4350" s="575"/>
    </row>
    <row r="4351" spans="1:25" s="88" customFormat="1" hidden="1">
      <c r="A4351" s="263"/>
      <c r="B4351" s="263"/>
      <c r="C4351" s="266"/>
      <c r="D4351" s="263"/>
      <c r="E4351" s="263"/>
      <c r="F4351" s="263"/>
      <c r="G4351" s="331"/>
      <c r="H4351" s="644"/>
      <c r="I4351" s="645"/>
      <c r="J4351" s="645"/>
      <c r="K4351" s="575"/>
      <c r="L4351" s="575"/>
      <c r="M4351" s="575"/>
      <c r="N4351" s="575"/>
      <c r="O4351" s="575"/>
      <c r="P4351" s="575"/>
      <c r="Q4351" s="575"/>
      <c r="R4351" s="575"/>
      <c r="S4351" s="575"/>
      <c r="T4351" s="575"/>
      <c r="U4351" s="575"/>
      <c r="V4351" s="575"/>
      <c r="W4351" s="575"/>
      <c r="X4351" s="575"/>
      <c r="Y4351" s="575"/>
    </row>
    <row r="4352" spans="1:25" s="88" customFormat="1" hidden="1">
      <c r="A4352" s="263"/>
      <c r="B4352" s="263"/>
      <c r="C4352" s="266"/>
      <c r="D4352" s="263"/>
      <c r="E4352" s="263"/>
      <c r="F4352" s="263"/>
      <c r="G4352" s="331"/>
      <c r="H4352" s="644"/>
      <c r="I4352" s="645"/>
      <c r="J4352" s="645"/>
      <c r="K4352" s="575"/>
      <c r="L4352" s="575"/>
      <c r="M4352" s="575"/>
      <c r="N4352" s="575"/>
      <c r="O4352" s="575"/>
      <c r="P4352" s="575"/>
      <c r="Q4352" s="575"/>
      <c r="R4352" s="575"/>
      <c r="S4352" s="575"/>
      <c r="T4352" s="575"/>
      <c r="U4352" s="575"/>
      <c r="V4352" s="575"/>
      <c r="W4352" s="575"/>
      <c r="X4352" s="575"/>
      <c r="Y4352" s="575"/>
    </row>
    <row r="4353" spans="1:25" s="88" customFormat="1" hidden="1">
      <c r="A4353" s="263"/>
      <c r="B4353" s="263"/>
      <c r="C4353" s="266"/>
      <c r="D4353" s="263"/>
      <c r="E4353" s="263"/>
      <c r="F4353" s="263"/>
      <c r="G4353" s="331"/>
      <c r="H4353" s="644"/>
      <c r="I4353" s="645"/>
      <c r="J4353" s="645"/>
      <c r="K4353" s="575"/>
      <c r="L4353" s="575"/>
      <c r="M4353" s="575"/>
      <c r="N4353" s="575"/>
      <c r="O4353" s="575"/>
      <c r="P4353" s="575"/>
      <c r="Q4353" s="575"/>
      <c r="R4353" s="575"/>
      <c r="S4353" s="575"/>
      <c r="T4353" s="575"/>
      <c r="U4353" s="575"/>
      <c r="V4353" s="575"/>
      <c r="W4353" s="575"/>
      <c r="X4353" s="575"/>
      <c r="Y4353" s="575"/>
    </row>
    <row r="4354" spans="1:25" s="88" customFormat="1" hidden="1">
      <c r="A4354" s="263"/>
      <c r="B4354" s="263"/>
      <c r="C4354" s="266"/>
      <c r="D4354" s="263"/>
      <c r="E4354" s="263"/>
      <c r="F4354" s="263"/>
      <c r="G4354" s="331"/>
      <c r="H4354" s="644"/>
      <c r="I4354" s="645"/>
      <c r="J4354" s="645"/>
      <c r="K4354" s="575"/>
      <c r="L4354" s="575"/>
      <c r="M4354" s="575"/>
      <c r="N4354" s="575"/>
      <c r="O4354" s="575"/>
      <c r="P4354" s="575"/>
      <c r="Q4354" s="575"/>
      <c r="R4354" s="575"/>
      <c r="S4354" s="575"/>
      <c r="T4354" s="575"/>
      <c r="U4354" s="575"/>
      <c r="V4354" s="575"/>
      <c r="W4354" s="575"/>
      <c r="X4354" s="575"/>
      <c r="Y4354" s="575"/>
    </row>
    <row r="4355" spans="1:25" s="88" customFormat="1" hidden="1">
      <c r="A4355" s="263"/>
      <c r="B4355" s="263"/>
      <c r="C4355" s="266"/>
      <c r="D4355" s="263"/>
      <c r="E4355" s="263"/>
      <c r="F4355" s="263"/>
      <c r="G4355" s="331"/>
      <c r="H4355" s="644"/>
      <c r="I4355" s="645"/>
      <c r="J4355" s="645"/>
      <c r="K4355" s="575"/>
      <c r="L4355" s="575"/>
      <c r="M4355" s="575"/>
      <c r="N4355" s="575"/>
      <c r="O4355" s="575"/>
      <c r="P4355" s="575"/>
      <c r="Q4355" s="575"/>
      <c r="R4355" s="575"/>
      <c r="S4355" s="575"/>
      <c r="T4355" s="575"/>
      <c r="U4355" s="575"/>
      <c r="V4355" s="575"/>
      <c r="W4355" s="575"/>
      <c r="X4355" s="575"/>
      <c r="Y4355" s="575"/>
    </row>
    <row r="4356" spans="1:25" s="88" customFormat="1" hidden="1">
      <c r="A4356" s="263"/>
      <c r="B4356" s="263"/>
      <c r="C4356" s="266"/>
      <c r="D4356" s="263"/>
      <c r="E4356" s="263"/>
      <c r="F4356" s="263"/>
      <c r="G4356" s="331"/>
      <c r="H4356" s="644"/>
      <c r="I4356" s="645"/>
      <c r="J4356" s="645"/>
      <c r="K4356" s="575"/>
      <c r="L4356" s="575"/>
      <c r="M4356" s="575"/>
      <c r="N4356" s="575"/>
      <c r="O4356" s="575"/>
      <c r="P4356" s="575"/>
      <c r="Q4356" s="575"/>
      <c r="R4356" s="575"/>
      <c r="S4356" s="575"/>
      <c r="T4356" s="575"/>
      <c r="U4356" s="575"/>
      <c r="V4356" s="575"/>
      <c r="W4356" s="575"/>
      <c r="X4356" s="575"/>
      <c r="Y4356" s="575"/>
    </row>
    <row r="4357" spans="1:25" s="88" customFormat="1" hidden="1">
      <c r="A4357" s="263"/>
      <c r="B4357" s="263"/>
      <c r="C4357" s="266"/>
      <c r="D4357" s="263"/>
      <c r="E4357" s="263"/>
      <c r="F4357" s="263"/>
      <c r="G4357" s="331"/>
      <c r="H4357" s="644"/>
      <c r="I4357" s="645"/>
      <c r="J4357" s="645"/>
      <c r="K4357" s="575"/>
      <c r="L4357" s="575"/>
      <c r="M4357" s="575"/>
      <c r="N4357" s="575"/>
      <c r="O4357" s="575"/>
      <c r="P4357" s="575"/>
      <c r="Q4357" s="575"/>
      <c r="R4357" s="575"/>
      <c r="S4357" s="575"/>
      <c r="T4357" s="575"/>
      <c r="U4357" s="575"/>
      <c r="V4357" s="575"/>
      <c r="W4357" s="575"/>
      <c r="X4357" s="575"/>
      <c r="Y4357" s="575"/>
    </row>
    <row r="4358" spans="1:25" s="88" customFormat="1" hidden="1">
      <c r="A4358" s="263"/>
      <c r="B4358" s="263"/>
      <c r="C4358" s="266"/>
      <c r="D4358" s="263"/>
      <c r="E4358" s="263"/>
      <c r="F4358" s="263"/>
      <c r="G4358" s="331"/>
      <c r="H4358" s="644"/>
      <c r="I4358" s="645"/>
      <c r="J4358" s="645"/>
      <c r="K4358" s="575"/>
      <c r="L4358" s="575"/>
      <c r="M4358" s="575"/>
      <c r="N4358" s="575"/>
      <c r="O4358" s="575"/>
      <c r="P4358" s="575"/>
      <c r="Q4358" s="575"/>
      <c r="R4358" s="575"/>
      <c r="S4358" s="575"/>
      <c r="T4358" s="575"/>
      <c r="U4358" s="575"/>
      <c r="V4358" s="575"/>
      <c r="W4358" s="575"/>
      <c r="X4358" s="575"/>
      <c r="Y4358" s="575"/>
    </row>
    <row r="4359" spans="1:25" s="88" customFormat="1" hidden="1">
      <c r="A4359" s="263"/>
      <c r="B4359" s="263"/>
      <c r="C4359" s="266"/>
      <c r="D4359" s="263"/>
      <c r="E4359" s="263"/>
      <c r="F4359" s="263"/>
      <c r="G4359" s="331"/>
      <c r="H4359" s="644"/>
      <c r="I4359" s="645"/>
      <c r="J4359" s="645"/>
      <c r="K4359" s="575"/>
      <c r="L4359" s="575"/>
      <c r="M4359" s="575"/>
      <c r="N4359" s="575"/>
      <c r="O4359" s="575"/>
      <c r="P4359" s="575"/>
      <c r="Q4359" s="575"/>
      <c r="R4359" s="575"/>
      <c r="S4359" s="575"/>
      <c r="T4359" s="575"/>
      <c r="U4359" s="575"/>
      <c r="V4359" s="575"/>
      <c r="W4359" s="575"/>
      <c r="X4359" s="575"/>
      <c r="Y4359" s="575"/>
    </row>
    <row r="4360" spans="1:25" s="88" customFormat="1" hidden="1">
      <c r="A4360" s="263"/>
      <c r="B4360" s="263"/>
      <c r="C4360" s="266"/>
      <c r="D4360" s="263"/>
      <c r="E4360" s="263"/>
      <c r="F4360" s="263"/>
      <c r="G4360" s="331"/>
      <c r="H4360" s="644"/>
      <c r="I4360" s="645"/>
      <c r="J4360" s="645"/>
      <c r="K4360" s="575"/>
      <c r="L4360" s="575"/>
      <c r="M4360" s="575"/>
      <c r="N4360" s="575"/>
      <c r="O4360" s="575"/>
      <c r="P4360" s="575"/>
      <c r="Q4360" s="575"/>
      <c r="R4360" s="575"/>
      <c r="S4360" s="575"/>
      <c r="T4360" s="575"/>
      <c r="U4360" s="575"/>
      <c r="V4360" s="575"/>
      <c r="W4360" s="575"/>
      <c r="X4360" s="575"/>
      <c r="Y4360" s="575"/>
    </row>
    <row r="4361" spans="1:25" s="88" customFormat="1" hidden="1">
      <c r="A4361" s="263"/>
      <c r="B4361" s="263"/>
      <c r="C4361" s="266"/>
      <c r="D4361" s="263"/>
      <c r="E4361" s="263"/>
      <c r="F4361" s="263"/>
      <c r="G4361" s="331"/>
      <c r="H4361" s="644"/>
      <c r="I4361" s="645"/>
      <c r="J4361" s="645"/>
      <c r="K4361" s="575"/>
      <c r="L4361" s="575"/>
      <c r="M4361" s="575"/>
      <c r="N4361" s="575"/>
      <c r="O4361" s="575"/>
      <c r="P4361" s="575"/>
      <c r="Q4361" s="575"/>
      <c r="R4361" s="575"/>
      <c r="S4361" s="575"/>
      <c r="T4361" s="575"/>
      <c r="U4361" s="575"/>
      <c r="V4361" s="575"/>
      <c r="W4361" s="575"/>
      <c r="X4361" s="575"/>
      <c r="Y4361" s="575"/>
    </row>
    <row r="4362" spans="1:25" s="88" customFormat="1" hidden="1">
      <c r="A4362" s="263"/>
      <c r="B4362" s="263"/>
      <c r="C4362" s="266"/>
      <c r="D4362" s="263"/>
      <c r="E4362" s="263"/>
      <c r="F4362" s="263"/>
      <c r="G4362" s="331"/>
      <c r="H4362" s="644"/>
      <c r="I4362" s="645"/>
      <c r="J4362" s="645"/>
      <c r="K4362" s="575"/>
      <c r="L4362" s="575"/>
      <c r="M4362" s="575"/>
      <c r="N4362" s="575"/>
      <c r="O4362" s="575"/>
      <c r="P4362" s="575"/>
      <c r="Q4362" s="575"/>
      <c r="R4362" s="575"/>
      <c r="S4362" s="575"/>
      <c r="T4362" s="575"/>
      <c r="U4362" s="575"/>
      <c r="V4362" s="575"/>
      <c r="W4362" s="575"/>
      <c r="X4362" s="575"/>
      <c r="Y4362" s="575"/>
    </row>
    <row r="4363" spans="1:25" s="88" customFormat="1" hidden="1">
      <c r="A4363" s="263"/>
      <c r="B4363" s="263"/>
      <c r="C4363" s="266"/>
      <c r="D4363" s="263"/>
      <c r="E4363" s="263"/>
      <c r="F4363" s="263"/>
      <c r="G4363" s="331"/>
      <c r="H4363" s="644"/>
      <c r="I4363" s="645"/>
      <c r="J4363" s="645"/>
      <c r="K4363" s="575"/>
      <c r="L4363" s="575"/>
      <c r="M4363" s="575"/>
      <c r="N4363" s="575"/>
      <c r="O4363" s="575"/>
      <c r="P4363" s="575"/>
      <c r="Q4363" s="575"/>
      <c r="R4363" s="575"/>
      <c r="S4363" s="575"/>
      <c r="T4363" s="575"/>
      <c r="U4363" s="575"/>
      <c r="V4363" s="575"/>
      <c r="W4363" s="575"/>
      <c r="X4363" s="575"/>
      <c r="Y4363" s="575"/>
    </row>
    <row r="4364" spans="1:25" s="88" customFormat="1" hidden="1">
      <c r="A4364" s="263"/>
      <c r="B4364" s="263"/>
      <c r="C4364" s="266"/>
      <c r="D4364" s="263"/>
      <c r="E4364" s="263"/>
      <c r="F4364" s="263"/>
      <c r="G4364" s="331"/>
      <c r="H4364" s="644"/>
      <c r="I4364" s="645"/>
      <c r="J4364" s="645"/>
      <c r="K4364" s="575"/>
      <c r="L4364" s="575"/>
      <c r="M4364" s="575"/>
      <c r="N4364" s="575"/>
      <c r="O4364" s="575"/>
      <c r="P4364" s="575"/>
      <c r="Q4364" s="575"/>
      <c r="R4364" s="575"/>
      <c r="S4364" s="575"/>
      <c r="T4364" s="575"/>
      <c r="U4364" s="575"/>
      <c r="V4364" s="575"/>
      <c r="W4364" s="575"/>
      <c r="X4364" s="575"/>
      <c r="Y4364" s="575"/>
    </row>
    <row r="4365" spans="1:25" s="88" customFormat="1" hidden="1">
      <c r="A4365" s="263"/>
      <c r="B4365" s="263"/>
      <c r="C4365" s="266"/>
      <c r="D4365" s="263"/>
      <c r="E4365" s="263"/>
      <c r="F4365" s="263"/>
      <c r="G4365" s="331"/>
      <c r="H4365" s="644"/>
      <c r="I4365" s="645"/>
      <c r="J4365" s="645"/>
      <c r="K4365" s="575"/>
      <c r="L4365" s="575"/>
      <c r="M4365" s="575"/>
      <c r="N4365" s="575"/>
      <c r="O4365" s="575"/>
      <c r="P4365" s="575"/>
      <c r="Q4365" s="575"/>
      <c r="R4365" s="575"/>
      <c r="S4365" s="575"/>
      <c r="T4365" s="575"/>
      <c r="U4365" s="575"/>
      <c r="V4365" s="575"/>
      <c r="W4365" s="575"/>
      <c r="X4365" s="575"/>
      <c r="Y4365" s="575"/>
    </row>
    <row r="4366" spans="1:25" s="88" customFormat="1" hidden="1">
      <c r="A4366" s="263"/>
      <c r="B4366" s="263"/>
      <c r="C4366" s="266"/>
      <c r="D4366" s="263"/>
      <c r="E4366" s="263"/>
      <c r="F4366" s="263"/>
      <c r="G4366" s="331"/>
      <c r="H4366" s="644"/>
      <c r="I4366" s="645"/>
      <c r="J4366" s="645"/>
      <c r="K4366" s="575"/>
      <c r="L4366" s="575"/>
      <c r="M4366" s="575"/>
      <c r="N4366" s="575"/>
      <c r="O4366" s="575"/>
      <c r="P4366" s="575"/>
      <c r="Q4366" s="575"/>
      <c r="R4366" s="575"/>
      <c r="S4366" s="575"/>
      <c r="T4366" s="575"/>
      <c r="U4366" s="575"/>
      <c r="V4366" s="575"/>
      <c r="W4366" s="575"/>
      <c r="X4366" s="575"/>
      <c r="Y4366" s="575"/>
    </row>
    <row r="4367" spans="1:25" s="88" customFormat="1" hidden="1">
      <c r="A4367" s="263"/>
      <c r="B4367" s="263"/>
      <c r="C4367" s="266"/>
      <c r="D4367" s="263"/>
      <c r="E4367" s="263"/>
      <c r="F4367" s="263"/>
      <c r="G4367" s="331"/>
      <c r="H4367" s="644"/>
      <c r="I4367" s="645"/>
      <c r="J4367" s="645"/>
      <c r="K4367" s="575"/>
      <c r="L4367" s="575"/>
      <c r="M4367" s="575"/>
      <c r="N4367" s="575"/>
      <c r="O4367" s="575"/>
      <c r="P4367" s="575"/>
      <c r="Q4367" s="575"/>
      <c r="R4367" s="575"/>
      <c r="S4367" s="575"/>
      <c r="T4367" s="575"/>
      <c r="U4367" s="575"/>
      <c r="V4367" s="575"/>
      <c r="W4367" s="575"/>
      <c r="X4367" s="575"/>
      <c r="Y4367" s="575"/>
    </row>
    <row r="4368" spans="1:25" s="88" customFormat="1" hidden="1">
      <c r="A4368" s="263"/>
      <c r="B4368" s="263"/>
      <c r="C4368" s="266"/>
      <c r="D4368" s="263"/>
      <c r="E4368" s="263"/>
      <c r="F4368" s="263"/>
      <c r="G4368" s="331"/>
      <c r="H4368" s="644"/>
      <c r="I4368" s="645"/>
      <c r="J4368" s="645"/>
      <c r="K4368" s="575"/>
      <c r="L4368" s="575"/>
      <c r="M4368" s="575"/>
      <c r="N4368" s="575"/>
      <c r="O4368" s="575"/>
      <c r="P4368" s="575"/>
      <c r="Q4368" s="575"/>
      <c r="R4368" s="575"/>
      <c r="S4368" s="575"/>
      <c r="T4368" s="575"/>
      <c r="U4368" s="575"/>
      <c r="V4368" s="575"/>
      <c r="W4368" s="575"/>
      <c r="X4368" s="575"/>
      <c r="Y4368" s="575"/>
    </row>
    <row r="4369" spans="1:25" s="88" customFormat="1" hidden="1">
      <c r="A4369" s="263"/>
      <c r="B4369" s="263"/>
      <c r="C4369" s="266"/>
      <c r="D4369" s="263"/>
      <c r="E4369" s="263"/>
      <c r="F4369" s="263"/>
      <c r="G4369" s="331"/>
      <c r="H4369" s="644"/>
      <c r="I4369" s="645"/>
      <c r="J4369" s="645"/>
      <c r="K4369" s="575"/>
      <c r="L4369" s="575"/>
      <c r="M4369" s="575"/>
      <c r="N4369" s="575"/>
      <c r="O4369" s="575"/>
      <c r="P4369" s="575"/>
      <c r="Q4369" s="575"/>
      <c r="R4369" s="575"/>
      <c r="S4369" s="575"/>
      <c r="T4369" s="575"/>
      <c r="U4369" s="575"/>
      <c r="V4369" s="575"/>
      <c r="W4369" s="575"/>
      <c r="X4369" s="575"/>
      <c r="Y4369" s="575"/>
    </row>
    <row r="4370" spans="1:25" s="88" customFormat="1" hidden="1">
      <c r="A4370" s="263"/>
      <c r="B4370" s="263"/>
      <c r="C4370" s="266"/>
      <c r="D4370" s="263"/>
      <c r="E4370" s="263"/>
      <c r="F4370" s="263"/>
      <c r="G4370" s="331"/>
      <c r="H4370" s="644"/>
      <c r="I4370" s="645"/>
      <c r="J4370" s="645"/>
      <c r="K4370" s="575"/>
      <c r="L4370" s="575"/>
      <c r="M4370" s="575"/>
      <c r="N4370" s="575"/>
      <c r="O4370" s="575"/>
      <c r="P4370" s="575"/>
      <c r="Q4370" s="575"/>
      <c r="R4370" s="575"/>
      <c r="S4370" s="575"/>
      <c r="T4370" s="575"/>
      <c r="U4370" s="575"/>
      <c r="V4370" s="575"/>
      <c r="W4370" s="575"/>
      <c r="X4370" s="575"/>
      <c r="Y4370" s="575"/>
    </row>
    <row r="4371" spans="1:25" s="88" customFormat="1" hidden="1">
      <c r="A4371" s="263"/>
      <c r="B4371" s="263"/>
      <c r="C4371" s="266"/>
      <c r="D4371" s="263"/>
      <c r="E4371" s="263"/>
      <c r="F4371" s="263"/>
      <c r="G4371" s="331"/>
      <c r="H4371" s="644"/>
      <c r="I4371" s="645"/>
      <c r="J4371" s="645"/>
      <c r="K4371" s="575"/>
      <c r="L4371" s="575"/>
      <c r="M4371" s="575"/>
      <c r="N4371" s="575"/>
      <c r="O4371" s="575"/>
      <c r="P4371" s="575"/>
      <c r="Q4371" s="575"/>
      <c r="R4371" s="575"/>
      <c r="S4371" s="575"/>
      <c r="T4371" s="575"/>
      <c r="U4371" s="575"/>
      <c r="V4371" s="575"/>
      <c r="W4371" s="575"/>
      <c r="X4371" s="575"/>
      <c r="Y4371" s="575"/>
    </row>
    <row r="4372" spans="1:25" s="88" customFormat="1" hidden="1">
      <c r="A4372" s="263"/>
      <c r="B4372" s="263"/>
      <c r="C4372" s="266"/>
      <c r="D4372" s="263"/>
      <c r="E4372" s="263"/>
      <c r="F4372" s="263"/>
      <c r="G4372" s="331"/>
      <c r="H4372" s="644"/>
      <c r="I4372" s="645"/>
      <c r="J4372" s="645"/>
      <c r="K4372" s="575"/>
      <c r="L4372" s="575"/>
      <c r="M4372" s="575"/>
      <c r="N4372" s="575"/>
      <c r="O4372" s="575"/>
      <c r="P4372" s="575"/>
      <c r="Q4372" s="575"/>
      <c r="R4372" s="575"/>
      <c r="S4372" s="575"/>
      <c r="T4372" s="575"/>
      <c r="U4372" s="575"/>
      <c r="V4372" s="575"/>
      <c r="W4372" s="575"/>
      <c r="X4372" s="575"/>
      <c r="Y4372" s="575"/>
    </row>
    <row r="4373" spans="1:25" s="88" customFormat="1" hidden="1">
      <c r="A4373" s="263"/>
      <c r="B4373" s="263"/>
      <c r="C4373" s="266"/>
      <c r="D4373" s="263"/>
      <c r="E4373" s="263"/>
      <c r="F4373" s="263"/>
      <c r="G4373" s="331"/>
      <c r="H4373" s="644"/>
      <c r="I4373" s="645"/>
      <c r="J4373" s="645"/>
      <c r="K4373" s="575"/>
      <c r="L4373" s="575"/>
      <c r="M4373" s="575"/>
      <c r="N4373" s="575"/>
      <c r="O4373" s="575"/>
      <c r="P4373" s="575"/>
      <c r="Q4373" s="575"/>
      <c r="R4373" s="575"/>
      <c r="S4373" s="575"/>
      <c r="T4373" s="575"/>
      <c r="U4373" s="575"/>
      <c r="V4373" s="575"/>
      <c r="W4373" s="575"/>
      <c r="X4373" s="575"/>
      <c r="Y4373" s="575"/>
    </row>
    <row r="4374" spans="1:25" s="88" customFormat="1" hidden="1">
      <c r="A4374" s="263"/>
      <c r="B4374" s="263"/>
      <c r="C4374" s="266"/>
      <c r="D4374" s="263"/>
      <c r="E4374" s="263"/>
      <c r="F4374" s="263"/>
      <c r="G4374" s="331"/>
      <c r="H4374" s="644"/>
      <c r="I4374" s="645"/>
      <c r="J4374" s="645"/>
      <c r="K4374" s="575"/>
      <c r="L4374" s="575"/>
      <c r="M4374" s="575"/>
      <c r="N4374" s="575"/>
      <c r="O4374" s="575"/>
      <c r="P4374" s="575"/>
      <c r="Q4374" s="575"/>
      <c r="R4374" s="575"/>
      <c r="S4374" s="575"/>
      <c r="T4374" s="575"/>
      <c r="U4374" s="575"/>
      <c r="V4374" s="575"/>
      <c r="W4374" s="575"/>
      <c r="X4374" s="575"/>
      <c r="Y4374" s="575"/>
    </row>
    <row r="4375" spans="1:25" s="88" customFormat="1" hidden="1">
      <c r="A4375" s="263"/>
      <c r="B4375" s="263"/>
      <c r="C4375" s="266"/>
      <c r="D4375" s="263"/>
      <c r="E4375" s="263"/>
      <c r="F4375" s="263"/>
      <c r="G4375" s="331"/>
      <c r="H4375" s="644"/>
      <c r="I4375" s="645"/>
      <c r="J4375" s="645"/>
      <c r="K4375" s="575"/>
      <c r="L4375" s="575"/>
      <c r="M4375" s="575"/>
      <c r="N4375" s="575"/>
      <c r="O4375" s="575"/>
      <c r="P4375" s="575"/>
      <c r="Q4375" s="575"/>
      <c r="R4375" s="575"/>
      <c r="S4375" s="575"/>
      <c r="T4375" s="575"/>
      <c r="U4375" s="575"/>
      <c r="V4375" s="575"/>
      <c r="W4375" s="575"/>
      <c r="X4375" s="575"/>
      <c r="Y4375" s="575"/>
    </row>
    <row r="4376" spans="1:25" s="88" customFormat="1" ht="17.25" customHeight="1">
      <c r="A4376" s="324"/>
      <c r="B4376" s="529"/>
      <c r="C4376" s="324"/>
      <c r="D4376" s="326"/>
      <c r="E4376" s="327"/>
      <c r="F4376" s="327"/>
      <c r="G4376" s="328" t="s">
        <v>5217</v>
      </c>
      <c r="H4376" s="669"/>
      <c r="I4376" s="670"/>
      <c r="J4376" s="633"/>
      <c r="K4376" s="575"/>
      <c r="L4376" s="575"/>
      <c r="M4376" s="575"/>
      <c r="N4376" s="575"/>
      <c r="O4376" s="575"/>
      <c r="P4376" s="575"/>
      <c r="Q4376" s="575"/>
      <c r="R4376" s="575"/>
      <c r="S4376" s="575"/>
      <c r="T4376" s="575"/>
      <c r="U4376" s="575"/>
      <c r="V4376" s="575"/>
      <c r="W4376" s="575"/>
      <c r="X4376" s="575"/>
      <c r="Y4376" s="575"/>
    </row>
    <row r="4377" spans="1:25" s="88" customFormat="1">
      <c r="A4377" s="263"/>
      <c r="B4377" s="263"/>
      <c r="C4377" s="273" t="s">
        <v>3582</v>
      </c>
      <c r="D4377" s="263"/>
      <c r="E4377" s="263"/>
      <c r="F4377" s="263"/>
      <c r="G4377" s="560" t="s">
        <v>5282</v>
      </c>
      <c r="H4377" s="634"/>
      <c r="I4377" s="635"/>
      <c r="J4377" s="635"/>
      <c r="K4377" s="575"/>
      <c r="L4377" s="575"/>
      <c r="M4377" s="575"/>
      <c r="N4377" s="575"/>
      <c r="O4377" s="575"/>
      <c r="P4377" s="575"/>
      <c r="Q4377" s="575"/>
      <c r="R4377" s="575"/>
      <c r="S4377" s="575"/>
      <c r="T4377" s="575"/>
      <c r="U4377" s="575"/>
      <c r="V4377" s="575"/>
      <c r="W4377" s="575"/>
      <c r="X4377" s="575"/>
      <c r="Y4377" s="575"/>
    </row>
    <row r="4378" spans="1:25" s="88" customFormat="1">
      <c r="A4378" s="263"/>
      <c r="B4378" s="263"/>
      <c r="C4378" s="273" t="s">
        <v>4115</v>
      </c>
      <c r="D4378" s="264"/>
      <c r="E4378" s="263"/>
      <c r="F4378" s="263"/>
      <c r="G4378" s="560" t="s">
        <v>4110</v>
      </c>
      <c r="H4378" s="634"/>
      <c r="I4378" s="635"/>
      <c r="J4378" s="635"/>
      <c r="K4378" s="575"/>
      <c r="L4378" s="575"/>
      <c r="M4378" s="575"/>
      <c r="N4378" s="575"/>
      <c r="O4378" s="575"/>
      <c r="P4378" s="575"/>
      <c r="Q4378" s="575"/>
      <c r="R4378" s="575"/>
      <c r="S4378" s="575"/>
      <c r="T4378" s="575"/>
      <c r="U4378" s="575"/>
      <c r="V4378" s="575"/>
      <c r="W4378" s="575"/>
      <c r="X4378" s="575"/>
      <c r="Y4378" s="575"/>
    </row>
    <row r="4379" spans="1:25" s="88" customFormat="1">
      <c r="A4379" s="263"/>
      <c r="B4379" s="263"/>
      <c r="C4379" s="273"/>
      <c r="D4379" s="357">
        <v>912</v>
      </c>
      <c r="E4379" s="357"/>
      <c r="F4379" s="357"/>
      <c r="G4379" s="358" t="s">
        <v>215</v>
      </c>
      <c r="H4379" s="634"/>
      <c r="I4379" s="635"/>
      <c r="J4379" s="635"/>
      <c r="K4379" s="575"/>
      <c r="L4379" s="575"/>
      <c r="M4379" s="575"/>
      <c r="N4379" s="575"/>
      <c r="O4379" s="575"/>
      <c r="P4379" s="575"/>
      <c r="Q4379" s="575"/>
      <c r="R4379" s="575"/>
      <c r="S4379" s="575"/>
      <c r="T4379" s="575"/>
      <c r="U4379" s="575"/>
      <c r="V4379" s="575"/>
      <c r="W4379" s="575"/>
      <c r="X4379" s="575"/>
      <c r="Y4379" s="575"/>
    </row>
    <row r="4380" spans="1:25" s="88" customFormat="1" hidden="1">
      <c r="A4380" s="263"/>
      <c r="B4380" s="263"/>
      <c r="C4380" s="266"/>
      <c r="D4380" s="263"/>
      <c r="E4380" s="263"/>
      <c r="F4380" s="569">
        <v>411</v>
      </c>
      <c r="G4380" s="562" t="s">
        <v>4173</v>
      </c>
      <c r="H4380" s="634"/>
      <c r="I4380" s="635"/>
      <c r="J4380" s="635">
        <f>SUM(H4380:I4380)</f>
        <v>0</v>
      </c>
      <c r="K4380" s="575"/>
      <c r="L4380" s="575"/>
      <c r="M4380" s="575"/>
      <c r="N4380" s="575"/>
      <c r="O4380" s="575"/>
      <c r="P4380" s="575"/>
      <c r="Q4380" s="575"/>
      <c r="R4380" s="575"/>
      <c r="S4380" s="575"/>
      <c r="T4380" s="575"/>
      <c r="U4380" s="575"/>
      <c r="V4380" s="575"/>
      <c r="W4380" s="575"/>
      <c r="X4380" s="575"/>
      <c r="Y4380" s="575"/>
    </row>
    <row r="4381" spans="1:25" s="88" customFormat="1" hidden="1">
      <c r="A4381" s="263"/>
      <c r="B4381" s="263"/>
      <c r="C4381" s="266"/>
      <c r="D4381" s="263"/>
      <c r="E4381" s="263"/>
      <c r="F4381" s="569">
        <v>412</v>
      </c>
      <c r="G4381" s="558" t="s">
        <v>3770</v>
      </c>
      <c r="H4381" s="634"/>
      <c r="I4381" s="635"/>
      <c r="J4381" s="635">
        <f t="shared" ref="J4381:J4439" si="134">SUM(H4381:I4381)</f>
        <v>0</v>
      </c>
      <c r="K4381" s="575"/>
      <c r="L4381" s="575"/>
      <c r="M4381" s="575"/>
      <c r="N4381" s="575"/>
      <c r="O4381" s="575"/>
      <c r="P4381" s="575"/>
      <c r="Q4381" s="575"/>
      <c r="R4381" s="575"/>
      <c r="S4381" s="575"/>
      <c r="T4381" s="575"/>
      <c r="U4381" s="575"/>
      <c r="V4381" s="575"/>
      <c r="W4381" s="575"/>
      <c r="X4381" s="575"/>
      <c r="Y4381" s="575"/>
    </row>
    <row r="4382" spans="1:25" s="88" customFormat="1" hidden="1">
      <c r="A4382" s="263"/>
      <c r="B4382" s="263"/>
      <c r="C4382" s="266"/>
      <c r="D4382" s="263"/>
      <c r="E4382" s="263"/>
      <c r="F4382" s="569">
        <v>413</v>
      </c>
      <c r="G4382" s="562" t="s">
        <v>4174</v>
      </c>
      <c r="H4382" s="634"/>
      <c r="I4382" s="635"/>
      <c r="J4382" s="635">
        <f t="shared" si="134"/>
        <v>0</v>
      </c>
      <c r="K4382" s="575"/>
      <c r="L4382" s="575"/>
      <c r="M4382" s="575"/>
      <c r="N4382" s="575"/>
      <c r="O4382" s="575"/>
      <c r="P4382" s="575"/>
      <c r="Q4382" s="575"/>
      <c r="R4382" s="575"/>
      <c r="S4382" s="575"/>
      <c r="T4382" s="575"/>
      <c r="U4382" s="575"/>
      <c r="V4382" s="575"/>
      <c r="W4382" s="575"/>
      <c r="X4382" s="575"/>
      <c r="Y4382" s="575"/>
    </row>
    <row r="4383" spans="1:25" s="88" customFormat="1" hidden="1">
      <c r="A4383" s="263"/>
      <c r="B4383" s="263"/>
      <c r="C4383" s="266"/>
      <c r="D4383" s="263"/>
      <c r="E4383" s="263"/>
      <c r="F4383" s="569">
        <v>414</v>
      </c>
      <c r="G4383" s="562" t="s">
        <v>3773</v>
      </c>
      <c r="H4383" s="634"/>
      <c r="I4383" s="635"/>
      <c r="J4383" s="635">
        <f t="shared" si="134"/>
        <v>0</v>
      </c>
      <c r="K4383" s="575"/>
      <c r="L4383" s="575"/>
      <c r="M4383" s="575"/>
      <c r="N4383" s="575"/>
      <c r="O4383" s="575"/>
      <c r="P4383" s="575"/>
      <c r="Q4383" s="575"/>
      <c r="R4383" s="575"/>
      <c r="S4383" s="575"/>
      <c r="T4383" s="575"/>
      <c r="U4383" s="575"/>
      <c r="V4383" s="575"/>
      <c r="W4383" s="575"/>
      <c r="X4383" s="575"/>
      <c r="Y4383" s="575"/>
    </row>
    <row r="4384" spans="1:25" s="88" customFormat="1" hidden="1">
      <c r="A4384" s="263"/>
      <c r="B4384" s="263"/>
      <c r="C4384" s="266"/>
      <c r="D4384" s="263"/>
      <c r="E4384" s="263"/>
      <c r="F4384" s="569">
        <v>415</v>
      </c>
      <c r="G4384" s="562" t="s">
        <v>4183</v>
      </c>
      <c r="H4384" s="634"/>
      <c r="I4384" s="635"/>
      <c r="J4384" s="635">
        <f t="shared" si="134"/>
        <v>0</v>
      </c>
      <c r="K4384" s="575"/>
      <c r="L4384" s="575"/>
      <c r="M4384" s="575"/>
      <c r="N4384" s="575"/>
      <c r="O4384" s="575"/>
      <c r="P4384" s="575"/>
      <c r="Q4384" s="575"/>
      <c r="R4384" s="575"/>
      <c r="S4384" s="575"/>
      <c r="T4384" s="575"/>
      <c r="U4384" s="575"/>
      <c r="V4384" s="575"/>
      <c r="W4384" s="575"/>
      <c r="X4384" s="575"/>
      <c r="Y4384" s="575"/>
    </row>
    <row r="4385" spans="1:25" s="88" customFormat="1" hidden="1">
      <c r="A4385" s="263"/>
      <c r="B4385" s="263"/>
      <c r="C4385" s="266"/>
      <c r="D4385" s="263"/>
      <c r="E4385" s="263"/>
      <c r="F4385" s="569">
        <v>416</v>
      </c>
      <c r="G4385" s="562" t="s">
        <v>4184</v>
      </c>
      <c r="H4385" s="634"/>
      <c r="I4385" s="635"/>
      <c r="J4385" s="635">
        <f t="shared" si="134"/>
        <v>0</v>
      </c>
      <c r="K4385" s="575"/>
      <c r="L4385" s="575"/>
      <c r="M4385" s="575"/>
      <c r="N4385" s="575"/>
      <c r="O4385" s="575"/>
      <c r="P4385" s="575"/>
      <c r="Q4385" s="575"/>
      <c r="R4385" s="575"/>
      <c r="S4385" s="575"/>
      <c r="T4385" s="575"/>
      <c r="U4385" s="575"/>
      <c r="V4385" s="575"/>
      <c r="W4385" s="575"/>
      <c r="X4385" s="575"/>
      <c r="Y4385" s="575"/>
    </row>
    <row r="4386" spans="1:25" s="88" customFormat="1" hidden="1">
      <c r="A4386" s="263"/>
      <c r="B4386" s="263"/>
      <c r="C4386" s="266"/>
      <c r="D4386" s="263"/>
      <c r="E4386" s="263"/>
      <c r="F4386" s="569">
        <v>417</v>
      </c>
      <c r="G4386" s="562" t="s">
        <v>4185</v>
      </c>
      <c r="H4386" s="634"/>
      <c r="I4386" s="635"/>
      <c r="J4386" s="635">
        <f t="shared" si="134"/>
        <v>0</v>
      </c>
      <c r="K4386" s="575"/>
      <c r="L4386" s="575"/>
      <c r="M4386" s="575"/>
      <c r="N4386" s="575"/>
      <c r="O4386" s="575"/>
      <c r="P4386" s="575"/>
      <c r="Q4386" s="575"/>
      <c r="R4386" s="575"/>
      <c r="S4386" s="575"/>
      <c r="T4386" s="575"/>
      <c r="U4386" s="575"/>
      <c r="V4386" s="575"/>
      <c r="W4386" s="575"/>
      <c r="X4386" s="575"/>
      <c r="Y4386" s="575"/>
    </row>
    <row r="4387" spans="1:25" s="88" customFormat="1" hidden="1">
      <c r="A4387" s="263"/>
      <c r="B4387" s="263"/>
      <c r="C4387" s="266"/>
      <c r="D4387" s="263"/>
      <c r="E4387" s="263"/>
      <c r="F4387" s="569">
        <v>418</v>
      </c>
      <c r="G4387" s="562" t="s">
        <v>3779</v>
      </c>
      <c r="H4387" s="634"/>
      <c r="I4387" s="635"/>
      <c r="J4387" s="635">
        <f t="shared" si="134"/>
        <v>0</v>
      </c>
      <c r="K4387" s="575"/>
      <c r="L4387" s="575"/>
      <c r="M4387" s="575"/>
      <c r="N4387" s="575"/>
      <c r="O4387" s="575"/>
      <c r="P4387" s="575"/>
      <c r="Q4387" s="575"/>
      <c r="R4387" s="575"/>
      <c r="S4387" s="575"/>
      <c r="T4387" s="575"/>
      <c r="U4387" s="575"/>
      <c r="V4387" s="575"/>
      <c r="W4387" s="575"/>
      <c r="X4387" s="575"/>
      <c r="Y4387" s="575"/>
    </row>
    <row r="4388" spans="1:25" s="88" customFormat="1" hidden="1">
      <c r="A4388" s="263"/>
      <c r="B4388" s="263"/>
      <c r="C4388" s="266"/>
      <c r="D4388" s="263"/>
      <c r="E4388" s="263"/>
      <c r="F4388" s="569">
        <v>421</v>
      </c>
      <c r="G4388" s="562" t="s">
        <v>3783</v>
      </c>
      <c r="H4388" s="634"/>
      <c r="I4388" s="635"/>
      <c r="J4388" s="635">
        <f t="shared" si="134"/>
        <v>0</v>
      </c>
      <c r="K4388" s="575"/>
      <c r="L4388" s="575"/>
      <c r="M4388" s="575"/>
      <c r="N4388" s="575"/>
      <c r="O4388" s="575"/>
      <c r="P4388" s="575"/>
      <c r="Q4388" s="575"/>
      <c r="R4388" s="575"/>
      <c r="S4388" s="575"/>
      <c r="T4388" s="575"/>
      <c r="U4388" s="575"/>
      <c r="V4388" s="575"/>
      <c r="W4388" s="575"/>
      <c r="X4388" s="575"/>
      <c r="Y4388" s="575"/>
    </row>
    <row r="4389" spans="1:25" s="88" customFormat="1" hidden="1">
      <c r="A4389" s="263"/>
      <c r="B4389" s="263"/>
      <c r="C4389" s="266"/>
      <c r="D4389" s="263"/>
      <c r="E4389" s="263"/>
      <c r="F4389" s="569">
        <v>422</v>
      </c>
      <c r="G4389" s="562" t="s">
        <v>3784</v>
      </c>
      <c r="H4389" s="634"/>
      <c r="I4389" s="635"/>
      <c r="J4389" s="635">
        <f t="shared" si="134"/>
        <v>0</v>
      </c>
      <c r="K4389" s="575"/>
      <c r="L4389" s="575"/>
      <c r="M4389" s="575"/>
      <c r="N4389" s="575"/>
      <c r="O4389" s="575"/>
      <c r="P4389" s="575"/>
      <c r="Q4389" s="575"/>
      <c r="R4389" s="575"/>
      <c r="S4389" s="575"/>
      <c r="T4389" s="575"/>
      <c r="U4389" s="575"/>
      <c r="V4389" s="575"/>
      <c r="W4389" s="575"/>
      <c r="X4389" s="575"/>
      <c r="Y4389" s="575"/>
    </row>
    <row r="4390" spans="1:25" s="88" customFormat="1" hidden="1">
      <c r="A4390" s="263"/>
      <c r="B4390" s="263"/>
      <c r="C4390" s="266"/>
      <c r="D4390" s="263"/>
      <c r="E4390" s="263"/>
      <c r="F4390" s="569">
        <v>423</v>
      </c>
      <c r="G4390" s="562" t="s">
        <v>3785</v>
      </c>
      <c r="H4390" s="634"/>
      <c r="I4390" s="635"/>
      <c r="J4390" s="635">
        <f t="shared" si="134"/>
        <v>0</v>
      </c>
      <c r="K4390" s="575"/>
      <c r="L4390" s="575"/>
      <c r="M4390" s="575"/>
      <c r="N4390" s="575"/>
      <c r="O4390" s="575"/>
      <c r="P4390" s="575"/>
      <c r="Q4390" s="575"/>
      <c r="R4390" s="575"/>
      <c r="S4390" s="575"/>
      <c r="T4390" s="575"/>
      <c r="U4390" s="575"/>
      <c r="V4390" s="575"/>
      <c r="W4390" s="575"/>
      <c r="X4390" s="575"/>
      <c r="Y4390" s="575"/>
    </row>
    <row r="4391" spans="1:25" s="88" customFormat="1" hidden="1">
      <c r="A4391" s="263"/>
      <c r="B4391" s="263"/>
      <c r="C4391" s="266"/>
      <c r="D4391" s="263"/>
      <c r="E4391" s="263"/>
      <c r="F4391" s="569">
        <v>424</v>
      </c>
      <c r="G4391" s="562" t="s">
        <v>3787</v>
      </c>
      <c r="H4391" s="634"/>
      <c r="I4391" s="635"/>
      <c r="J4391" s="635">
        <f t="shared" si="134"/>
        <v>0</v>
      </c>
      <c r="K4391" s="575"/>
      <c r="L4391" s="575"/>
      <c r="M4391" s="575"/>
      <c r="N4391" s="575"/>
      <c r="O4391" s="575"/>
      <c r="P4391" s="575"/>
      <c r="Q4391" s="575"/>
      <c r="R4391" s="575"/>
      <c r="S4391" s="575"/>
      <c r="T4391" s="575"/>
      <c r="U4391" s="575"/>
      <c r="V4391" s="575"/>
      <c r="W4391" s="575"/>
      <c r="X4391" s="575"/>
      <c r="Y4391" s="575"/>
    </row>
    <row r="4392" spans="1:25" s="88" customFormat="1" hidden="1">
      <c r="A4392" s="263"/>
      <c r="B4392" s="263"/>
      <c r="C4392" s="266"/>
      <c r="D4392" s="263"/>
      <c r="E4392" s="263"/>
      <c r="F4392" s="569">
        <v>425</v>
      </c>
      <c r="G4392" s="562" t="s">
        <v>4186</v>
      </c>
      <c r="H4392" s="634"/>
      <c r="I4392" s="635"/>
      <c r="J4392" s="635">
        <f t="shared" si="134"/>
        <v>0</v>
      </c>
      <c r="K4392" s="575"/>
      <c r="L4392" s="575"/>
      <c r="M4392" s="575"/>
      <c r="N4392" s="575"/>
      <c r="O4392" s="575"/>
      <c r="P4392" s="575"/>
      <c r="Q4392" s="575"/>
      <c r="R4392" s="575"/>
      <c r="S4392" s="575"/>
      <c r="T4392" s="575"/>
      <c r="U4392" s="575"/>
      <c r="V4392" s="575"/>
      <c r="W4392" s="575"/>
      <c r="X4392" s="575"/>
      <c r="Y4392" s="575"/>
    </row>
    <row r="4393" spans="1:25" s="88" customFormat="1" hidden="1">
      <c r="A4393" s="263"/>
      <c r="B4393" s="263"/>
      <c r="C4393" s="266"/>
      <c r="D4393" s="263"/>
      <c r="E4393" s="263"/>
      <c r="F4393" s="569">
        <v>426</v>
      </c>
      <c r="G4393" s="562" t="s">
        <v>3791</v>
      </c>
      <c r="H4393" s="634"/>
      <c r="I4393" s="635"/>
      <c r="J4393" s="635">
        <f t="shared" si="134"/>
        <v>0</v>
      </c>
      <c r="K4393" s="575"/>
      <c r="L4393" s="575"/>
      <c r="M4393" s="575"/>
      <c r="N4393" s="575"/>
      <c r="O4393" s="575"/>
      <c r="P4393" s="575"/>
      <c r="Q4393" s="575"/>
      <c r="R4393" s="575"/>
      <c r="S4393" s="575"/>
      <c r="T4393" s="575"/>
      <c r="U4393" s="575"/>
      <c r="V4393" s="575"/>
      <c r="W4393" s="575"/>
      <c r="X4393" s="575"/>
      <c r="Y4393" s="575"/>
    </row>
    <row r="4394" spans="1:25" s="88" customFormat="1" hidden="1">
      <c r="A4394" s="263"/>
      <c r="B4394" s="263"/>
      <c r="C4394" s="266"/>
      <c r="D4394" s="263"/>
      <c r="E4394" s="263"/>
      <c r="F4394" s="569">
        <v>431</v>
      </c>
      <c r="G4394" s="562" t="s">
        <v>4187</v>
      </c>
      <c r="H4394" s="634"/>
      <c r="I4394" s="635"/>
      <c r="J4394" s="635">
        <f t="shared" si="134"/>
        <v>0</v>
      </c>
      <c r="K4394" s="575"/>
      <c r="L4394" s="575"/>
      <c r="M4394" s="575"/>
      <c r="N4394" s="575"/>
      <c r="O4394" s="575"/>
      <c r="P4394" s="575"/>
      <c r="Q4394" s="575"/>
      <c r="R4394" s="575"/>
      <c r="S4394" s="575"/>
      <c r="T4394" s="575"/>
      <c r="U4394" s="575"/>
      <c r="V4394" s="575"/>
      <c r="W4394" s="575"/>
      <c r="X4394" s="575"/>
      <c r="Y4394" s="575"/>
    </row>
    <row r="4395" spans="1:25" s="88" customFormat="1" hidden="1">
      <c r="A4395" s="263"/>
      <c r="B4395" s="263"/>
      <c r="C4395" s="266"/>
      <c r="D4395" s="263"/>
      <c r="E4395" s="263"/>
      <c r="F4395" s="569">
        <v>432</v>
      </c>
      <c r="G4395" s="562" t="s">
        <v>4188</v>
      </c>
      <c r="H4395" s="634"/>
      <c r="I4395" s="635"/>
      <c r="J4395" s="635">
        <f t="shared" si="134"/>
        <v>0</v>
      </c>
      <c r="K4395" s="575"/>
      <c r="L4395" s="575"/>
      <c r="M4395" s="575"/>
      <c r="N4395" s="575"/>
      <c r="O4395" s="575"/>
      <c r="P4395" s="575"/>
      <c r="Q4395" s="575"/>
      <c r="R4395" s="575"/>
      <c r="S4395" s="575"/>
      <c r="T4395" s="575"/>
      <c r="U4395" s="575"/>
      <c r="V4395" s="575"/>
      <c r="W4395" s="575"/>
      <c r="X4395" s="575"/>
      <c r="Y4395" s="575"/>
    </row>
    <row r="4396" spans="1:25" s="88" customFormat="1" hidden="1">
      <c r="A4396" s="263"/>
      <c r="B4396" s="263"/>
      <c r="C4396" s="266"/>
      <c r="D4396" s="263"/>
      <c r="E4396" s="263"/>
      <c r="F4396" s="569">
        <v>433</v>
      </c>
      <c r="G4396" s="562" t="s">
        <v>4189</v>
      </c>
      <c r="H4396" s="634"/>
      <c r="I4396" s="635"/>
      <c r="J4396" s="635">
        <f t="shared" si="134"/>
        <v>0</v>
      </c>
      <c r="K4396" s="575"/>
      <c r="L4396" s="575"/>
      <c r="M4396" s="575"/>
      <c r="N4396" s="575"/>
      <c r="O4396" s="575"/>
      <c r="P4396" s="575"/>
      <c r="Q4396" s="575"/>
      <c r="R4396" s="575"/>
      <c r="S4396" s="575"/>
      <c r="T4396" s="575"/>
      <c r="U4396" s="575"/>
      <c r="V4396" s="575"/>
      <c r="W4396" s="575"/>
      <c r="X4396" s="575"/>
      <c r="Y4396" s="575"/>
    </row>
    <row r="4397" spans="1:25" s="88" customFormat="1" hidden="1">
      <c r="A4397" s="263"/>
      <c r="B4397" s="263"/>
      <c r="C4397" s="266"/>
      <c r="D4397" s="263"/>
      <c r="E4397" s="263"/>
      <c r="F4397" s="569">
        <v>434</v>
      </c>
      <c r="G4397" s="562" t="s">
        <v>4190</v>
      </c>
      <c r="H4397" s="634"/>
      <c r="I4397" s="635"/>
      <c r="J4397" s="635">
        <f t="shared" si="134"/>
        <v>0</v>
      </c>
      <c r="K4397" s="575"/>
      <c r="L4397" s="575"/>
      <c r="M4397" s="575"/>
      <c r="N4397" s="575"/>
      <c r="O4397" s="575"/>
      <c r="P4397" s="575"/>
      <c r="Q4397" s="575"/>
      <c r="R4397" s="575"/>
      <c r="S4397" s="575"/>
      <c r="T4397" s="575"/>
      <c r="U4397" s="575"/>
      <c r="V4397" s="575"/>
      <c r="W4397" s="575"/>
      <c r="X4397" s="575"/>
      <c r="Y4397" s="575"/>
    </row>
    <row r="4398" spans="1:25" s="88" customFormat="1" hidden="1">
      <c r="A4398" s="263"/>
      <c r="B4398" s="263"/>
      <c r="C4398" s="266"/>
      <c r="D4398" s="263"/>
      <c r="E4398" s="263"/>
      <c r="F4398" s="569">
        <v>435</v>
      </c>
      <c r="G4398" s="562" t="s">
        <v>3798</v>
      </c>
      <c r="H4398" s="634"/>
      <c r="I4398" s="635"/>
      <c r="J4398" s="635">
        <f t="shared" si="134"/>
        <v>0</v>
      </c>
      <c r="K4398" s="575"/>
      <c r="L4398" s="575"/>
      <c r="M4398" s="575"/>
      <c r="N4398" s="575"/>
      <c r="O4398" s="575"/>
      <c r="P4398" s="575"/>
      <c r="Q4398" s="575"/>
      <c r="R4398" s="575"/>
      <c r="S4398" s="575"/>
      <c r="T4398" s="575"/>
      <c r="U4398" s="575"/>
      <c r="V4398" s="575"/>
      <c r="W4398" s="575"/>
      <c r="X4398" s="575"/>
      <c r="Y4398" s="575"/>
    </row>
    <row r="4399" spans="1:25" s="88" customFormat="1" hidden="1">
      <c r="A4399" s="263"/>
      <c r="B4399" s="263"/>
      <c r="C4399" s="266"/>
      <c r="D4399" s="263"/>
      <c r="E4399" s="263"/>
      <c r="F4399" s="569">
        <v>441</v>
      </c>
      <c r="G4399" s="562" t="s">
        <v>4191</v>
      </c>
      <c r="H4399" s="634"/>
      <c r="I4399" s="635"/>
      <c r="J4399" s="635">
        <f t="shared" si="134"/>
        <v>0</v>
      </c>
      <c r="K4399" s="575"/>
      <c r="L4399" s="575"/>
      <c r="M4399" s="575"/>
      <c r="N4399" s="575"/>
      <c r="O4399" s="575"/>
      <c r="P4399" s="575"/>
      <c r="Q4399" s="575"/>
      <c r="R4399" s="575"/>
      <c r="S4399" s="575"/>
      <c r="T4399" s="575"/>
      <c r="U4399" s="575"/>
      <c r="V4399" s="575"/>
      <c r="W4399" s="575"/>
      <c r="X4399" s="575"/>
      <c r="Y4399" s="575"/>
    </row>
    <row r="4400" spans="1:25" s="88" customFormat="1" hidden="1">
      <c r="A4400" s="263"/>
      <c r="B4400" s="263"/>
      <c r="C4400" s="266"/>
      <c r="D4400" s="263"/>
      <c r="E4400" s="263"/>
      <c r="F4400" s="569">
        <v>442</v>
      </c>
      <c r="G4400" s="562" t="s">
        <v>4192</v>
      </c>
      <c r="H4400" s="634"/>
      <c r="I4400" s="635"/>
      <c r="J4400" s="635">
        <f t="shared" si="134"/>
        <v>0</v>
      </c>
      <c r="K4400" s="575"/>
      <c r="L4400" s="575"/>
      <c r="M4400" s="575"/>
      <c r="N4400" s="575"/>
      <c r="O4400" s="575"/>
      <c r="P4400" s="575"/>
      <c r="Q4400" s="575"/>
      <c r="R4400" s="575"/>
      <c r="S4400" s="575"/>
      <c r="T4400" s="575"/>
      <c r="U4400" s="575"/>
      <c r="V4400" s="575"/>
      <c r="W4400" s="575"/>
      <c r="X4400" s="575"/>
      <c r="Y4400" s="575"/>
    </row>
    <row r="4401" spans="1:25" s="88" customFormat="1" hidden="1">
      <c r="A4401" s="263"/>
      <c r="B4401" s="263"/>
      <c r="C4401" s="266"/>
      <c r="D4401" s="263"/>
      <c r="E4401" s="263"/>
      <c r="F4401" s="569">
        <v>443</v>
      </c>
      <c r="G4401" s="562" t="s">
        <v>3803</v>
      </c>
      <c r="H4401" s="634"/>
      <c r="I4401" s="635"/>
      <c r="J4401" s="635">
        <f t="shared" si="134"/>
        <v>0</v>
      </c>
      <c r="K4401" s="575"/>
      <c r="L4401" s="575"/>
      <c r="M4401" s="575"/>
      <c r="N4401" s="575"/>
      <c r="O4401" s="575"/>
      <c r="P4401" s="575"/>
      <c r="Q4401" s="575"/>
      <c r="R4401" s="575"/>
      <c r="S4401" s="575"/>
      <c r="T4401" s="575"/>
      <c r="U4401" s="575"/>
      <c r="V4401" s="575"/>
      <c r="W4401" s="575"/>
      <c r="X4401" s="575"/>
      <c r="Y4401" s="575"/>
    </row>
    <row r="4402" spans="1:25" s="88" customFormat="1" hidden="1">
      <c r="A4402" s="263"/>
      <c r="B4402" s="263"/>
      <c r="C4402" s="266"/>
      <c r="D4402" s="263"/>
      <c r="E4402" s="263"/>
      <c r="F4402" s="569">
        <v>444</v>
      </c>
      <c r="G4402" s="562" t="s">
        <v>3804</v>
      </c>
      <c r="H4402" s="634"/>
      <c r="I4402" s="635"/>
      <c r="J4402" s="635">
        <f t="shared" si="134"/>
        <v>0</v>
      </c>
      <c r="K4402" s="575"/>
      <c r="L4402" s="575"/>
      <c r="M4402" s="575"/>
      <c r="N4402" s="575"/>
      <c r="O4402" s="575"/>
      <c r="P4402" s="575"/>
      <c r="Q4402" s="575"/>
      <c r="R4402" s="575"/>
      <c r="S4402" s="575"/>
      <c r="T4402" s="575"/>
      <c r="U4402" s="575"/>
      <c r="V4402" s="575"/>
      <c r="W4402" s="575"/>
      <c r="X4402" s="575"/>
      <c r="Y4402" s="575"/>
    </row>
    <row r="4403" spans="1:25" s="88" customFormat="1" ht="30" hidden="1">
      <c r="A4403" s="263"/>
      <c r="B4403" s="263"/>
      <c r="C4403" s="266"/>
      <c r="D4403" s="263"/>
      <c r="E4403" s="263"/>
      <c r="F4403" s="569">
        <v>4511</v>
      </c>
      <c r="G4403" s="268" t="s">
        <v>1690</v>
      </c>
      <c r="H4403" s="634"/>
      <c r="I4403" s="635"/>
      <c r="J4403" s="635">
        <f t="shared" si="134"/>
        <v>0</v>
      </c>
      <c r="K4403" s="575"/>
      <c r="L4403" s="575"/>
      <c r="M4403" s="575"/>
      <c r="N4403" s="575"/>
      <c r="O4403" s="575"/>
      <c r="P4403" s="575"/>
      <c r="Q4403" s="575"/>
      <c r="R4403" s="575"/>
      <c r="S4403" s="575"/>
      <c r="T4403" s="575"/>
      <c r="U4403" s="575"/>
      <c r="V4403" s="575"/>
      <c r="W4403" s="575"/>
      <c r="X4403" s="575"/>
      <c r="Y4403" s="575"/>
    </row>
    <row r="4404" spans="1:25" s="88" customFormat="1" ht="30" hidden="1">
      <c r="A4404" s="263"/>
      <c r="B4404" s="263"/>
      <c r="C4404" s="266"/>
      <c r="D4404" s="263"/>
      <c r="E4404" s="263"/>
      <c r="F4404" s="569">
        <v>4512</v>
      </c>
      <c r="G4404" s="268" t="s">
        <v>1699</v>
      </c>
      <c r="H4404" s="634"/>
      <c r="I4404" s="635"/>
      <c r="J4404" s="635">
        <f t="shared" si="134"/>
        <v>0</v>
      </c>
      <c r="K4404" s="575"/>
      <c r="L4404" s="575"/>
      <c r="M4404" s="575"/>
      <c r="N4404" s="575"/>
      <c r="O4404" s="575"/>
      <c r="P4404" s="575"/>
      <c r="Q4404" s="575"/>
      <c r="R4404" s="575"/>
      <c r="S4404" s="575"/>
      <c r="T4404" s="575"/>
      <c r="U4404" s="575"/>
      <c r="V4404" s="575"/>
      <c r="W4404" s="575"/>
      <c r="X4404" s="575"/>
      <c r="Y4404" s="575"/>
    </row>
    <row r="4405" spans="1:25" s="88" customFormat="1" hidden="1">
      <c r="A4405" s="263"/>
      <c r="B4405" s="263"/>
      <c r="C4405" s="266"/>
      <c r="D4405" s="263"/>
      <c r="E4405" s="263"/>
      <c r="F4405" s="569">
        <v>452</v>
      </c>
      <c r="G4405" s="562" t="s">
        <v>4193</v>
      </c>
      <c r="H4405" s="634"/>
      <c r="I4405" s="635"/>
      <c r="J4405" s="635">
        <f t="shared" si="134"/>
        <v>0</v>
      </c>
      <c r="K4405" s="575"/>
      <c r="L4405" s="575"/>
      <c r="M4405" s="575"/>
      <c r="N4405" s="575"/>
      <c r="O4405" s="575"/>
      <c r="P4405" s="575"/>
      <c r="Q4405" s="575"/>
      <c r="R4405" s="575"/>
      <c r="S4405" s="575"/>
      <c r="T4405" s="575"/>
      <c r="U4405" s="575"/>
      <c r="V4405" s="575"/>
      <c r="W4405" s="575"/>
      <c r="X4405" s="575"/>
      <c r="Y4405" s="575"/>
    </row>
    <row r="4406" spans="1:25" s="88" customFormat="1" hidden="1">
      <c r="A4406" s="263"/>
      <c r="B4406" s="263"/>
      <c r="C4406" s="266"/>
      <c r="D4406" s="263"/>
      <c r="E4406" s="263"/>
      <c r="F4406" s="569">
        <v>453</v>
      </c>
      <c r="G4406" s="562" t="s">
        <v>4194</v>
      </c>
      <c r="H4406" s="634"/>
      <c r="I4406" s="635"/>
      <c r="J4406" s="635">
        <f t="shared" si="134"/>
        <v>0</v>
      </c>
      <c r="K4406" s="575"/>
      <c r="L4406" s="575"/>
      <c r="M4406" s="575"/>
      <c r="N4406" s="575"/>
      <c r="O4406" s="575"/>
      <c r="P4406" s="575"/>
      <c r="Q4406" s="575"/>
      <c r="R4406" s="575"/>
      <c r="S4406" s="575"/>
      <c r="T4406" s="575"/>
      <c r="U4406" s="575"/>
      <c r="V4406" s="575"/>
      <c r="W4406" s="575"/>
      <c r="X4406" s="575"/>
      <c r="Y4406" s="575"/>
    </row>
    <row r="4407" spans="1:25" s="88" customFormat="1" hidden="1">
      <c r="A4407" s="263"/>
      <c r="B4407" s="263"/>
      <c r="C4407" s="266"/>
      <c r="D4407" s="263"/>
      <c r="E4407" s="263"/>
      <c r="F4407" s="569">
        <v>454</v>
      </c>
      <c r="G4407" s="562" t="s">
        <v>3809</v>
      </c>
      <c r="H4407" s="634"/>
      <c r="I4407" s="635"/>
      <c r="J4407" s="635">
        <f t="shared" si="134"/>
        <v>0</v>
      </c>
      <c r="K4407" s="575"/>
      <c r="L4407" s="575"/>
      <c r="M4407" s="575"/>
      <c r="N4407" s="575"/>
      <c r="O4407" s="575"/>
      <c r="P4407" s="575"/>
      <c r="Q4407" s="575"/>
      <c r="R4407" s="575"/>
      <c r="S4407" s="575"/>
      <c r="T4407" s="575"/>
      <c r="U4407" s="575"/>
      <c r="V4407" s="575"/>
      <c r="W4407" s="575"/>
      <c r="X4407" s="575"/>
      <c r="Y4407" s="575"/>
    </row>
    <row r="4408" spans="1:25" s="88" customFormat="1" hidden="1">
      <c r="A4408" s="263"/>
      <c r="B4408" s="263"/>
      <c r="C4408" s="266"/>
      <c r="D4408" s="263"/>
      <c r="E4408" s="263"/>
      <c r="F4408" s="569">
        <v>461</v>
      </c>
      <c r="G4408" s="562" t="s">
        <v>4175</v>
      </c>
      <c r="H4408" s="634"/>
      <c r="I4408" s="635"/>
      <c r="J4408" s="635">
        <f t="shared" si="134"/>
        <v>0</v>
      </c>
      <c r="K4408" s="575"/>
      <c r="L4408" s="575"/>
      <c r="M4408" s="575"/>
      <c r="N4408" s="575"/>
      <c r="O4408" s="575"/>
      <c r="P4408" s="575"/>
      <c r="Q4408" s="575"/>
      <c r="R4408" s="575"/>
      <c r="S4408" s="575"/>
      <c r="T4408" s="575"/>
      <c r="U4408" s="575"/>
      <c r="V4408" s="575"/>
      <c r="W4408" s="575"/>
      <c r="X4408" s="575"/>
      <c r="Y4408" s="575"/>
    </row>
    <row r="4409" spans="1:25" s="88" customFormat="1" hidden="1">
      <c r="A4409" s="263"/>
      <c r="B4409" s="263"/>
      <c r="C4409" s="266"/>
      <c r="D4409" s="263"/>
      <c r="E4409" s="263"/>
      <c r="F4409" s="569">
        <v>462</v>
      </c>
      <c r="G4409" s="562" t="s">
        <v>3812</v>
      </c>
      <c r="H4409" s="634"/>
      <c r="I4409" s="635"/>
      <c r="J4409" s="635">
        <f t="shared" si="134"/>
        <v>0</v>
      </c>
      <c r="K4409" s="575"/>
      <c r="L4409" s="575"/>
      <c r="M4409" s="575"/>
      <c r="N4409" s="575"/>
      <c r="O4409" s="575"/>
      <c r="P4409" s="575"/>
      <c r="Q4409" s="575"/>
      <c r="R4409" s="575"/>
      <c r="S4409" s="575"/>
      <c r="T4409" s="575"/>
      <c r="U4409" s="575"/>
      <c r="V4409" s="575"/>
      <c r="W4409" s="575"/>
      <c r="X4409" s="575"/>
      <c r="Y4409" s="575"/>
    </row>
    <row r="4410" spans="1:25" s="88" customFormat="1">
      <c r="A4410" s="263"/>
      <c r="B4410" s="263"/>
      <c r="C4410" s="266"/>
      <c r="D4410" s="263"/>
      <c r="E4410" s="263">
        <v>74</v>
      </c>
      <c r="F4410" s="569">
        <v>4631</v>
      </c>
      <c r="G4410" s="562" t="s">
        <v>3813</v>
      </c>
      <c r="H4410" s="634">
        <v>26450000</v>
      </c>
      <c r="I4410" s="635"/>
      <c r="J4410" s="635">
        <f t="shared" si="134"/>
        <v>26450000</v>
      </c>
      <c r="K4410" s="575"/>
      <c r="L4410" s="575"/>
      <c r="M4410" s="575"/>
      <c r="N4410" s="575"/>
      <c r="O4410" s="575"/>
      <c r="P4410" s="575"/>
      <c r="Q4410" s="575"/>
      <c r="R4410" s="575"/>
      <c r="S4410" s="575"/>
      <c r="T4410" s="575"/>
      <c r="U4410" s="575"/>
      <c r="V4410" s="575"/>
      <c r="W4410" s="575"/>
      <c r="X4410" s="575"/>
      <c r="Y4410" s="575"/>
    </row>
    <row r="4411" spans="1:25" s="88" customFormat="1">
      <c r="A4411" s="263"/>
      <c r="B4411" s="263"/>
      <c r="C4411" s="266"/>
      <c r="D4411" s="263"/>
      <c r="E4411" s="263">
        <v>75</v>
      </c>
      <c r="F4411" s="569">
        <v>4632</v>
      </c>
      <c r="G4411" s="562" t="s">
        <v>3814</v>
      </c>
      <c r="H4411" s="634">
        <v>2500000</v>
      </c>
      <c r="I4411" s="635"/>
      <c r="J4411" s="635">
        <f t="shared" si="134"/>
        <v>2500000</v>
      </c>
      <c r="K4411" s="575"/>
      <c r="L4411" s="575"/>
      <c r="M4411" s="575"/>
      <c r="N4411" s="575"/>
      <c r="O4411" s="575"/>
      <c r="P4411" s="575"/>
      <c r="Q4411" s="575"/>
      <c r="R4411" s="575"/>
      <c r="S4411" s="575"/>
      <c r="T4411" s="575"/>
      <c r="U4411" s="575"/>
      <c r="V4411" s="575"/>
      <c r="W4411" s="575"/>
      <c r="X4411" s="575"/>
      <c r="Y4411" s="575"/>
    </row>
    <row r="4412" spans="1:25" s="88" customFormat="1" hidden="1">
      <c r="A4412" s="263"/>
      <c r="B4412" s="263"/>
      <c r="C4412" s="266"/>
      <c r="D4412" s="263"/>
      <c r="E4412" s="263"/>
      <c r="F4412" s="569">
        <v>464</v>
      </c>
      <c r="G4412" s="562" t="s">
        <v>3815</v>
      </c>
      <c r="H4412" s="634"/>
      <c r="I4412" s="635"/>
      <c r="J4412" s="635">
        <f t="shared" si="134"/>
        <v>0</v>
      </c>
      <c r="K4412" s="575"/>
      <c r="L4412" s="575"/>
      <c r="M4412" s="575"/>
      <c r="N4412" s="575"/>
      <c r="O4412" s="575"/>
      <c r="P4412" s="575"/>
      <c r="Q4412" s="575"/>
      <c r="R4412" s="575"/>
      <c r="S4412" s="575"/>
      <c r="T4412" s="575"/>
      <c r="U4412" s="575"/>
      <c r="V4412" s="575"/>
      <c r="W4412" s="575"/>
      <c r="X4412" s="575"/>
      <c r="Y4412" s="575"/>
    </row>
    <row r="4413" spans="1:25" s="88" customFormat="1" hidden="1">
      <c r="A4413" s="263"/>
      <c r="B4413" s="263"/>
      <c r="C4413" s="266"/>
      <c r="D4413" s="263"/>
      <c r="E4413" s="263"/>
      <c r="F4413" s="569">
        <v>465</v>
      </c>
      <c r="G4413" s="562" t="s">
        <v>4176</v>
      </c>
      <c r="H4413" s="634"/>
      <c r="I4413" s="635"/>
      <c r="J4413" s="635">
        <f t="shared" si="134"/>
        <v>0</v>
      </c>
      <c r="K4413" s="575"/>
      <c r="L4413" s="575"/>
      <c r="M4413" s="575"/>
      <c r="N4413" s="575"/>
      <c r="O4413" s="575"/>
      <c r="P4413" s="575"/>
      <c r="Q4413" s="575"/>
      <c r="R4413" s="575"/>
      <c r="S4413" s="575"/>
      <c r="T4413" s="575"/>
      <c r="U4413" s="575"/>
      <c r="V4413" s="575"/>
      <c r="W4413" s="575"/>
      <c r="X4413" s="575"/>
      <c r="Y4413" s="575"/>
    </row>
    <row r="4414" spans="1:25" s="88" customFormat="1" hidden="1">
      <c r="A4414" s="263"/>
      <c r="B4414" s="263"/>
      <c r="C4414" s="266"/>
      <c r="D4414" s="263"/>
      <c r="E4414" s="263"/>
      <c r="F4414" s="569">
        <v>472</v>
      </c>
      <c r="G4414" s="562" t="s">
        <v>3819</v>
      </c>
      <c r="H4414" s="634"/>
      <c r="I4414" s="635"/>
      <c r="J4414" s="635">
        <f t="shared" si="134"/>
        <v>0</v>
      </c>
      <c r="K4414" s="575"/>
      <c r="L4414" s="575"/>
      <c r="M4414" s="575"/>
      <c r="N4414" s="575"/>
      <c r="O4414" s="575"/>
      <c r="P4414" s="575"/>
      <c r="Q4414" s="575"/>
      <c r="R4414" s="575"/>
      <c r="S4414" s="575"/>
      <c r="T4414" s="575"/>
      <c r="U4414" s="575"/>
      <c r="V4414" s="575"/>
      <c r="W4414" s="575"/>
      <c r="X4414" s="575"/>
      <c r="Y4414" s="575"/>
    </row>
    <row r="4415" spans="1:25" s="88" customFormat="1" hidden="1">
      <c r="A4415" s="263"/>
      <c r="B4415" s="263"/>
      <c r="C4415" s="266"/>
      <c r="D4415" s="263"/>
      <c r="E4415" s="263"/>
      <c r="F4415" s="569">
        <v>481</v>
      </c>
      <c r="G4415" s="562" t="s">
        <v>4195</v>
      </c>
      <c r="H4415" s="634"/>
      <c r="I4415" s="635"/>
      <c r="J4415" s="635">
        <f t="shared" si="134"/>
        <v>0</v>
      </c>
      <c r="K4415" s="575"/>
      <c r="L4415" s="575"/>
      <c r="M4415" s="575"/>
      <c r="N4415" s="575"/>
      <c r="O4415" s="575"/>
      <c r="P4415" s="575"/>
      <c r="Q4415" s="575"/>
      <c r="R4415" s="575"/>
      <c r="S4415" s="575"/>
      <c r="T4415" s="575"/>
      <c r="U4415" s="575"/>
      <c r="V4415" s="575"/>
      <c r="W4415" s="575"/>
      <c r="X4415" s="575"/>
      <c r="Y4415" s="575"/>
    </row>
    <row r="4416" spans="1:25" s="88" customFormat="1" hidden="1">
      <c r="A4416" s="263"/>
      <c r="B4416" s="263"/>
      <c r="C4416" s="266"/>
      <c r="D4416" s="263"/>
      <c r="E4416" s="263"/>
      <c r="F4416" s="569">
        <v>482</v>
      </c>
      <c r="G4416" s="562" t="s">
        <v>4196</v>
      </c>
      <c r="H4416" s="634"/>
      <c r="I4416" s="635"/>
      <c r="J4416" s="635">
        <f t="shared" si="134"/>
        <v>0</v>
      </c>
      <c r="K4416" s="575"/>
      <c r="L4416" s="575"/>
      <c r="M4416" s="575"/>
      <c r="N4416" s="575"/>
      <c r="O4416" s="575"/>
      <c r="P4416" s="575"/>
      <c r="Q4416" s="575"/>
      <c r="R4416" s="575"/>
      <c r="S4416" s="575"/>
      <c r="T4416" s="575"/>
      <c r="U4416" s="575"/>
      <c r="V4416" s="575"/>
      <c r="W4416" s="575"/>
      <c r="X4416" s="575"/>
      <c r="Y4416" s="575"/>
    </row>
    <row r="4417" spans="1:25" s="88" customFormat="1" hidden="1">
      <c r="A4417" s="263"/>
      <c r="B4417" s="263"/>
      <c r="C4417" s="266"/>
      <c r="D4417" s="263"/>
      <c r="E4417" s="263"/>
      <c r="F4417" s="569">
        <v>483</v>
      </c>
      <c r="G4417" s="566" t="s">
        <v>4197</v>
      </c>
      <c r="H4417" s="634"/>
      <c r="I4417" s="635"/>
      <c r="J4417" s="635">
        <f t="shared" si="134"/>
        <v>0</v>
      </c>
      <c r="K4417" s="575"/>
      <c r="L4417" s="575"/>
      <c r="M4417" s="575"/>
      <c r="N4417" s="575"/>
      <c r="O4417" s="575"/>
      <c r="P4417" s="575"/>
      <c r="Q4417" s="575"/>
      <c r="R4417" s="575"/>
      <c r="S4417" s="575"/>
      <c r="T4417" s="575"/>
      <c r="U4417" s="575"/>
      <c r="V4417" s="575"/>
      <c r="W4417" s="575"/>
      <c r="X4417" s="575"/>
      <c r="Y4417" s="575"/>
    </row>
    <row r="4418" spans="1:25" s="88" customFormat="1" ht="30" hidden="1">
      <c r="A4418" s="263"/>
      <c r="B4418" s="263"/>
      <c r="C4418" s="266"/>
      <c r="D4418" s="263"/>
      <c r="E4418" s="263"/>
      <c r="F4418" s="569">
        <v>484</v>
      </c>
      <c r="G4418" s="562" t="s">
        <v>4198</v>
      </c>
      <c r="H4418" s="634"/>
      <c r="I4418" s="635"/>
      <c r="J4418" s="635">
        <f t="shared" si="134"/>
        <v>0</v>
      </c>
      <c r="K4418" s="575"/>
      <c r="L4418" s="575"/>
      <c r="M4418" s="575"/>
      <c r="N4418" s="575"/>
      <c r="O4418" s="575"/>
      <c r="P4418" s="575"/>
      <c r="Q4418" s="575"/>
      <c r="R4418" s="575"/>
      <c r="S4418" s="575"/>
      <c r="T4418" s="575"/>
      <c r="U4418" s="575"/>
      <c r="V4418" s="575"/>
      <c r="W4418" s="575"/>
      <c r="X4418" s="575"/>
      <c r="Y4418" s="575"/>
    </row>
    <row r="4419" spans="1:25" s="88" customFormat="1" ht="30" hidden="1">
      <c r="A4419" s="263"/>
      <c r="B4419" s="263"/>
      <c r="C4419" s="266"/>
      <c r="D4419" s="263"/>
      <c r="E4419" s="263"/>
      <c r="F4419" s="569">
        <v>485</v>
      </c>
      <c r="G4419" s="562" t="s">
        <v>4199</v>
      </c>
      <c r="H4419" s="634"/>
      <c r="I4419" s="635"/>
      <c r="J4419" s="635">
        <f t="shared" si="134"/>
        <v>0</v>
      </c>
      <c r="K4419" s="575"/>
      <c r="L4419" s="575"/>
      <c r="M4419" s="575"/>
      <c r="N4419" s="575"/>
      <c r="O4419" s="575"/>
      <c r="P4419" s="575"/>
      <c r="Q4419" s="575"/>
      <c r="R4419" s="575"/>
      <c r="S4419" s="575"/>
      <c r="T4419" s="575"/>
      <c r="U4419" s="575"/>
      <c r="V4419" s="575"/>
      <c r="W4419" s="575"/>
      <c r="X4419" s="575"/>
      <c r="Y4419" s="575"/>
    </row>
    <row r="4420" spans="1:25" s="88" customFormat="1" ht="30" hidden="1">
      <c r="A4420" s="263"/>
      <c r="B4420" s="263"/>
      <c r="C4420" s="266"/>
      <c r="D4420" s="263"/>
      <c r="E4420" s="263"/>
      <c r="F4420" s="569">
        <v>489</v>
      </c>
      <c r="G4420" s="562" t="s">
        <v>3827</v>
      </c>
      <c r="H4420" s="634"/>
      <c r="I4420" s="635"/>
      <c r="J4420" s="635">
        <f t="shared" si="134"/>
        <v>0</v>
      </c>
      <c r="K4420" s="575"/>
      <c r="L4420" s="575"/>
      <c r="M4420" s="575"/>
      <c r="N4420" s="575"/>
      <c r="O4420" s="575"/>
      <c r="P4420" s="575"/>
      <c r="Q4420" s="575"/>
      <c r="R4420" s="575"/>
      <c r="S4420" s="575"/>
      <c r="T4420" s="575"/>
      <c r="U4420" s="575"/>
      <c r="V4420" s="575"/>
      <c r="W4420" s="575"/>
      <c r="X4420" s="575"/>
      <c r="Y4420" s="575"/>
    </row>
    <row r="4421" spans="1:25" s="88" customFormat="1" hidden="1">
      <c r="A4421" s="263"/>
      <c r="B4421" s="263"/>
      <c r="C4421" s="266"/>
      <c r="D4421" s="263"/>
      <c r="E4421" s="263"/>
      <c r="F4421" s="569">
        <v>494</v>
      </c>
      <c r="G4421" s="562" t="s">
        <v>4177</v>
      </c>
      <c r="H4421" s="634"/>
      <c r="I4421" s="635"/>
      <c r="J4421" s="635">
        <f t="shared" si="134"/>
        <v>0</v>
      </c>
      <c r="K4421" s="575"/>
      <c r="L4421" s="575"/>
      <c r="M4421" s="575"/>
      <c r="N4421" s="575"/>
      <c r="O4421" s="575"/>
      <c r="P4421" s="575"/>
      <c r="Q4421" s="575"/>
      <c r="R4421" s="575"/>
      <c r="S4421" s="575"/>
      <c r="T4421" s="575"/>
      <c r="U4421" s="575"/>
      <c r="V4421" s="575"/>
      <c r="W4421" s="575"/>
      <c r="X4421" s="575"/>
      <c r="Y4421" s="575"/>
    </row>
    <row r="4422" spans="1:25" s="88" customFormat="1" ht="30" hidden="1">
      <c r="A4422" s="263"/>
      <c r="B4422" s="263"/>
      <c r="C4422" s="266"/>
      <c r="D4422" s="263"/>
      <c r="E4422" s="263"/>
      <c r="F4422" s="569">
        <v>495</v>
      </c>
      <c r="G4422" s="562" t="s">
        <v>4178</v>
      </c>
      <c r="H4422" s="634"/>
      <c r="I4422" s="635"/>
      <c r="J4422" s="635">
        <f t="shared" si="134"/>
        <v>0</v>
      </c>
      <c r="K4422" s="575"/>
      <c r="L4422" s="575"/>
      <c r="M4422" s="575"/>
      <c r="N4422" s="575"/>
      <c r="O4422" s="575"/>
      <c r="P4422" s="575"/>
      <c r="Q4422" s="575"/>
      <c r="R4422" s="575"/>
      <c r="S4422" s="575"/>
      <c r="T4422" s="575"/>
      <c r="U4422" s="575"/>
      <c r="V4422" s="575"/>
      <c r="W4422" s="575"/>
      <c r="X4422" s="575"/>
      <c r="Y4422" s="575"/>
    </row>
    <row r="4423" spans="1:25" s="88" customFormat="1" ht="30" hidden="1">
      <c r="A4423" s="263"/>
      <c r="B4423" s="263"/>
      <c r="C4423" s="266"/>
      <c r="D4423" s="263"/>
      <c r="E4423" s="263"/>
      <c r="F4423" s="569">
        <v>496</v>
      </c>
      <c r="G4423" s="562" t="s">
        <v>4179</v>
      </c>
      <c r="H4423" s="634"/>
      <c r="I4423" s="635"/>
      <c r="J4423" s="635">
        <f t="shared" si="134"/>
        <v>0</v>
      </c>
      <c r="K4423" s="575"/>
      <c r="L4423" s="575"/>
      <c r="M4423" s="575"/>
      <c r="N4423" s="575"/>
      <c r="O4423" s="575"/>
      <c r="P4423" s="575"/>
      <c r="Q4423" s="575"/>
      <c r="R4423" s="575"/>
      <c r="S4423" s="575"/>
      <c r="T4423" s="575"/>
      <c r="U4423" s="575"/>
      <c r="V4423" s="575"/>
      <c r="W4423" s="575"/>
      <c r="X4423" s="575"/>
      <c r="Y4423" s="575"/>
    </row>
    <row r="4424" spans="1:25" s="88" customFormat="1" hidden="1">
      <c r="A4424" s="263"/>
      <c r="B4424" s="263"/>
      <c r="C4424" s="266"/>
      <c r="D4424" s="263"/>
      <c r="E4424" s="263"/>
      <c r="F4424" s="569">
        <v>499</v>
      </c>
      <c r="G4424" s="562" t="s">
        <v>4180</v>
      </c>
      <c r="H4424" s="634"/>
      <c r="I4424" s="635"/>
      <c r="J4424" s="635">
        <f t="shared" si="134"/>
        <v>0</v>
      </c>
      <c r="K4424" s="575"/>
      <c r="L4424" s="575"/>
      <c r="M4424" s="575"/>
      <c r="N4424" s="575"/>
      <c r="O4424" s="575"/>
      <c r="P4424" s="575"/>
      <c r="Q4424" s="575"/>
      <c r="R4424" s="575"/>
      <c r="S4424" s="575"/>
      <c r="T4424" s="575"/>
      <c r="U4424" s="575"/>
      <c r="V4424" s="575"/>
      <c r="W4424" s="575"/>
      <c r="X4424" s="575"/>
      <c r="Y4424" s="575"/>
    </row>
    <row r="4425" spans="1:25" s="88" customFormat="1" hidden="1">
      <c r="A4425" s="263"/>
      <c r="B4425" s="263"/>
      <c r="C4425" s="266"/>
      <c r="D4425" s="263"/>
      <c r="E4425" s="263"/>
      <c r="F4425" s="569">
        <v>511</v>
      </c>
      <c r="G4425" s="566" t="s">
        <v>4200</v>
      </c>
      <c r="H4425" s="634"/>
      <c r="I4425" s="635"/>
      <c r="J4425" s="635">
        <f t="shared" si="134"/>
        <v>0</v>
      </c>
      <c r="K4425" s="575"/>
      <c r="L4425" s="575"/>
      <c r="M4425" s="575"/>
      <c r="N4425" s="575"/>
      <c r="O4425" s="575"/>
      <c r="P4425" s="575"/>
      <c r="Q4425" s="575"/>
      <c r="R4425" s="575"/>
      <c r="S4425" s="575"/>
      <c r="T4425" s="575"/>
      <c r="U4425" s="575"/>
      <c r="V4425" s="575"/>
      <c r="W4425" s="575"/>
      <c r="X4425" s="575"/>
      <c r="Y4425" s="575"/>
    </row>
    <row r="4426" spans="1:25" s="88" customFormat="1" hidden="1">
      <c r="A4426" s="263"/>
      <c r="B4426" s="263"/>
      <c r="C4426" s="266"/>
      <c r="D4426" s="263"/>
      <c r="E4426" s="263"/>
      <c r="F4426" s="569">
        <v>512</v>
      </c>
      <c r="G4426" s="566" t="s">
        <v>4201</v>
      </c>
      <c r="H4426" s="634"/>
      <c r="I4426" s="635"/>
      <c r="J4426" s="635">
        <f t="shared" si="134"/>
        <v>0</v>
      </c>
      <c r="K4426" s="575"/>
      <c r="L4426" s="575"/>
      <c r="M4426" s="575"/>
      <c r="N4426" s="575"/>
      <c r="O4426" s="575"/>
      <c r="P4426" s="575"/>
      <c r="Q4426" s="575"/>
      <c r="R4426" s="575"/>
      <c r="S4426" s="575"/>
      <c r="T4426" s="575"/>
      <c r="U4426" s="575"/>
      <c r="V4426" s="575"/>
      <c r="W4426" s="575"/>
      <c r="X4426" s="575"/>
      <c r="Y4426" s="575"/>
    </row>
    <row r="4427" spans="1:25" s="88" customFormat="1" hidden="1">
      <c r="A4427" s="263"/>
      <c r="B4427" s="263"/>
      <c r="C4427" s="266"/>
      <c r="D4427" s="263"/>
      <c r="E4427" s="263"/>
      <c r="F4427" s="569">
        <v>513</v>
      </c>
      <c r="G4427" s="566" t="s">
        <v>4202</v>
      </c>
      <c r="H4427" s="634"/>
      <c r="I4427" s="635"/>
      <c r="J4427" s="635">
        <f t="shared" si="134"/>
        <v>0</v>
      </c>
      <c r="K4427" s="575"/>
      <c r="L4427" s="575"/>
      <c r="M4427" s="575"/>
      <c r="N4427" s="575"/>
      <c r="O4427" s="575"/>
      <c r="P4427" s="575"/>
      <c r="Q4427" s="575"/>
      <c r="R4427" s="575"/>
      <c r="S4427" s="575"/>
      <c r="T4427" s="575"/>
      <c r="U4427" s="575"/>
      <c r="V4427" s="575"/>
      <c r="W4427" s="575"/>
      <c r="X4427" s="575"/>
      <c r="Y4427" s="575"/>
    </row>
    <row r="4428" spans="1:25" s="88" customFormat="1" hidden="1">
      <c r="A4428" s="263"/>
      <c r="B4428" s="263"/>
      <c r="C4428" s="266"/>
      <c r="D4428" s="263"/>
      <c r="E4428" s="263"/>
      <c r="F4428" s="569">
        <v>514</v>
      </c>
      <c r="G4428" s="562" t="s">
        <v>4203</v>
      </c>
      <c r="H4428" s="634"/>
      <c r="I4428" s="635"/>
      <c r="J4428" s="635">
        <f t="shared" si="134"/>
        <v>0</v>
      </c>
      <c r="K4428" s="575"/>
      <c r="L4428" s="575"/>
      <c r="M4428" s="575"/>
      <c r="N4428" s="575"/>
      <c r="O4428" s="575"/>
      <c r="P4428" s="575"/>
      <c r="Q4428" s="575"/>
      <c r="R4428" s="575"/>
      <c r="S4428" s="575"/>
      <c r="T4428" s="575"/>
      <c r="U4428" s="575"/>
      <c r="V4428" s="575"/>
      <c r="W4428" s="575"/>
      <c r="X4428" s="575"/>
      <c r="Y4428" s="575"/>
    </row>
    <row r="4429" spans="1:25" s="88" customFormat="1" hidden="1">
      <c r="A4429" s="263"/>
      <c r="B4429" s="263"/>
      <c r="C4429" s="266"/>
      <c r="D4429" s="263"/>
      <c r="E4429" s="263"/>
      <c r="F4429" s="569">
        <v>515</v>
      </c>
      <c r="G4429" s="562" t="s">
        <v>3838</v>
      </c>
      <c r="H4429" s="634"/>
      <c r="I4429" s="635"/>
      <c r="J4429" s="635">
        <f t="shared" si="134"/>
        <v>0</v>
      </c>
      <c r="K4429" s="575"/>
      <c r="L4429" s="575"/>
      <c r="M4429" s="575"/>
      <c r="N4429" s="575"/>
      <c r="O4429" s="575"/>
      <c r="P4429" s="575"/>
      <c r="Q4429" s="575"/>
      <c r="R4429" s="575"/>
      <c r="S4429" s="575"/>
      <c r="T4429" s="575"/>
      <c r="U4429" s="575"/>
      <c r="V4429" s="575"/>
      <c r="W4429" s="575"/>
      <c r="X4429" s="575"/>
      <c r="Y4429" s="575"/>
    </row>
    <row r="4430" spans="1:25" s="88" customFormat="1" hidden="1">
      <c r="A4430" s="263"/>
      <c r="B4430" s="263"/>
      <c r="C4430" s="266"/>
      <c r="D4430" s="263"/>
      <c r="E4430" s="263"/>
      <c r="F4430" s="569">
        <v>521</v>
      </c>
      <c r="G4430" s="562" t="s">
        <v>4204</v>
      </c>
      <c r="H4430" s="634"/>
      <c r="I4430" s="635"/>
      <c r="J4430" s="635">
        <f t="shared" si="134"/>
        <v>0</v>
      </c>
      <c r="K4430" s="575"/>
      <c r="L4430" s="575"/>
      <c r="M4430" s="575"/>
      <c r="N4430" s="575"/>
      <c r="O4430" s="575"/>
      <c r="P4430" s="575"/>
      <c r="Q4430" s="575"/>
      <c r="R4430" s="575"/>
      <c r="S4430" s="575"/>
      <c r="T4430" s="575"/>
      <c r="U4430" s="575"/>
      <c r="V4430" s="575"/>
      <c r="W4430" s="575"/>
      <c r="X4430" s="575"/>
      <c r="Y4430" s="575"/>
    </row>
    <row r="4431" spans="1:25" s="88" customFormat="1" hidden="1">
      <c r="A4431" s="263"/>
      <c r="B4431" s="263"/>
      <c r="C4431" s="266"/>
      <c r="D4431" s="263"/>
      <c r="E4431" s="263"/>
      <c r="F4431" s="569">
        <v>522</v>
      </c>
      <c r="G4431" s="562" t="s">
        <v>4205</v>
      </c>
      <c r="H4431" s="634"/>
      <c r="I4431" s="635"/>
      <c r="J4431" s="635">
        <f t="shared" si="134"/>
        <v>0</v>
      </c>
      <c r="K4431" s="575"/>
      <c r="L4431" s="575"/>
      <c r="M4431" s="575"/>
      <c r="N4431" s="575"/>
      <c r="O4431" s="575"/>
      <c r="P4431" s="575"/>
      <c r="Q4431" s="575"/>
      <c r="R4431" s="575"/>
      <c r="S4431" s="575"/>
      <c r="T4431" s="575"/>
      <c r="U4431" s="575"/>
      <c r="V4431" s="575"/>
      <c r="W4431" s="575"/>
      <c r="X4431" s="575"/>
      <c r="Y4431" s="575"/>
    </row>
    <row r="4432" spans="1:25" s="88" customFormat="1" hidden="1">
      <c r="A4432" s="263"/>
      <c r="B4432" s="263"/>
      <c r="C4432" s="266"/>
      <c r="D4432" s="263"/>
      <c r="E4432" s="263"/>
      <c r="F4432" s="569">
        <v>523</v>
      </c>
      <c r="G4432" s="562" t="s">
        <v>3843</v>
      </c>
      <c r="H4432" s="634"/>
      <c r="I4432" s="635"/>
      <c r="J4432" s="635">
        <f t="shared" si="134"/>
        <v>0</v>
      </c>
      <c r="K4432" s="575"/>
      <c r="L4432" s="575"/>
      <c r="M4432" s="575"/>
      <c r="N4432" s="575"/>
      <c r="O4432" s="575"/>
      <c r="P4432" s="575"/>
      <c r="Q4432" s="575"/>
      <c r="R4432" s="575"/>
      <c r="S4432" s="575"/>
      <c r="T4432" s="575"/>
      <c r="U4432" s="575"/>
      <c r="V4432" s="575"/>
      <c r="W4432" s="575"/>
      <c r="X4432" s="575"/>
      <c r="Y4432" s="575"/>
    </row>
    <row r="4433" spans="1:25" s="88" customFormat="1" hidden="1">
      <c r="A4433" s="263"/>
      <c r="B4433" s="263"/>
      <c r="C4433" s="266"/>
      <c r="D4433" s="263"/>
      <c r="E4433" s="263"/>
      <c r="F4433" s="569">
        <v>531</v>
      </c>
      <c r="G4433" s="558" t="s">
        <v>4181</v>
      </c>
      <c r="H4433" s="634"/>
      <c r="I4433" s="635"/>
      <c r="J4433" s="635">
        <f t="shared" si="134"/>
        <v>0</v>
      </c>
      <c r="K4433" s="575"/>
      <c r="L4433" s="575"/>
      <c r="M4433" s="575"/>
      <c r="N4433" s="575"/>
      <c r="O4433" s="575"/>
      <c r="P4433" s="575"/>
      <c r="Q4433" s="575"/>
      <c r="R4433" s="575"/>
      <c r="S4433" s="575"/>
      <c r="T4433" s="575"/>
      <c r="U4433" s="575"/>
      <c r="V4433" s="575"/>
      <c r="W4433" s="575"/>
      <c r="X4433" s="575"/>
      <c r="Y4433" s="575"/>
    </row>
    <row r="4434" spans="1:25" s="88" customFormat="1" hidden="1">
      <c r="A4434" s="263"/>
      <c r="B4434" s="263"/>
      <c r="C4434" s="266"/>
      <c r="D4434" s="263"/>
      <c r="E4434" s="263"/>
      <c r="F4434" s="569">
        <v>541</v>
      </c>
      <c r="G4434" s="562" t="s">
        <v>4206</v>
      </c>
      <c r="H4434" s="634"/>
      <c r="I4434" s="635"/>
      <c r="J4434" s="635">
        <f t="shared" si="134"/>
        <v>0</v>
      </c>
      <c r="K4434" s="575"/>
      <c r="L4434" s="575"/>
      <c r="M4434" s="575"/>
      <c r="N4434" s="575"/>
      <c r="O4434" s="575"/>
      <c r="P4434" s="575"/>
      <c r="Q4434" s="575"/>
      <c r="R4434" s="575"/>
      <c r="S4434" s="575"/>
      <c r="T4434" s="575"/>
      <c r="U4434" s="575"/>
      <c r="V4434" s="575"/>
      <c r="W4434" s="575"/>
      <c r="X4434" s="575"/>
      <c r="Y4434" s="575"/>
    </row>
    <row r="4435" spans="1:25" s="88" customFormat="1" hidden="1">
      <c r="A4435" s="263"/>
      <c r="B4435" s="263"/>
      <c r="C4435" s="266"/>
      <c r="D4435" s="263"/>
      <c r="E4435" s="263"/>
      <c r="F4435" s="569">
        <v>542</v>
      </c>
      <c r="G4435" s="562" t="s">
        <v>4207</v>
      </c>
      <c r="H4435" s="634"/>
      <c r="I4435" s="635"/>
      <c r="J4435" s="635">
        <f t="shared" si="134"/>
        <v>0</v>
      </c>
      <c r="K4435" s="575"/>
      <c r="L4435" s="575"/>
      <c r="M4435" s="575"/>
      <c r="N4435" s="575"/>
      <c r="O4435" s="575"/>
      <c r="P4435" s="575"/>
      <c r="Q4435" s="575"/>
      <c r="R4435" s="575"/>
      <c r="S4435" s="575"/>
      <c r="T4435" s="575"/>
      <c r="U4435" s="575"/>
      <c r="V4435" s="575"/>
      <c r="W4435" s="575"/>
      <c r="X4435" s="575"/>
      <c r="Y4435" s="575"/>
    </row>
    <row r="4436" spans="1:25" s="88" customFormat="1" hidden="1">
      <c r="A4436" s="263"/>
      <c r="B4436" s="263"/>
      <c r="C4436" s="266"/>
      <c r="D4436" s="263"/>
      <c r="E4436" s="263"/>
      <c r="F4436" s="569">
        <v>543</v>
      </c>
      <c r="G4436" s="562" t="s">
        <v>3848</v>
      </c>
      <c r="H4436" s="634"/>
      <c r="I4436" s="635"/>
      <c r="J4436" s="635">
        <f t="shared" si="134"/>
        <v>0</v>
      </c>
      <c r="K4436" s="575"/>
      <c r="L4436" s="575"/>
      <c r="M4436" s="575"/>
      <c r="N4436" s="575"/>
      <c r="O4436" s="575"/>
      <c r="P4436" s="575"/>
      <c r="Q4436" s="575"/>
      <c r="R4436" s="575"/>
      <c r="S4436" s="575"/>
      <c r="T4436" s="575"/>
      <c r="U4436" s="575"/>
      <c r="V4436" s="575"/>
      <c r="W4436" s="575"/>
      <c r="X4436" s="575"/>
      <c r="Y4436" s="575"/>
    </row>
    <row r="4437" spans="1:25" s="88" customFormat="1" ht="30" hidden="1">
      <c r="A4437" s="263"/>
      <c r="B4437" s="263"/>
      <c r="C4437" s="266"/>
      <c r="D4437" s="263"/>
      <c r="E4437" s="263"/>
      <c r="F4437" s="569">
        <v>551</v>
      </c>
      <c r="G4437" s="562" t="s">
        <v>4182</v>
      </c>
      <c r="H4437" s="634"/>
      <c r="I4437" s="635"/>
      <c r="J4437" s="635">
        <f t="shared" si="134"/>
        <v>0</v>
      </c>
      <c r="K4437" s="575"/>
      <c r="L4437" s="575"/>
      <c r="M4437" s="575"/>
      <c r="N4437" s="575"/>
      <c r="O4437" s="575"/>
      <c r="P4437" s="575"/>
      <c r="Q4437" s="575"/>
      <c r="R4437" s="575"/>
      <c r="S4437" s="575"/>
      <c r="T4437" s="575"/>
      <c r="U4437" s="575"/>
      <c r="V4437" s="575"/>
      <c r="W4437" s="575"/>
      <c r="X4437" s="575"/>
      <c r="Y4437" s="575"/>
    </row>
    <row r="4438" spans="1:25" s="88" customFormat="1" hidden="1">
      <c r="A4438" s="263"/>
      <c r="B4438" s="263"/>
      <c r="C4438" s="266"/>
      <c r="D4438" s="263"/>
      <c r="E4438" s="263"/>
      <c r="F4438" s="570">
        <v>611</v>
      </c>
      <c r="G4438" s="568" t="s">
        <v>3854</v>
      </c>
      <c r="H4438" s="634"/>
      <c r="I4438" s="635"/>
      <c r="J4438" s="635">
        <f t="shared" si="134"/>
        <v>0</v>
      </c>
      <c r="K4438" s="575"/>
      <c r="L4438" s="575"/>
      <c r="M4438" s="575"/>
      <c r="N4438" s="575"/>
      <c r="O4438" s="575"/>
      <c r="P4438" s="575"/>
      <c r="Q4438" s="575"/>
      <c r="R4438" s="575"/>
      <c r="S4438" s="575"/>
      <c r="T4438" s="575"/>
      <c r="U4438" s="575"/>
      <c r="V4438" s="575"/>
      <c r="W4438" s="575"/>
      <c r="X4438" s="575"/>
      <c r="Y4438" s="575"/>
    </row>
    <row r="4439" spans="1:25" s="88" customFormat="1" ht="15.75" hidden="1" thickBot="1">
      <c r="A4439" s="263"/>
      <c r="B4439" s="263"/>
      <c r="C4439" s="266"/>
      <c r="D4439" s="263"/>
      <c r="E4439" s="263"/>
      <c r="F4439" s="570">
        <v>620</v>
      </c>
      <c r="G4439" s="568" t="s">
        <v>88</v>
      </c>
      <c r="H4439" s="634"/>
      <c r="I4439" s="635"/>
      <c r="J4439" s="635">
        <f t="shared" si="134"/>
        <v>0</v>
      </c>
      <c r="K4439" s="575"/>
      <c r="L4439" s="575"/>
      <c r="M4439" s="575"/>
      <c r="N4439" s="575"/>
      <c r="O4439" s="575"/>
      <c r="P4439" s="575"/>
      <c r="Q4439" s="575"/>
      <c r="R4439" s="575"/>
      <c r="S4439" s="575"/>
      <c r="T4439" s="575"/>
      <c r="U4439" s="575"/>
      <c r="V4439" s="575"/>
      <c r="W4439" s="575"/>
      <c r="X4439" s="575"/>
      <c r="Y4439" s="575"/>
    </row>
    <row r="4440" spans="1:25" s="88" customFormat="1">
      <c r="A4440" s="263"/>
      <c r="B4440" s="263"/>
      <c r="C4440" s="266"/>
      <c r="D4440" s="263"/>
      <c r="E4440" s="263"/>
      <c r="F4440" s="570"/>
      <c r="G4440" s="568" t="s">
        <v>5232</v>
      </c>
      <c r="H4440" s="634"/>
      <c r="I4440" s="635"/>
      <c r="J4440" s="635"/>
      <c r="K4440" s="575"/>
      <c r="L4440" s="575"/>
      <c r="M4440" s="575"/>
      <c r="N4440" s="575"/>
      <c r="O4440" s="575"/>
      <c r="P4440" s="575"/>
      <c r="Q4440" s="575"/>
      <c r="R4440" s="575"/>
      <c r="S4440" s="575"/>
      <c r="T4440" s="575"/>
      <c r="U4440" s="575"/>
      <c r="V4440" s="575"/>
      <c r="W4440" s="575"/>
      <c r="X4440" s="575"/>
      <c r="Y4440" s="575"/>
    </row>
    <row r="4441" spans="1:25" s="88" customFormat="1">
      <c r="A4441" s="263"/>
      <c r="B4441" s="263"/>
      <c r="C4441" s="266"/>
      <c r="D4441" s="263"/>
      <c r="E4441" s="263"/>
      <c r="F4441" s="570"/>
      <c r="G4441" s="568" t="s">
        <v>5233</v>
      </c>
      <c r="H4441" s="634"/>
      <c r="I4441" s="635"/>
      <c r="J4441" s="635"/>
      <c r="K4441" s="575"/>
      <c r="L4441" s="575"/>
      <c r="M4441" s="575"/>
      <c r="N4441" s="575"/>
      <c r="O4441" s="575"/>
      <c r="P4441" s="575"/>
      <c r="Q4441" s="575"/>
      <c r="R4441" s="575"/>
      <c r="S4441" s="575"/>
      <c r="T4441" s="575"/>
      <c r="U4441" s="575"/>
      <c r="V4441" s="575"/>
      <c r="W4441" s="575"/>
      <c r="X4441" s="575"/>
      <c r="Y4441" s="575"/>
    </row>
    <row r="4442" spans="1:25" s="88" customFormat="1">
      <c r="A4442" s="263"/>
      <c r="B4442" s="263"/>
      <c r="C4442" s="266"/>
      <c r="D4442" s="263"/>
      <c r="E4442" s="263"/>
      <c r="F4442" s="570"/>
      <c r="G4442" s="568" t="s">
        <v>5243</v>
      </c>
      <c r="H4442" s="634"/>
      <c r="I4442" s="635"/>
      <c r="J4442" s="635"/>
      <c r="K4442" s="575"/>
      <c r="L4442" s="575"/>
      <c r="M4442" s="575"/>
      <c r="N4442" s="575"/>
      <c r="O4442" s="575"/>
      <c r="P4442" s="575"/>
      <c r="Q4442" s="575"/>
      <c r="R4442" s="575"/>
      <c r="S4442" s="575"/>
      <c r="T4442" s="575"/>
      <c r="U4442" s="575"/>
      <c r="V4442" s="575"/>
      <c r="W4442" s="575"/>
      <c r="X4442" s="575"/>
      <c r="Y4442" s="575"/>
    </row>
    <row r="4443" spans="1:25" s="88" customFormat="1">
      <c r="A4443" s="263"/>
      <c r="B4443" s="263"/>
      <c r="C4443" s="266"/>
      <c r="D4443" s="263"/>
      <c r="E4443" s="263"/>
      <c r="F4443" s="570"/>
      <c r="G4443" s="568" t="s">
        <v>5234</v>
      </c>
      <c r="H4443" s="634"/>
      <c r="I4443" s="635"/>
      <c r="J4443" s="635"/>
      <c r="K4443" s="575"/>
      <c r="L4443" s="575"/>
      <c r="M4443" s="575"/>
      <c r="N4443" s="575"/>
      <c r="O4443" s="575"/>
      <c r="P4443" s="575"/>
      <c r="Q4443" s="575"/>
      <c r="R4443" s="575"/>
      <c r="S4443" s="575"/>
      <c r="T4443" s="575"/>
      <c r="U4443" s="575"/>
      <c r="V4443" s="575"/>
      <c r="W4443" s="575"/>
      <c r="X4443" s="575"/>
      <c r="Y4443" s="575"/>
    </row>
    <row r="4444" spans="1:25" s="88" customFormat="1">
      <c r="A4444" s="263"/>
      <c r="B4444" s="263"/>
      <c r="C4444" s="266"/>
      <c r="D4444" s="263"/>
      <c r="E4444" s="263"/>
      <c r="F4444" s="570"/>
      <c r="G4444" s="568" t="s">
        <v>5235</v>
      </c>
      <c r="H4444" s="634"/>
      <c r="I4444" s="635"/>
      <c r="J4444" s="635"/>
      <c r="K4444" s="575"/>
      <c r="L4444" s="575"/>
      <c r="M4444" s="575"/>
      <c r="N4444" s="575"/>
      <c r="O4444" s="575"/>
      <c r="P4444" s="575"/>
      <c r="Q4444" s="575"/>
      <c r="R4444" s="575"/>
      <c r="S4444" s="575"/>
      <c r="T4444" s="575"/>
      <c r="U4444" s="575"/>
      <c r="V4444" s="575"/>
      <c r="W4444" s="575"/>
      <c r="X4444" s="575"/>
      <c r="Y4444" s="575"/>
    </row>
    <row r="4445" spans="1:25" s="88" customFormat="1">
      <c r="A4445" s="263"/>
      <c r="B4445" s="263"/>
      <c r="C4445" s="266"/>
      <c r="D4445" s="263"/>
      <c r="E4445" s="263"/>
      <c r="F4445" s="570"/>
      <c r="G4445" s="568" t="s">
        <v>5236</v>
      </c>
      <c r="H4445" s="634"/>
      <c r="I4445" s="635"/>
      <c r="J4445" s="635"/>
      <c r="K4445" s="575"/>
      <c r="L4445" s="575"/>
      <c r="M4445" s="575"/>
      <c r="N4445" s="575"/>
      <c r="O4445" s="575"/>
      <c r="P4445" s="575"/>
      <c r="Q4445" s="575"/>
      <c r="R4445" s="575"/>
      <c r="S4445" s="575"/>
      <c r="T4445" s="575"/>
      <c r="U4445" s="575"/>
      <c r="V4445" s="575"/>
      <c r="W4445" s="575"/>
      <c r="X4445" s="575"/>
      <c r="Y4445" s="575"/>
    </row>
    <row r="4446" spans="1:25" s="88" customFormat="1">
      <c r="A4446" s="263"/>
      <c r="B4446" s="263"/>
      <c r="C4446" s="266"/>
      <c r="D4446" s="263"/>
      <c r="E4446" s="263"/>
      <c r="F4446" s="570"/>
      <c r="G4446" s="568" t="s">
        <v>5237</v>
      </c>
      <c r="H4446" s="634"/>
      <c r="I4446" s="635"/>
      <c r="J4446" s="635"/>
      <c r="K4446" s="575"/>
      <c r="L4446" s="575"/>
      <c r="M4446" s="575"/>
      <c r="N4446" s="575"/>
      <c r="O4446" s="575"/>
      <c r="P4446" s="575"/>
      <c r="Q4446" s="575"/>
      <c r="R4446" s="575"/>
      <c r="S4446" s="575"/>
      <c r="T4446" s="575"/>
      <c r="U4446" s="575"/>
      <c r="V4446" s="575"/>
      <c r="W4446" s="575"/>
      <c r="X4446" s="575"/>
      <c r="Y4446" s="575"/>
    </row>
    <row r="4447" spans="1:25" s="88" customFormat="1">
      <c r="A4447" s="263"/>
      <c r="B4447" s="263"/>
      <c r="C4447" s="266"/>
      <c r="D4447" s="263"/>
      <c r="E4447" s="263"/>
      <c r="F4447" s="570"/>
      <c r="G4447" s="568" t="s">
        <v>5238</v>
      </c>
      <c r="H4447" s="634"/>
      <c r="I4447" s="635"/>
      <c r="J4447" s="635"/>
      <c r="K4447" s="575"/>
      <c r="L4447" s="575"/>
      <c r="M4447" s="575"/>
      <c r="N4447" s="575"/>
      <c r="O4447" s="575"/>
      <c r="P4447" s="575"/>
      <c r="Q4447" s="575"/>
      <c r="R4447" s="575"/>
      <c r="S4447" s="575"/>
      <c r="T4447" s="575"/>
      <c r="U4447" s="575"/>
      <c r="V4447" s="575"/>
      <c r="W4447" s="575"/>
      <c r="X4447" s="575"/>
      <c r="Y4447" s="575"/>
    </row>
    <row r="4448" spans="1:25" s="88" customFormat="1">
      <c r="A4448" s="263"/>
      <c r="B4448" s="263"/>
      <c r="C4448" s="266"/>
      <c r="D4448" s="263"/>
      <c r="E4448" s="263"/>
      <c r="F4448" s="570"/>
      <c r="G4448" s="568" t="s">
        <v>5239</v>
      </c>
      <c r="H4448" s="634"/>
      <c r="I4448" s="635"/>
      <c r="J4448" s="635"/>
      <c r="K4448" s="575"/>
      <c r="L4448" s="575"/>
      <c r="M4448" s="575"/>
      <c r="N4448" s="575"/>
      <c r="O4448" s="575"/>
      <c r="P4448" s="575"/>
      <c r="Q4448" s="575"/>
      <c r="R4448" s="575"/>
      <c r="S4448" s="575"/>
      <c r="T4448" s="575"/>
      <c r="U4448" s="575"/>
      <c r="V4448" s="575"/>
      <c r="W4448" s="575"/>
      <c r="X4448" s="575"/>
      <c r="Y4448" s="575"/>
    </row>
    <row r="4449" spans="1:25" s="88" customFormat="1">
      <c r="A4449" s="263"/>
      <c r="B4449" s="263"/>
      <c r="C4449" s="266"/>
      <c r="D4449" s="263"/>
      <c r="E4449" s="263"/>
      <c r="F4449" s="570"/>
      <c r="G4449" s="568" t="s">
        <v>5240</v>
      </c>
      <c r="H4449" s="634"/>
      <c r="I4449" s="635"/>
      <c r="J4449" s="635"/>
      <c r="K4449" s="575"/>
      <c r="L4449" s="575"/>
      <c r="M4449" s="575"/>
      <c r="N4449" s="575"/>
      <c r="O4449" s="575"/>
      <c r="P4449" s="575"/>
      <c r="Q4449" s="575"/>
      <c r="R4449" s="575"/>
      <c r="S4449" s="575"/>
      <c r="T4449" s="575"/>
      <c r="U4449" s="575"/>
      <c r="V4449" s="575"/>
      <c r="W4449" s="575"/>
      <c r="X4449" s="575"/>
      <c r="Y4449" s="575"/>
    </row>
    <row r="4450" spans="1:25" s="88" customFormat="1">
      <c r="A4450" s="263"/>
      <c r="B4450" s="263"/>
      <c r="C4450" s="266"/>
      <c r="D4450" s="263"/>
      <c r="E4450" s="263"/>
      <c r="F4450" s="570"/>
      <c r="G4450" s="568" t="s">
        <v>5244</v>
      </c>
      <c r="H4450" s="634"/>
      <c r="I4450" s="635"/>
      <c r="J4450" s="635"/>
      <c r="K4450" s="575"/>
      <c r="L4450" s="575"/>
      <c r="M4450" s="575"/>
      <c r="N4450" s="575"/>
      <c r="O4450" s="575"/>
      <c r="P4450" s="575"/>
      <c r="Q4450" s="575"/>
      <c r="R4450" s="575"/>
      <c r="S4450" s="575"/>
      <c r="T4450" s="575"/>
      <c r="U4450" s="575"/>
      <c r="V4450" s="575"/>
      <c r="W4450" s="575"/>
      <c r="X4450" s="575"/>
      <c r="Y4450" s="575"/>
    </row>
    <row r="4451" spans="1:25" s="88" customFormat="1">
      <c r="A4451" s="263"/>
      <c r="B4451" s="263"/>
      <c r="C4451" s="266"/>
      <c r="D4451" s="263"/>
      <c r="E4451" s="263"/>
      <c r="F4451" s="570"/>
      <c r="G4451" s="568" t="s">
        <v>5241</v>
      </c>
      <c r="H4451" s="634"/>
      <c r="I4451" s="635"/>
      <c r="J4451" s="635"/>
      <c r="K4451" s="575"/>
      <c r="L4451" s="575"/>
      <c r="M4451" s="575"/>
      <c r="N4451" s="575"/>
      <c r="O4451" s="575"/>
      <c r="P4451" s="575"/>
      <c r="Q4451" s="575"/>
      <c r="R4451" s="575"/>
      <c r="S4451" s="575"/>
      <c r="T4451" s="575"/>
      <c r="U4451" s="575"/>
      <c r="V4451" s="575"/>
      <c r="W4451" s="575"/>
      <c r="X4451" s="575"/>
      <c r="Y4451" s="575"/>
    </row>
    <row r="4452" spans="1:25" s="88" customFormat="1" ht="15.75" thickBot="1">
      <c r="A4452" s="263"/>
      <c r="B4452" s="263"/>
      <c r="C4452" s="266"/>
      <c r="D4452" s="263"/>
      <c r="E4452" s="263"/>
      <c r="F4452" s="570"/>
      <c r="G4452" s="568" t="s">
        <v>5242</v>
      </c>
      <c r="H4452" s="634"/>
      <c r="I4452" s="635"/>
      <c r="J4452" s="635"/>
      <c r="K4452" s="575"/>
      <c r="L4452" s="575"/>
      <c r="M4452" s="575"/>
      <c r="N4452" s="575"/>
      <c r="O4452" s="575"/>
      <c r="P4452" s="575"/>
      <c r="Q4452" s="575"/>
      <c r="R4452" s="575"/>
      <c r="S4452" s="575"/>
      <c r="T4452" s="575"/>
      <c r="U4452" s="575"/>
      <c r="V4452" s="575"/>
      <c r="W4452" s="575"/>
      <c r="X4452" s="575"/>
      <c r="Y4452" s="575"/>
    </row>
    <row r="4453" spans="1:25" s="88" customFormat="1">
      <c r="A4453" s="263"/>
      <c r="B4453" s="263"/>
      <c r="C4453" s="266"/>
      <c r="D4453" s="263"/>
      <c r="E4453" s="559"/>
      <c r="F4453" s="570"/>
      <c r="G4453" s="372" t="s">
        <v>4450</v>
      </c>
      <c r="H4453" s="636"/>
      <c r="I4453" s="662"/>
      <c r="J4453" s="637"/>
      <c r="K4453" s="575"/>
      <c r="L4453" s="575"/>
      <c r="M4453" s="575"/>
      <c r="N4453" s="575"/>
      <c r="O4453" s="575"/>
      <c r="P4453" s="575"/>
      <c r="Q4453" s="575"/>
      <c r="R4453" s="575"/>
      <c r="S4453" s="575"/>
      <c r="T4453" s="575"/>
      <c r="U4453" s="575"/>
      <c r="V4453" s="575"/>
      <c r="W4453" s="575"/>
      <c r="X4453" s="575"/>
      <c r="Y4453" s="575"/>
    </row>
    <row r="4454" spans="1:25" s="88" customFormat="1" ht="15.75" thickBot="1">
      <c r="A4454" s="263"/>
      <c r="B4454" s="263"/>
      <c r="C4454" s="266"/>
      <c r="D4454" s="263"/>
      <c r="E4454" s="267"/>
      <c r="F4454" s="294" t="s">
        <v>234</v>
      </c>
      <c r="G4454" s="297" t="s">
        <v>235</v>
      </c>
      <c r="H4454" s="638">
        <f>SUM(H4410:H4411)</f>
        <v>28950000</v>
      </c>
      <c r="I4454" s="639"/>
      <c r="J4454" s="639">
        <f t="shared" ref="J4454:J4469" si="135">SUM(H4454:I4454)</f>
        <v>28950000</v>
      </c>
      <c r="K4454" s="575"/>
      <c r="L4454" s="575"/>
      <c r="M4454" s="575"/>
      <c r="N4454" s="575"/>
      <c r="O4454" s="575"/>
      <c r="P4454" s="575"/>
      <c r="Q4454" s="575"/>
      <c r="R4454" s="575"/>
      <c r="S4454" s="575"/>
      <c r="T4454" s="575"/>
      <c r="U4454" s="575"/>
      <c r="V4454" s="575"/>
      <c r="W4454" s="575"/>
      <c r="X4454" s="575"/>
      <c r="Y4454" s="575"/>
    </row>
    <row r="4455" spans="1:25" s="88" customFormat="1" hidden="1">
      <c r="A4455" s="263"/>
      <c r="B4455" s="263"/>
      <c r="C4455" s="266"/>
      <c r="D4455" s="263"/>
      <c r="E4455" s="263"/>
      <c r="F4455" s="294" t="s">
        <v>236</v>
      </c>
      <c r="G4455" s="297" t="s">
        <v>237</v>
      </c>
      <c r="H4455" s="634"/>
      <c r="I4455" s="635"/>
      <c r="J4455" s="639">
        <f t="shared" si="135"/>
        <v>0</v>
      </c>
      <c r="K4455" s="575"/>
      <c r="L4455" s="575"/>
      <c r="M4455" s="575"/>
      <c r="N4455" s="575"/>
      <c r="O4455" s="575"/>
      <c r="P4455" s="575"/>
      <c r="Q4455" s="575"/>
      <c r="R4455" s="575"/>
      <c r="S4455" s="575"/>
      <c r="T4455" s="575"/>
      <c r="U4455" s="575"/>
      <c r="V4455" s="575"/>
      <c r="W4455" s="575"/>
      <c r="X4455" s="575"/>
      <c r="Y4455" s="575"/>
    </row>
    <row r="4456" spans="1:25" s="88" customFormat="1" hidden="1">
      <c r="A4456" s="263"/>
      <c r="B4456" s="263"/>
      <c r="C4456" s="266"/>
      <c r="D4456" s="263"/>
      <c r="E4456" s="263"/>
      <c r="F4456" s="294" t="s">
        <v>238</v>
      </c>
      <c r="G4456" s="297" t="s">
        <v>239</v>
      </c>
      <c r="H4456" s="634"/>
      <c r="I4456" s="635"/>
      <c r="J4456" s="639">
        <f t="shared" si="135"/>
        <v>0</v>
      </c>
      <c r="K4456" s="575"/>
      <c r="L4456" s="575"/>
      <c r="M4456" s="575"/>
      <c r="N4456" s="575"/>
      <c r="O4456" s="575"/>
      <c r="P4456" s="575"/>
      <c r="Q4456" s="575"/>
      <c r="R4456" s="575"/>
      <c r="S4456" s="575"/>
      <c r="T4456" s="575"/>
      <c r="U4456" s="575"/>
      <c r="V4456" s="575"/>
      <c r="W4456" s="575"/>
      <c r="X4456" s="575"/>
      <c r="Y4456" s="575"/>
    </row>
    <row r="4457" spans="1:25" s="88" customFormat="1" hidden="1">
      <c r="A4457" s="263"/>
      <c r="B4457" s="263"/>
      <c r="C4457" s="266"/>
      <c r="D4457" s="263"/>
      <c r="E4457" s="263"/>
      <c r="F4457" s="294" t="s">
        <v>240</v>
      </c>
      <c r="G4457" s="297" t="s">
        <v>241</v>
      </c>
      <c r="H4457" s="634"/>
      <c r="I4457" s="635"/>
      <c r="J4457" s="639">
        <f t="shared" si="135"/>
        <v>0</v>
      </c>
      <c r="K4457" s="575"/>
      <c r="L4457" s="575"/>
      <c r="M4457" s="575"/>
      <c r="N4457" s="575"/>
      <c r="O4457" s="575"/>
      <c r="P4457" s="575"/>
      <c r="Q4457" s="575"/>
      <c r="R4457" s="575"/>
      <c r="S4457" s="575"/>
      <c r="T4457" s="575"/>
      <c r="U4457" s="575"/>
      <c r="V4457" s="575"/>
      <c r="W4457" s="575"/>
      <c r="X4457" s="575"/>
      <c r="Y4457" s="575"/>
    </row>
    <row r="4458" spans="1:25" s="88" customFormat="1" hidden="1">
      <c r="A4458" s="263"/>
      <c r="B4458" s="263"/>
      <c r="C4458" s="266"/>
      <c r="D4458" s="263"/>
      <c r="E4458" s="263"/>
      <c r="F4458" s="294" t="s">
        <v>242</v>
      </c>
      <c r="G4458" s="297" t="s">
        <v>243</v>
      </c>
      <c r="H4458" s="634"/>
      <c r="I4458" s="635"/>
      <c r="J4458" s="639">
        <f t="shared" si="135"/>
        <v>0</v>
      </c>
      <c r="K4458" s="575"/>
      <c r="L4458" s="575"/>
      <c r="M4458" s="575"/>
      <c r="N4458" s="575"/>
      <c r="O4458" s="575"/>
      <c r="P4458" s="575"/>
      <c r="Q4458" s="575"/>
      <c r="R4458" s="575"/>
      <c r="S4458" s="575"/>
      <c r="T4458" s="575"/>
      <c r="U4458" s="575"/>
      <c r="V4458" s="575"/>
      <c r="W4458" s="575"/>
      <c r="X4458" s="575"/>
      <c r="Y4458" s="575"/>
    </row>
    <row r="4459" spans="1:25" s="88" customFormat="1" hidden="1">
      <c r="A4459" s="263"/>
      <c r="B4459" s="263"/>
      <c r="C4459" s="266"/>
      <c r="D4459" s="263"/>
      <c r="E4459" s="263"/>
      <c r="F4459" s="294" t="s">
        <v>244</v>
      </c>
      <c r="G4459" s="297" t="s">
        <v>245</v>
      </c>
      <c r="H4459" s="634"/>
      <c r="I4459" s="635"/>
      <c r="J4459" s="639">
        <f t="shared" si="135"/>
        <v>0</v>
      </c>
      <c r="K4459" s="575"/>
      <c r="L4459" s="575"/>
      <c r="M4459" s="575"/>
      <c r="N4459" s="575"/>
      <c r="O4459" s="575"/>
      <c r="P4459" s="575"/>
      <c r="Q4459" s="575"/>
      <c r="R4459" s="575"/>
      <c r="S4459" s="575"/>
      <c r="T4459" s="575"/>
      <c r="U4459" s="575"/>
      <c r="V4459" s="575"/>
      <c r="W4459" s="575"/>
      <c r="X4459" s="575"/>
      <c r="Y4459" s="575"/>
    </row>
    <row r="4460" spans="1:25" s="88" customFormat="1" hidden="1">
      <c r="A4460" s="263"/>
      <c r="B4460" s="263"/>
      <c r="C4460" s="266"/>
      <c r="D4460" s="263"/>
      <c r="E4460" s="263"/>
      <c r="F4460" s="294" t="s">
        <v>246</v>
      </c>
      <c r="G4460" s="683" t="s">
        <v>5121</v>
      </c>
      <c r="H4460" s="634"/>
      <c r="I4460" s="635"/>
      <c r="J4460" s="639">
        <f t="shared" si="135"/>
        <v>0</v>
      </c>
      <c r="K4460" s="575"/>
      <c r="L4460" s="575"/>
      <c r="M4460" s="575"/>
      <c r="N4460" s="575"/>
      <c r="O4460" s="575"/>
      <c r="P4460" s="575"/>
      <c r="Q4460" s="575"/>
      <c r="R4460" s="575"/>
      <c r="S4460" s="575"/>
      <c r="T4460" s="575"/>
      <c r="U4460" s="575"/>
      <c r="V4460" s="575"/>
      <c r="W4460" s="575"/>
      <c r="X4460" s="575"/>
      <c r="Y4460" s="575"/>
    </row>
    <row r="4461" spans="1:25" s="88" customFormat="1" hidden="1">
      <c r="A4461" s="263"/>
      <c r="B4461" s="263"/>
      <c r="C4461" s="266"/>
      <c r="D4461" s="263"/>
      <c r="E4461" s="263"/>
      <c r="F4461" s="294" t="s">
        <v>247</v>
      </c>
      <c r="G4461" s="683" t="s">
        <v>5120</v>
      </c>
      <c r="H4461" s="634"/>
      <c r="I4461" s="635"/>
      <c r="J4461" s="639">
        <f t="shared" si="135"/>
        <v>0</v>
      </c>
      <c r="K4461" s="575"/>
      <c r="L4461" s="575"/>
      <c r="M4461" s="575"/>
      <c r="N4461" s="575"/>
      <c r="O4461" s="575"/>
      <c r="P4461" s="575"/>
      <c r="Q4461" s="575"/>
      <c r="R4461" s="575"/>
      <c r="S4461" s="575"/>
      <c r="T4461" s="575"/>
      <c r="U4461" s="575"/>
      <c r="V4461" s="575"/>
      <c r="W4461" s="575"/>
      <c r="X4461" s="575"/>
      <c r="Y4461" s="575"/>
    </row>
    <row r="4462" spans="1:25" s="88" customFormat="1" hidden="1">
      <c r="A4462" s="263"/>
      <c r="B4462" s="263"/>
      <c r="C4462" s="266"/>
      <c r="D4462" s="263"/>
      <c r="E4462" s="263"/>
      <c r="F4462" s="294" t="s">
        <v>248</v>
      </c>
      <c r="G4462" s="297" t="s">
        <v>57</v>
      </c>
      <c r="H4462" s="634"/>
      <c r="I4462" s="635"/>
      <c r="J4462" s="639">
        <f t="shared" si="135"/>
        <v>0</v>
      </c>
      <c r="K4462" s="575"/>
      <c r="L4462" s="575"/>
      <c r="M4462" s="575"/>
      <c r="N4462" s="575"/>
      <c r="O4462" s="575"/>
      <c r="P4462" s="575"/>
      <c r="Q4462" s="575"/>
      <c r="R4462" s="575"/>
      <c r="S4462" s="575"/>
      <c r="T4462" s="575"/>
      <c r="U4462" s="575"/>
      <c r="V4462" s="575"/>
      <c r="W4462" s="575"/>
      <c r="X4462" s="575"/>
      <c r="Y4462" s="575"/>
    </row>
    <row r="4463" spans="1:25" s="88" customFormat="1" hidden="1">
      <c r="A4463" s="263"/>
      <c r="B4463" s="263"/>
      <c r="C4463" s="266"/>
      <c r="D4463" s="263"/>
      <c r="E4463" s="263"/>
      <c r="F4463" s="294" t="s">
        <v>249</v>
      </c>
      <c r="G4463" s="297" t="s">
        <v>250</v>
      </c>
      <c r="H4463" s="634"/>
      <c r="I4463" s="635"/>
      <c r="J4463" s="639">
        <f t="shared" si="135"/>
        <v>0</v>
      </c>
      <c r="K4463" s="575"/>
      <c r="L4463" s="575"/>
      <c r="M4463" s="575"/>
      <c r="N4463" s="575"/>
      <c r="O4463" s="575"/>
      <c r="P4463" s="575"/>
      <c r="Q4463" s="575"/>
      <c r="R4463" s="575"/>
      <c r="S4463" s="575"/>
      <c r="T4463" s="575"/>
      <c r="U4463" s="575"/>
      <c r="V4463" s="575"/>
      <c r="W4463" s="575"/>
      <c r="X4463" s="575"/>
      <c r="Y4463" s="575"/>
    </row>
    <row r="4464" spans="1:25" s="88" customFormat="1" hidden="1">
      <c r="A4464" s="263"/>
      <c r="B4464" s="263"/>
      <c r="C4464" s="266"/>
      <c r="D4464" s="263"/>
      <c r="E4464" s="263"/>
      <c r="F4464" s="294" t="s">
        <v>251</v>
      </c>
      <c r="G4464" s="297" t="s">
        <v>252</v>
      </c>
      <c r="H4464" s="634"/>
      <c r="I4464" s="635"/>
      <c r="J4464" s="639">
        <f t="shared" si="135"/>
        <v>0</v>
      </c>
      <c r="K4464" s="575"/>
      <c r="L4464" s="575"/>
      <c r="M4464" s="575"/>
      <c r="N4464" s="575"/>
      <c r="O4464" s="575"/>
      <c r="P4464" s="575"/>
      <c r="Q4464" s="575"/>
      <c r="R4464" s="575"/>
      <c r="S4464" s="575"/>
      <c r="T4464" s="575"/>
      <c r="U4464" s="575"/>
      <c r="V4464" s="575"/>
      <c r="W4464" s="575"/>
      <c r="X4464" s="575"/>
      <c r="Y4464" s="575"/>
    </row>
    <row r="4465" spans="1:25" s="88" customFormat="1" hidden="1">
      <c r="A4465" s="263"/>
      <c r="B4465" s="263"/>
      <c r="C4465" s="266"/>
      <c r="D4465" s="263"/>
      <c r="E4465" s="263"/>
      <c r="F4465" s="294" t="s">
        <v>253</v>
      </c>
      <c r="G4465" s="297" t="s">
        <v>254</v>
      </c>
      <c r="H4465" s="634"/>
      <c r="I4465" s="635"/>
      <c r="J4465" s="639">
        <f t="shared" si="135"/>
        <v>0</v>
      </c>
      <c r="K4465" s="575"/>
      <c r="L4465" s="575"/>
      <c r="M4465" s="575"/>
      <c r="N4465" s="575"/>
      <c r="O4465" s="575"/>
      <c r="P4465" s="575"/>
      <c r="Q4465" s="575"/>
      <c r="R4465" s="575"/>
      <c r="S4465" s="575"/>
      <c r="T4465" s="575"/>
      <c r="U4465" s="575"/>
      <c r="V4465" s="575"/>
      <c r="W4465" s="575"/>
      <c r="X4465" s="575"/>
      <c r="Y4465" s="575"/>
    </row>
    <row r="4466" spans="1:25" s="88" customFormat="1" hidden="1">
      <c r="A4466" s="263"/>
      <c r="B4466" s="263"/>
      <c r="C4466" s="266"/>
      <c r="D4466" s="263"/>
      <c r="E4466" s="263"/>
      <c r="F4466" s="294" t="s">
        <v>255</v>
      </c>
      <c r="G4466" s="297" t="s">
        <v>256</v>
      </c>
      <c r="H4466" s="634"/>
      <c r="I4466" s="635"/>
      <c r="J4466" s="639">
        <f t="shared" si="135"/>
        <v>0</v>
      </c>
      <c r="K4466" s="575"/>
      <c r="L4466" s="575"/>
      <c r="M4466" s="575"/>
      <c r="N4466" s="575"/>
      <c r="O4466" s="575"/>
      <c r="P4466" s="575"/>
      <c r="Q4466" s="575"/>
      <c r="R4466" s="575"/>
      <c r="S4466" s="575"/>
      <c r="T4466" s="575"/>
      <c r="U4466" s="575"/>
      <c r="V4466" s="575"/>
      <c r="W4466" s="575"/>
      <c r="X4466" s="575"/>
      <c r="Y4466" s="575"/>
    </row>
    <row r="4467" spans="1:25" s="88" customFormat="1" hidden="1">
      <c r="A4467" s="263"/>
      <c r="B4467" s="263"/>
      <c r="C4467" s="266"/>
      <c r="D4467" s="263"/>
      <c r="E4467" s="263"/>
      <c r="F4467" s="294" t="s">
        <v>257</v>
      </c>
      <c r="G4467" s="297" t="s">
        <v>258</v>
      </c>
      <c r="H4467" s="634"/>
      <c r="I4467" s="635"/>
      <c r="J4467" s="639">
        <f t="shared" si="135"/>
        <v>0</v>
      </c>
      <c r="K4467" s="575"/>
      <c r="L4467" s="575"/>
      <c r="M4467" s="575"/>
      <c r="N4467" s="575"/>
      <c r="O4467" s="575"/>
      <c r="P4467" s="575"/>
      <c r="Q4467" s="575"/>
      <c r="R4467" s="575"/>
      <c r="S4467" s="575"/>
      <c r="T4467" s="575"/>
      <c r="U4467" s="575"/>
      <c r="V4467" s="575"/>
      <c r="W4467" s="575"/>
      <c r="X4467" s="575"/>
      <c r="Y4467" s="575"/>
    </row>
    <row r="4468" spans="1:25" s="88" customFormat="1" hidden="1">
      <c r="A4468" s="263"/>
      <c r="B4468" s="263"/>
      <c r="C4468" s="266"/>
      <c r="D4468" s="263"/>
      <c r="E4468" s="263"/>
      <c r="F4468" s="294" t="s">
        <v>259</v>
      </c>
      <c r="G4468" s="297" t="s">
        <v>260</v>
      </c>
      <c r="H4468" s="634"/>
      <c r="I4468" s="635"/>
      <c r="J4468" s="639">
        <f t="shared" si="135"/>
        <v>0</v>
      </c>
      <c r="K4468" s="575"/>
      <c r="L4468" s="575"/>
      <c r="M4468" s="575"/>
      <c r="N4468" s="575"/>
      <c r="O4468" s="575"/>
      <c r="P4468" s="575"/>
      <c r="Q4468" s="575"/>
      <c r="R4468" s="575"/>
      <c r="S4468" s="575"/>
      <c r="T4468" s="575"/>
      <c r="U4468" s="575"/>
      <c r="V4468" s="575"/>
      <c r="W4468" s="575"/>
      <c r="X4468" s="575"/>
      <c r="Y4468" s="575"/>
    </row>
    <row r="4469" spans="1:25" s="88" customFormat="1" ht="15.75" hidden="1" thickBot="1">
      <c r="A4469" s="263"/>
      <c r="B4469" s="263"/>
      <c r="C4469" s="266"/>
      <c r="D4469" s="263"/>
      <c r="E4469" s="263"/>
      <c r="F4469" s="294" t="s">
        <v>261</v>
      </c>
      <c r="G4469" s="297" t="s">
        <v>262</v>
      </c>
      <c r="H4469" s="638"/>
      <c r="I4469" s="639"/>
      <c r="J4469" s="639">
        <f t="shared" si="135"/>
        <v>0</v>
      </c>
      <c r="K4469" s="575"/>
      <c r="L4469" s="575"/>
      <c r="M4469" s="575"/>
      <c r="N4469" s="575"/>
      <c r="O4469" s="575"/>
      <c r="P4469" s="575"/>
      <c r="Q4469" s="575"/>
      <c r="R4469" s="575"/>
      <c r="S4469" s="575"/>
      <c r="T4469" s="575"/>
      <c r="U4469" s="575"/>
      <c r="V4469" s="575"/>
      <c r="W4469" s="575"/>
      <c r="X4469" s="575"/>
      <c r="Y4469" s="575"/>
    </row>
    <row r="4470" spans="1:25" s="88" customFormat="1" ht="15.75" thickBot="1">
      <c r="A4470" s="263"/>
      <c r="B4470" s="263"/>
      <c r="C4470" s="266"/>
      <c r="D4470" s="263"/>
      <c r="E4470" s="263"/>
      <c r="F4470" s="263"/>
      <c r="G4470" s="274" t="s">
        <v>4451</v>
      </c>
      <c r="H4470" s="640">
        <f>SUM(H4454)</f>
        <v>28950000</v>
      </c>
      <c r="I4470" s="641">
        <f>SUM(I4455:I4469)</f>
        <v>0</v>
      </c>
      <c r="J4470" s="641">
        <f>SUM(J4454:J4469)</f>
        <v>28950000</v>
      </c>
      <c r="K4470" s="575"/>
      <c r="L4470" s="575"/>
      <c r="M4470" s="575"/>
      <c r="N4470" s="575"/>
      <c r="O4470" s="575"/>
      <c r="P4470" s="575"/>
      <c r="Q4470" s="575"/>
      <c r="R4470" s="575"/>
      <c r="S4470" s="575"/>
      <c r="T4470" s="575"/>
      <c r="U4470" s="575"/>
      <c r="V4470" s="575"/>
      <c r="W4470" s="575"/>
      <c r="X4470" s="575"/>
      <c r="Y4470" s="575"/>
    </row>
    <row r="4471" spans="1:25" s="88" customFormat="1">
      <c r="A4471" s="263"/>
      <c r="B4471" s="263"/>
      <c r="C4471" s="266"/>
      <c r="D4471" s="263"/>
      <c r="E4471" s="559"/>
      <c r="F4471" s="570"/>
      <c r="G4471" s="276" t="s">
        <v>4470</v>
      </c>
      <c r="H4471" s="642"/>
      <c r="I4471" s="663"/>
      <c r="J4471" s="643"/>
      <c r="K4471" s="575"/>
      <c r="L4471" s="575"/>
      <c r="M4471" s="575"/>
      <c r="N4471" s="575"/>
      <c r="O4471" s="575"/>
      <c r="P4471" s="575"/>
      <c r="Q4471" s="575"/>
      <c r="R4471" s="575"/>
      <c r="S4471" s="575"/>
      <c r="T4471" s="575"/>
      <c r="U4471" s="575"/>
      <c r="V4471" s="575"/>
      <c r="W4471" s="575"/>
      <c r="X4471" s="575"/>
      <c r="Y4471" s="575"/>
    </row>
    <row r="4472" spans="1:25" s="88" customFormat="1" ht="15.75" thickBot="1">
      <c r="A4472" s="263"/>
      <c r="B4472" s="263"/>
      <c r="C4472" s="266"/>
      <c r="D4472" s="263"/>
      <c r="E4472" s="267"/>
      <c r="F4472" s="294" t="s">
        <v>234</v>
      </c>
      <c r="G4472" s="297" t="s">
        <v>235</v>
      </c>
      <c r="H4472" s="638">
        <f>SUM(H4380:H4439)</f>
        <v>28950000</v>
      </c>
      <c r="I4472" s="639"/>
      <c r="J4472" s="639">
        <f>SUM(H4472:I4472)</f>
        <v>28950000</v>
      </c>
      <c r="K4472" s="575"/>
      <c r="L4472" s="575"/>
      <c r="M4472" s="575"/>
      <c r="N4472" s="575"/>
      <c r="O4472" s="575"/>
      <c r="P4472" s="575"/>
      <c r="Q4472" s="575"/>
      <c r="R4472" s="575"/>
      <c r="S4472" s="575"/>
      <c r="T4472" s="575"/>
      <c r="U4472" s="575"/>
      <c r="V4472" s="575"/>
      <c r="W4472" s="575"/>
      <c r="X4472" s="575"/>
      <c r="Y4472" s="575"/>
    </row>
    <row r="4473" spans="1:25" s="88" customFormat="1" ht="17.25" hidden="1" customHeight="1">
      <c r="A4473" s="263"/>
      <c r="B4473" s="263"/>
      <c r="C4473" s="266"/>
      <c r="D4473" s="263"/>
      <c r="E4473" s="263"/>
      <c r="F4473" s="294" t="s">
        <v>236</v>
      </c>
      <c r="G4473" s="297" t="s">
        <v>237</v>
      </c>
      <c r="H4473" s="634"/>
      <c r="I4473" s="635"/>
      <c r="J4473" s="639">
        <f t="shared" ref="J4473:J4487" si="136">SUM(H4473:I4473)</f>
        <v>0</v>
      </c>
      <c r="K4473" s="575"/>
      <c r="L4473" s="575"/>
      <c r="M4473" s="575"/>
      <c r="N4473" s="575"/>
      <c r="O4473" s="575"/>
      <c r="P4473" s="575"/>
      <c r="Q4473" s="575"/>
      <c r="R4473" s="575"/>
      <c r="S4473" s="575"/>
      <c r="T4473" s="575"/>
      <c r="U4473" s="575"/>
      <c r="V4473" s="575"/>
      <c r="W4473" s="575"/>
      <c r="X4473" s="575"/>
      <c r="Y4473" s="575"/>
    </row>
    <row r="4474" spans="1:25" s="88" customFormat="1" hidden="1">
      <c r="A4474" s="263"/>
      <c r="B4474" s="263"/>
      <c r="C4474" s="266"/>
      <c r="D4474" s="263"/>
      <c r="E4474" s="263"/>
      <c r="F4474" s="294" t="s">
        <v>238</v>
      </c>
      <c r="G4474" s="297" t="s">
        <v>239</v>
      </c>
      <c r="H4474" s="634"/>
      <c r="I4474" s="635"/>
      <c r="J4474" s="639">
        <f t="shared" si="136"/>
        <v>0</v>
      </c>
      <c r="K4474" s="575"/>
      <c r="L4474" s="575"/>
      <c r="M4474" s="575"/>
      <c r="N4474" s="575"/>
      <c r="O4474" s="575"/>
      <c r="P4474" s="575"/>
      <c r="Q4474" s="575"/>
      <c r="R4474" s="575"/>
      <c r="S4474" s="575"/>
      <c r="T4474" s="575"/>
      <c r="U4474" s="575"/>
      <c r="V4474" s="575"/>
      <c r="W4474" s="575"/>
      <c r="X4474" s="575"/>
      <c r="Y4474" s="575"/>
    </row>
    <row r="4475" spans="1:25" s="88" customFormat="1" hidden="1">
      <c r="A4475" s="263"/>
      <c r="B4475" s="263"/>
      <c r="C4475" s="266"/>
      <c r="D4475" s="263"/>
      <c r="E4475" s="263"/>
      <c r="F4475" s="294" t="s">
        <v>240</v>
      </c>
      <c r="G4475" s="297" t="s">
        <v>241</v>
      </c>
      <c r="H4475" s="634"/>
      <c r="I4475" s="635"/>
      <c r="J4475" s="639">
        <f t="shared" si="136"/>
        <v>0</v>
      </c>
      <c r="K4475" s="575"/>
      <c r="L4475" s="575"/>
      <c r="M4475" s="575"/>
      <c r="N4475" s="575"/>
      <c r="O4475" s="575"/>
      <c r="P4475" s="575"/>
      <c r="Q4475" s="575"/>
      <c r="R4475" s="575"/>
      <c r="S4475" s="575"/>
      <c r="T4475" s="575"/>
      <c r="U4475" s="575"/>
      <c r="V4475" s="575"/>
      <c r="W4475" s="575"/>
      <c r="X4475" s="575"/>
      <c r="Y4475" s="575"/>
    </row>
    <row r="4476" spans="1:25" s="88" customFormat="1" hidden="1">
      <c r="A4476" s="263"/>
      <c r="B4476" s="263"/>
      <c r="C4476" s="266"/>
      <c r="D4476" s="263"/>
      <c r="E4476" s="263"/>
      <c r="F4476" s="294" t="s">
        <v>242</v>
      </c>
      <c r="G4476" s="297" t="s">
        <v>243</v>
      </c>
      <c r="H4476" s="634"/>
      <c r="I4476" s="635"/>
      <c r="J4476" s="639">
        <f t="shared" si="136"/>
        <v>0</v>
      </c>
      <c r="K4476" s="575"/>
      <c r="L4476" s="575"/>
      <c r="M4476" s="575"/>
      <c r="N4476" s="575"/>
      <c r="O4476" s="575"/>
      <c r="P4476" s="575"/>
      <c r="Q4476" s="575"/>
      <c r="R4476" s="575"/>
      <c r="S4476" s="575"/>
      <c r="T4476" s="575"/>
      <c r="U4476" s="575"/>
      <c r="V4476" s="575"/>
      <c r="W4476" s="575"/>
      <c r="X4476" s="575"/>
      <c r="Y4476" s="575"/>
    </row>
    <row r="4477" spans="1:25" s="88" customFormat="1" hidden="1">
      <c r="A4477" s="263"/>
      <c r="B4477" s="263"/>
      <c r="C4477" s="266"/>
      <c r="D4477" s="263"/>
      <c r="E4477" s="263"/>
      <c r="F4477" s="294" t="s">
        <v>244</v>
      </c>
      <c r="G4477" s="297" t="s">
        <v>245</v>
      </c>
      <c r="H4477" s="634"/>
      <c r="I4477" s="635"/>
      <c r="J4477" s="639">
        <f t="shared" si="136"/>
        <v>0</v>
      </c>
      <c r="K4477" s="575"/>
      <c r="L4477" s="575"/>
      <c r="M4477" s="575"/>
      <c r="N4477" s="575"/>
      <c r="O4477" s="575"/>
      <c r="P4477" s="575"/>
      <c r="Q4477" s="575"/>
      <c r="R4477" s="575"/>
      <c r="S4477" s="575"/>
      <c r="T4477" s="575"/>
      <c r="U4477" s="575"/>
      <c r="V4477" s="575"/>
      <c r="W4477" s="575"/>
      <c r="X4477" s="575"/>
      <c r="Y4477" s="575"/>
    </row>
    <row r="4478" spans="1:25" s="88" customFormat="1" hidden="1">
      <c r="A4478" s="263"/>
      <c r="B4478" s="263"/>
      <c r="C4478" s="266"/>
      <c r="D4478" s="263"/>
      <c r="E4478" s="263"/>
      <c r="F4478" s="294" t="s">
        <v>246</v>
      </c>
      <c r="G4478" s="683" t="s">
        <v>5121</v>
      </c>
      <c r="H4478" s="634"/>
      <c r="I4478" s="635"/>
      <c r="J4478" s="639">
        <f t="shared" si="136"/>
        <v>0</v>
      </c>
      <c r="K4478" s="575"/>
      <c r="L4478" s="575"/>
      <c r="M4478" s="575"/>
      <c r="N4478" s="575"/>
      <c r="O4478" s="575"/>
      <c r="P4478" s="575"/>
      <c r="Q4478" s="575"/>
      <c r="R4478" s="575"/>
      <c r="S4478" s="575"/>
      <c r="T4478" s="575"/>
      <c r="U4478" s="575"/>
      <c r="V4478" s="575"/>
      <c r="W4478" s="575"/>
      <c r="X4478" s="575"/>
      <c r="Y4478" s="575"/>
    </row>
    <row r="4479" spans="1:25" s="88" customFormat="1" hidden="1">
      <c r="A4479" s="263"/>
      <c r="B4479" s="263"/>
      <c r="C4479" s="266"/>
      <c r="D4479" s="263"/>
      <c r="E4479" s="263"/>
      <c r="F4479" s="294" t="s">
        <v>247</v>
      </c>
      <c r="G4479" s="683" t="s">
        <v>5120</v>
      </c>
      <c r="H4479" s="634"/>
      <c r="I4479" s="635"/>
      <c r="J4479" s="639">
        <f t="shared" si="136"/>
        <v>0</v>
      </c>
      <c r="K4479" s="575"/>
      <c r="L4479" s="575"/>
      <c r="M4479" s="575"/>
      <c r="N4479" s="575"/>
      <c r="O4479" s="575"/>
      <c r="P4479" s="575"/>
      <c r="Q4479" s="575"/>
      <c r="R4479" s="575"/>
      <c r="S4479" s="575"/>
      <c r="T4479" s="575"/>
      <c r="U4479" s="575"/>
      <c r="V4479" s="575"/>
      <c r="W4479" s="575"/>
      <c r="X4479" s="575"/>
      <c r="Y4479" s="575"/>
    </row>
    <row r="4480" spans="1:25" s="88" customFormat="1" hidden="1">
      <c r="A4480" s="263"/>
      <c r="B4480" s="263"/>
      <c r="C4480" s="266"/>
      <c r="D4480" s="263"/>
      <c r="E4480" s="263"/>
      <c r="F4480" s="294" t="s">
        <v>248</v>
      </c>
      <c r="G4480" s="297" t="s">
        <v>57</v>
      </c>
      <c r="H4480" s="634"/>
      <c r="I4480" s="635"/>
      <c r="J4480" s="639">
        <f t="shared" si="136"/>
        <v>0</v>
      </c>
      <c r="K4480" s="575"/>
      <c r="L4480" s="575"/>
      <c r="M4480" s="575"/>
      <c r="N4480" s="575"/>
      <c r="O4480" s="575"/>
      <c r="P4480" s="575"/>
      <c r="Q4480" s="575"/>
      <c r="R4480" s="575"/>
      <c r="S4480" s="575"/>
      <c r="T4480" s="575"/>
      <c r="U4480" s="575"/>
      <c r="V4480" s="575"/>
      <c r="W4480" s="575"/>
      <c r="X4480" s="575"/>
      <c r="Y4480" s="575"/>
    </row>
    <row r="4481" spans="1:25" s="88" customFormat="1" hidden="1">
      <c r="A4481" s="263"/>
      <c r="B4481" s="263"/>
      <c r="C4481" s="266"/>
      <c r="D4481" s="263"/>
      <c r="E4481" s="263"/>
      <c r="F4481" s="294" t="s">
        <v>249</v>
      </c>
      <c r="G4481" s="297" t="s">
        <v>250</v>
      </c>
      <c r="H4481" s="634"/>
      <c r="I4481" s="635"/>
      <c r="J4481" s="639">
        <f t="shared" si="136"/>
        <v>0</v>
      </c>
      <c r="K4481" s="575"/>
      <c r="L4481" s="575"/>
      <c r="M4481" s="575"/>
      <c r="N4481" s="575"/>
      <c r="O4481" s="575"/>
      <c r="P4481" s="575"/>
      <c r="Q4481" s="575"/>
      <c r="R4481" s="575"/>
      <c r="S4481" s="575"/>
      <c r="T4481" s="575"/>
      <c r="U4481" s="575"/>
      <c r="V4481" s="575"/>
      <c r="W4481" s="575"/>
      <c r="X4481" s="575"/>
      <c r="Y4481" s="575"/>
    </row>
    <row r="4482" spans="1:25" s="88" customFormat="1" hidden="1">
      <c r="A4482" s="263"/>
      <c r="B4482" s="263"/>
      <c r="C4482" s="266"/>
      <c r="D4482" s="263"/>
      <c r="E4482" s="263"/>
      <c r="F4482" s="294" t="s">
        <v>251</v>
      </c>
      <c r="G4482" s="297" t="s">
        <v>252</v>
      </c>
      <c r="H4482" s="634"/>
      <c r="I4482" s="635"/>
      <c r="J4482" s="639">
        <f t="shared" si="136"/>
        <v>0</v>
      </c>
      <c r="K4482" s="575"/>
      <c r="L4482" s="575"/>
      <c r="M4482" s="575"/>
      <c r="N4482" s="575"/>
      <c r="O4482" s="575"/>
      <c r="P4482" s="575"/>
      <c r="Q4482" s="575"/>
      <c r="R4482" s="575"/>
      <c r="S4482" s="575"/>
      <c r="T4482" s="575"/>
      <c r="U4482" s="575"/>
      <c r="V4482" s="575"/>
      <c r="W4482" s="575"/>
      <c r="X4482" s="575"/>
      <c r="Y4482" s="575"/>
    </row>
    <row r="4483" spans="1:25" s="88" customFormat="1" hidden="1">
      <c r="A4483" s="263"/>
      <c r="B4483" s="263"/>
      <c r="C4483" s="266"/>
      <c r="D4483" s="263"/>
      <c r="E4483" s="263"/>
      <c r="F4483" s="294" t="s">
        <v>253</v>
      </c>
      <c r="G4483" s="297" t="s">
        <v>254</v>
      </c>
      <c r="H4483" s="634"/>
      <c r="I4483" s="635"/>
      <c r="J4483" s="639">
        <f t="shared" si="136"/>
        <v>0</v>
      </c>
      <c r="K4483" s="575"/>
      <c r="L4483" s="575"/>
      <c r="M4483" s="575"/>
      <c r="N4483" s="575"/>
      <c r="O4483" s="575"/>
      <c r="P4483" s="575"/>
      <c r="Q4483" s="575"/>
      <c r="R4483" s="575"/>
      <c r="S4483" s="575"/>
      <c r="T4483" s="575"/>
      <c r="U4483" s="575"/>
      <c r="V4483" s="575"/>
      <c r="W4483" s="575"/>
      <c r="X4483" s="575"/>
      <c r="Y4483" s="575"/>
    </row>
    <row r="4484" spans="1:25" s="88" customFormat="1" hidden="1">
      <c r="A4484" s="263"/>
      <c r="B4484" s="263"/>
      <c r="C4484" s="266"/>
      <c r="D4484" s="263"/>
      <c r="E4484" s="263"/>
      <c r="F4484" s="294" t="s">
        <v>255</v>
      </c>
      <c r="G4484" s="297" t="s">
        <v>256</v>
      </c>
      <c r="H4484" s="634"/>
      <c r="I4484" s="635"/>
      <c r="J4484" s="639">
        <f t="shared" si="136"/>
        <v>0</v>
      </c>
      <c r="K4484" s="575"/>
      <c r="L4484" s="575"/>
      <c r="M4484" s="575"/>
      <c r="N4484" s="575"/>
      <c r="O4484" s="575"/>
      <c r="P4484" s="575"/>
      <c r="Q4484" s="575"/>
      <c r="R4484" s="575"/>
      <c r="S4484" s="575"/>
      <c r="T4484" s="575"/>
      <c r="U4484" s="575"/>
      <c r="V4484" s="575"/>
      <c r="W4484" s="575"/>
      <c r="X4484" s="575"/>
      <c r="Y4484" s="575"/>
    </row>
    <row r="4485" spans="1:25" s="88" customFormat="1" hidden="1">
      <c r="A4485" s="263"/>
      <c r="B4485" s="263"/>
      <c r="C4485" s="266"/>
      <c r="D4485" s="263"/>
      <c r="E4485" s="263"/>
      <c r="F4485" s="294" t="s">
        <v>257</v>
      </c>
      <c r="G4485" s="297" t="s">
        <v>258</v>
      </c>
      <c r="H4485" s="634"/>
      <c r="I4485" s="635"/>
      <c r="J4485" s="639">
        <f t="shared" si="136"/>
        <v>0</v>
      </c>
      <c r="K4485" s="575"/>
      <c r="L4485" s="575"/>
      <c r="M4485" s="575"/>
      <c r="N4485" s="575"/>
      <c r="O4485" s="575"/>
      <c r="P4485" s="575"/>
      <c r="Q4485" s="575"/>
      <c r="R4485" s="575"/>
      <c r="S4485" s="575"/>
      <c r="T4485" s="575"/>
      <c r="U4485" s="575"/>
      <c r="V4485" s="575"/>
      <c r="W4485" s="575"/>
      <c r="X4485" s="575"/>
      <c r="Y4485" s="575"/>
    </row>
    <row r="4486" spans="1:25" s="88" customFormat="1" hidden="1">
      <c r="A4486" s="263"/>
      <c r="B4486" s="263"/>
      <c r="C4486" s="266"/>
      <c r="D4486" s="263"/>
      <c r="E4486" s="263"/>
      <c r="F4486" s="294" t="s">
        <v>259</v>
      </c>
      <c r="G4486" s="297" t="s">
        <v>260</v>
      </c>
      <c r="H4486" s="634"/>
      <c r="I4486" s="635"/>
      <c r="J4486" s="639">
        <f t="shared" si="136"/>
        <v>0</v>
      </c>
      <c r="K4486" s="575"/>
      <c r="L4486" s="575"/>
      <c r="M4486" s="575"/>
      <c r="N4486" s="575"/>
      <c r="O4486" s="575"/>
      <c r="P4486" s="575"/>
      <c r="Q4486" s="575"/>
      <c r="R4486" s="575"/>
      <c r="S4486" s="575"/>
      <c r="T4486" s="575"/>
      <c r="U4486" s="575"/>
      <c r="V4486" s="575"/>
      <c r="W4486" s="575"/>
      <c r="X4486" s="575"/>
      <c r="Y4486" s="575"/>
    </row>
    <row r="4487" spans="1:25" s="88" customFormat="1" ht="15.75" hidden="1" thickBot="1">
      <c r="A4487" s="263"/>
      <c r="B4487" s="263"/>
      <c r="C4487" s="266"/>
      <c r="D4487" s="263"/>
      <c r="E4487" s="263"/>
      <c r="F4487" s="294" t="s">
        <v>261</v>
      </c>
      <c r="G4487" s="297" t="s">
        <v>262</v>
      </c>
      <c r="H4487" s="638"/>
      <c r="I4487" s="639"/>
      <c r="J4487" s="639">
        <f t="shared" si="136"/>
        <v>0</v>
      </c>
      <c r="K4487" s="575"/>
      <c r="L4487" s="575"/>
      <c r="M4487" s="575"/>
      <c r="N4487" s="575"/>
      <c r="O4487" s="575"/>
      <c r="P4487" s="575"/>
      <c r="Q4487" s="575"/>
      <c r="R4487" s="575"/>
      <c r="S4487" s="575"/>
      <c r="T4487" s="575"/>
      <c r="U4487" s="575"/>
      <c r="V4487" s="575"/>
      <c r="W4487" s="575"/>
      <c r="X4487" s="575"/>
      <c r="Y4487" s="575"/>
    </row>
    <row r="4488" spans="1:25" s="88" customFormat="1" ht="15.75" thickBot="1">
      <c r="A4488" s="263"/>
      <c r="B4488" s="263"/>
      <c r="C4488" s="266"/>
      <c r="D4488" s="263"/>
      <c r="E4488" s="263"/>
      <c r="F4488" s="263"/>
      <c r="G4488" s="274" t="s">
        <v>4471</v>
      </c>
      <c r="H4488" s="640">
        <f>SUM(H4472:H4487)</f>
        <v>28950000</v>
      </c>
      <c r="I4488" s="641">
        <f>SUM(I4473:I4487)</f>
        <v>0</v>
      </c>
      <c r="J4488" s="641">
        <f>SUM(J4472:J4487)</f>
        <v>28950000</v>
      </c>
      <c r="K4488" s="575"/>
      <c r="L4488" s="575"/>
      <c r="M4488" s="575"/>
      <c r="N4488" s="575"/>
      <c r="O4488" s="575"/>
      <c r="P4488" s="575"/>
      <c r="Q4488" s="575"/>
      <c r="R4488" s="575"/>
      <c r="S4488" s="575"/>
      <c r="T4488" s="575"/>
      <c r="U4488" s="575"/>
      <c r="V4488" s="575"/>
      <c r="W4488" s="575"/>
      <c r="X4488" s="575"/>
      <c r="Y4488" s="575"/>
    </row>
    <row r="4489" spans="1:25" s="88" customFormat="1">
      <c r="A4489" s="263"/>
      <c r="B4489" s="263"/>
      <c r="C4489" s="266"/>
      <c r="D4489" s="263"/>
      <c r="E4489" s="559"/>
      <c r="F4489" s="570"/>
      <c r="G4489" s="295" t="s">
        <v>4452</v>
      </c>
      <c r="H4489" s="646"/>
      <c r="I4489" s="664"/>
      <c r="J4489" s="647"/>
      <c r="K4489" s="575"/>
      <c r="L4489" s="575"/>
      <c r="M4489" s="575"/>
      <c r="N4489" s="575"/>
      <c r="O4489" s="575"/>
      <c r="P4489" s="575"/>
      <c r="Q4489" s="575"/>
      <c r="R4489" s="575"/>
      <c r="S4489" s="575"/>
      <c r="T4489" s="575"/>
      <c r="U4489" s="575"/>
      <c r="V4489" s="575"/>
      <c r="W4489" s="575"/>
      <c r="X4489" s="575"/>
      <c r="Y4489" s="575"/>
    </row>
    <row r="4490" spans="1:25" s="88" customFormat="1" ht="15.75" thickBot="1">
      <c r="A4490" s="263"/>
      <c r="B4490" s="263"/>
      <c r="C4490" s="266"/>
      <c r="D4490" s="263"/>
      <c r="E4490" s="267"/>
      <c r="F4490" s="294" t="s">
        <v>234</v>
      </c>
      <c r="G4490" s="297" t="s">
        <v>235</v>
      </c>
      <c r="H4490" s="638">
        <f>SUM(H12632,H12533,H4472)</f>
        <v>28950000</v>
      </c>
      <c r="I4490" s="639"/>
      <c r="J4490" s="639">
        <f>SUM(H4490:I4490)</f>
        <v>28950000</v>
      </c>
      <c r="K4490" s="575"/>
      <c r="L4490" s="575"/>
      <c r="M4490" s="575"/>
      <c r="N4490" s="575"/>
      <c r="O4490" s="575"/>
      <c r="P4490" s="575"/>
      <c r="Q4490" s="575"/>
      <c r="R4490" s="575"/>
      <c r="S4490" s="575"/>
      <c r="T4490" s="575"/>
      <c r="U4490" s="575"/>
      <c r="V4490" s="575"/>
      <c r="W4490" s="575"/>
      <c r="X4490" s="575"/>
      <c r="Y4490" s="575"/>
    </row>
    <row r="4491" spans="1:25" s="88" customFormat="1" hidden="1">
      <c r="A4491" s="263"/>
      <c r="B4491" s="263"/>
      <c r="C4491" s="266"/>
      <c r="D4491" s="263"/>
      <c r="E4491" s="263"/>
      <c r="F4491" s="294" t="s">
        <v>236</v>
      </c>
      <c r="G4491" s="297" t="s">
        <v>237</v>
      </c>
      <c r="H4491" s="634"/>
      <c r="I4491" s="635"/>
      <c r="J4491" s="639">
        <f t="shared" ref="J4491:J4505" si="137">SUM(H4491:I4491)</f>
        <v>0</v>
      </c>
      <c r="K4491" s="575"/>
      <c r="L4491" s="575"/>
      <c r="M4491" s="575"/>
      <c r="N4491" s="575"/>
      <c r="O4491" s="575"/>
      <c r="P4491" s="575"/>
      <c r="Q4491" s="575"/>
      <c r="R4491" s="575"/>
      <c r="S4491" s="575"/>
      <c r="T4491" s="575"/>
      <c r="U4491" s="575"/>
      <c r="V4491" s="575"/>
      <c r="W4491" s="575"/>
      <c r="X4491" s="575"/>
      <c r="Y4491" s="575"/>
    </row>
    <row r="4492" spans="1:25" s="88" customFormat="1" hidden="1">
      <c r="A4492" s="263"/>
      <c r="B4492" s="263"/>
      <c r="C4492" s="266"/>
      <c r="D4492" s="263"/>
      <c r="E4492" s="263"/>
      <c r="F4492" s="294" t="s">
        <v>238</v>
      </c>
      <c r="G4492" s="297" t="s">
        <v>239</v>
      </c>
      <c r="H4492" s="634"/>
      <c r="I4492" s="635"/>
      <c r="J4492" s="639">
        <f t="shared" si="137"/>
        <v>0</v>
      </c>
      <c r="K4492" s="575"/>
      <c r="L4492" s="575"/>
      <c r="M4492" s="575"/>
      <c r="N4492" s="575"/>
      <c r="O4492" s="575"/>
      <c r="P4492" s="575"/>
      <c r="Q4492" s="575"/>
      <c r="R4492" s="575"/>
      <c r="S4492" s="575"/>
      <c r="T4492" s="575"/>
      <c r="U4492" s="575"/>
      <c r="V4492" s="575"/>
      <c r="W4492" s="575"/>
      <c r="X4492" s="575"/>
      <c r="Y4492" s="575"/>
    </row>
    <row r="4493" spans="1:25" s="88" customFormat="1" hidden="1">
      <c r="A4493" s="263"/>
      <c r="B4493" s="263"/>
      <c r="C4493" s="266"/>
      <c r="D4493" s="263"/>
      <c r="E4493" s="263"/>
      <c r="F4493" s="294" t="s">
        <v>240</v>
      </c>
      <c r="G4493" s="297" t="s">
        <v>241</v>
      </c>
      <c r="H4493" s="634"/>
      <c r="I4493" s="635"/>
      <c r="J4493" s="639">
        <f t="shared" si="137"/>
        <v>0</v>
      </c>
      <c r="K4493" s="575"/>
      <c r="L4493" s="575"/>
      <c r="M4493" s="575"/>
      <c r="N4493" s="575"/>
      <c r="O4493" s="575"/>
      <c r="P4493" s="575"/>
      <c r="Q4493" s="575"/>
      <c r="R4493" s="575"/>
      <c r="S4493" s="575"/>
      <c r="T4493" s="575"/>
      <c r="U4493" s="575"/>
      <c r="V4493" s="575"/>
      <c r="W4493" s="575"/>
      <c r="X4493" s="575"/>
      <c r="Y4493" s="575"/>
    </row>
    <row r="4494" spans="1:25" s="88" customFormat="1" hidden="1">
      <c r="A4494" s="263"/>
      <c r="B4494" s="263"/>
      <c r="C4494" s="266"/>
      <c r="D4494" s="263"/>
      <c r="E4494" s="263"/>
      <c r="F4494" s="294" t="s">
        <v>242</v>
      </c>
      <c r="G4494" s="297" t="s">
        <v>243</v>
      </c>
      <c r="H4494" s="634"/>
      <c r="I4494" s="635"/>
      <c r="J4494" s="639">
        <f t="shared" si="137"/>
        <v>0</v>
      </c>
      <c r="K4494" s="575"/>
      <c r="L4494" s="575"/>
      <c r="M4494" s="575"/>
      <c r="N4494" s="575"/>
      <c r="O4494" s="575"/>
      <c r="P4494" s="575"/>
      <c r="Q4494" s="575"/>
      <c r="R4494" s="575"/>
      <c r="S4494" s="575"/>
      <c r="T4494" s="575"/>
      <c r="U4494" s="575"/>
      <c r="V4494" s="575"/>
      <c r="W4494" s="575"/>
      <c r="X4494" s="575"/>
      <c r="Y4494" s="575"/>
    </row>
    <row r="4495" spans="1:25" s="88" customFormat="1" hidden="1">
      <c r="A4495" s="263"/>
      <c r="B4495" s="263"/>
      <c r="C4495" s="266"/>
      <c r="D4495" s="263"/>
      <c r="E4495" s="263"/>
      <c r="F4495" s="294" t="s">
        <v>244</v>
      </c>
      <c r="G4495" s="297" t="s">
        <v>245</v>
      </c>
      <c r="H4495" s="634"/>
      <c r="I4495" s="635"/>
      <c r="J4495" s="639">
        <f t="shared" si="137"/>
        <v>0</v>
      </c>
      <c r="K4495" s="575"/>
      <c r="L4495" s="575"/>
      <c r="M4495" s="575"/>
      <c r="N4495" s="575"/>
      <c r="O4495" s="575"/>
      <c r="P4495" s="575"/>
      <c r="Q4495" s="575"/>
      <c r="R4495" s="575"/>
      <c r="S4495" s="575"/>
      <c r="T4495" s="575"/>
      <c r="U4495" s="575"/>
      <c r="V4495" s="575"/>
      <c r="W4495" s="575"/>
      <c r="X4495" s="575"/>
      <c r="Y4495" s="575"/>
    </row>
    <row r="4496" spans="1:25" s="88" customFormat="1" hidden="1">
      <c r="A4496" s="263"/>
      <c r="B4496" s="263"/>
      <c r="C4496" s="266"/>
      <c r="D4496" s="263"/>
      <c r="E4496" s="263"/>
      <c r="F4496" s="294" t="s">
        <v>246</v>
      </c>
      <c r="G4496" s="683" t="s">
        <v>5121</v>
      </c>
      <c r="H4496" s="634"/>
      <c r="I4496" s="635"/>
      <c r="J4496" s="639">
        <f t="shared" si="137"/>
        <v>0</v>
      </c>
      <c r="K4496" s="575"/>
      <c r="L4496" s="575"/>
      <c r="M4496" s="575"/>
      <c r="N4496" s="575"/>
      <c r="O4496" s="575"/>
      <c r="P4496" s="575"/>
      <c r="Q4496" s="575"/>
      <c r="R4496" s="575"/>
      <c r="S4496" s="575"/>
      <c r="T4496" s="575"/>
      <c r="U4496" s="575"/>
      <c r="V4496" s="575"/>
      <c r="W4496" s="575"/>
      <c r="X4496" s="575"/>
      <c r="Y4496" s="575"/>
    </row>
    <row r="4497" spans="1:25" s="88" customFormat="1" hidden="1">
      <c r="A4497" s="263"/>
      <c r="B4497" s="263"/>
      <c r="C4497" s="266"/>
      <c r="D4497" s="263"/>
      <c r="E4497" s="263"/>
      <c r="F4497" s="294" t="s">
        <v>247</v>
      </c>
      <c r="G4497" s="683" t="s">
        <v>5120</v>
      </c>
      <c r="H4497" s="634"/>
      <c r="I4497" s="635"/>
      <c r="J4497" s="639">
        <f t="shared" si="137"/>
        <v>0</v>
      </c>
      <c r="K4497" s="575"/>
      <c r="L4497" s="575"/>
      <c r="M4497" s="575"/>
      <c r="N4497" s="575"/>
      <c r="O4497" s="575"/>
      <c r="P4497" s="575"/>
      <c r="Q4497" s="575"/>
      <c r="R4497" s="575"/>
      <c r="S4497" s="575"/>
      <c r="T4497" s="575"/>
      <c r="U4497" s="575"/>
      <c r="V4497" s="575"/>
      <c r="W4497" s="575"/>
      <c r="X4497" s="575"/>
      <c r="Y4497" s="575"/>
    </row>
    <row r="4498" spans="1:25" s="88" customFormat="1" hidden="1">
      <c r="A4498" s="263"/>
      <c r="B4498" s="263"/>
      <c r="C4498" s="266"/>
      <c r="D4498" s="263"/>
      <c r="E4498" s="263"/>
      <c r="F4498" s="294" t="s">
        <v>248</v>
      </c>
      <c r="G4498" s="297" t="s">
        <v>57</v>
      </c>
      <c r="H4498" s="634"/>
      <c r="I4498" s="635"/>
      <c r="J4498" s="639">
        <f t="shared" si="137"/>
        <v>0</v>
      </c>
      <c r="K4498" s="575"/>
      <c r="L4498" s="575"/>
      <c r="M4498" s="575"/>
      <c r="N4498" s="575"/>
      <c r="O4498" s="575"/>
      <c r="P4498" s="575"/>
      <c r="Q4498" s="575"/>
      <c r="R4498" s="575"/>
      <c r="S4498" s="575"/>
      <c r="T4498" s="575"/>
      <c r="U4498" s="575"/>
      <c r="V4498" s="575"/>
      <c r="W4498" s="575"/>
      <c r="X4498" s="575"/>
      <c r="Y4498" s="575"/>
    </row>
    <row r="4499" spans="1:25" s="88" customFormat="1" hidden="1">
      <c r="A4499" s="263"/>
      <c r="B4499" s="263"/>
      <c r="C4499" s="266"/>
      <c r="D4499" s="263"/>
      <c r="E4499" s="263"/>
      <c r="F4499" s="294" t="s">
        <v>249</v>
      </c>
      <c r="G4499" s="297" t="s">
        <v>250</v>
      </c>
      <c r="H4499" s="634"/>
      <c r="I4499" s="635"/>
      <c r="J4499" s="639">
        <f t="shared" si="137"/>
        <v>0</v>
      </c>
      <c r="K4499" s="575"/>
      <c r="L4499" s="575"/>
      <c r="M4499" s="575"/>
      <c r="N4499" s="575"/>
      <c r="O4499" s="575"/>
      <c r="P4499" s="575"/>
      <c r="Q4499" s="575"/>
      <c r="R4499" s="575"/>
      <c r="S4499" s="575"/>
      <c r="T4499" s="575"/>
      <c r="U4499" s="575"/>
      <c r="V4499" s="575"/>
      <c r="W4499" s="575"/>
      <c r="X4499" s="575"/>
      <c r="Y4499" s="575"/>
    </row>
    <row r="4500" spans="1:25" s="88" customFormat="1" hidden="1">
      <c r="A4500" s="263"/>
      <c r="B4500" s="263"/>
      <c r="C4500" s="266"/>
      <c r="D4500" s="263"/>
      <c r="E4500" s="263"/>
      <c r="F4500" s="294" t="s">
        <v>251</v>
      </c>
      <c r="G4500" s="297" t="s">
        <v>252</v>
      </c>
      <c r="H4500" s="634"/>
      <c r="I4500" s="635"/>
      <c r="J4500" s="639">
        <f t="shared" si="137"/>
        <v>0</v>
      </c>
      <c r="K4500" s="575"/>
      <c r="L4500" s="575"/>
      <c r="M4500" s="575"/>
      <c r="N4500" s="575"/>
      <c r="O4500" s="575"/>
      <c r="P4500" s="575"/>
      <c r="Q4500" s="575"/>
      <c r="R4500" s="575"/>
      <c r="S4500" s="575"/>
      <c r="T4500" s="575"/>
      <c r="U4500" s="575"/>
      <c r="V4500" s="575"/>
      <c r="W4500" s="575"/>
      <c r="X4500" s="575"/>
      <c r="Y4500" s="575"/>
    </row>
    <row r="4501" spans="1:25" s="88" customFormat="1" hidden="1">
      <c r="A4501" s="263"/>
      <c r="B4501" s="263"/>
      <c r="C4501" s="266"/>
      <c r="D4501" s="263"/>
      <c r="E4501" s="263"/>
      <c r="F4501" s="294" t="s">
        <v>253</v>
      </c>
      <c r="G4501" s="297" t="s">
        <v>254</v>
      </c>
      <c r="H4501" s="634"/>
      <c r="I4501" s="635"/>
      <c r="J4501" s="639">
        <f t="shared" si="137"/>
        <v>0</v>
      </c>
      <c r="K4501" s="575"/>
      <c r="L4501" s="575"/>
      <c r="M4501" s="575"/>
      <c r="N4501" s="575"/>
      <c r="O4501" s="575"/>
      <c r="P4501" s="575"/>
      <c r="Q4501" s="575"/>
      <c r="R4501" s="575"/>
      <c r="S4501" s="575"/>
      <c r="T4501" s="575"/>
      <c r="U4501" s="575"/>
      <c r="V4501" s="575"/>
      <c r="W4501" s="575"/>
      <c r="X4501" s="575"/>
      <c r="Y4501" s="575"/>
    </row>
    <row r="4502" spans="1:25" s="88" customFormat="1" hidden="1">
      <c r="A4502" s="263"/>
      <c r="B4502" s="263"/>
      <c r="C4502" s="266"/>
      <c r="D4502" s="263"/>
      <c r="E4502" s="263"/>
      <c r="F4502" s="294" t="s">
        <v>255</v>
      </c>
      <c r="G4502" s="297" t="s">
        <v>256</v>
      </c>
      <c r="H4502" s="634"/>
      <c r="I4502" s="635"/>
      <c r="J4502" s="639">
        <f t="shared" si="137"/>
        <v>0</v>
      </c>
      <c r="K4502" s="575"/>
      <c r="L4502" s="575"/>
      <c r="M4502" s="575"/>
      <c r="N4502" s="575"/>
      <c r="O4502" s="575"/>
      <c r="P4502" s="575"/>
      <c r="Q4502" s="575"/>
      <c r="R4502" s="575"/>
      <c r="S4502" s="575"/>
      <c r="T4502" s="575"/>
      <c r="U4502" s="575"/>
      <c r="V4502" s="575"/>
      <c r="W4502" s="575"/>
      <c r="X4502" s="575"/>
      <c r="Y4502" s="575"/>
    </row>
    <row r="4503" spans="1:25" s="88" customFormat="1" hidden="1">
      <c r="A4503" s="263"/>
      <c r="B4503" s="263"/>
      <c r="C4503" s="266"/>
      <c r="D4503" s="263"/>
      <c r="E4503" s="263"/>
      <c r="F4503" s="294" t="s">
        <v>257</v>
      </c>
      <c r="G4503" s="297" t="s">
        <v>258</v>
      </c>
      <c r="H4503" s="634"/>
      <c r="I4503" s="635"/>
      <c r="J4503" s="639">
        <f t="shared" si="137"/>
        <v>0</v>
      </c>
      <c r="K4503" s="575"/>
      <c r="L4503" s="575"/>
      <c r="M4503" s="575"/>
      <c r="N4503" s="575"/>
      <c r="O4503" s="575"/>
      <c r="P4503" s="575"/>
      <c r="Q4503" s="575"/>
      <c r="R4503" s="575"/>
      <c r="S4503" s="575"/>
      <c r="T4503" s="575"/>
      <c r="U4503" s="575"/>
      <c r="V4503" s="575"/>
      <c r="W4503" s="575"/>
      <c r="X4503" s="575"/>
      <c r="Y4503" s="575"/>
    </row>
    <row r="4504" spans="1:25" s="88" customFormat="1" hidden="1">
      <c r="A4504" s="263"/>
      <c r="B4504" s="263"/>
      <c r="C4504" s="266"/>
      <c r="D4504" s="263"/>
      <c r="E4504" s="263"/>
      <c r="F4504" s="294" t="s">
        <v>259</v>
      </c>
      <c r="G4504" s="297" t="s">
        <v>260</v>
      </c>
      <c r="H4504" s="634"/>
      <c r="I4504" s="635"/>
      <c r="J4504" s="639">
        <f t="shared" si="137"/>
        <v>0</v>
      </c>
      <c r="K4504" s="575"/>
      <c r="L4504" s="575"/>
      <c r="M4504" s="575"/>
      <c r="N4504" s="575"/>
      <c r="O4504" s="575"/>
      <c r="P4504" s="575"/>
      <c r="Q4504" s="575"/>
      <c r="R4504" s="575"/>
      <c r="S4504" s="575"/>
      <c r="T4504" s="575"/>
      <c r="U4504" s="575"/>
      <c r="V4504" s="575"/>
      <c r="W4504" s="575"/>
      <c r="X4504" s="575"/>
      <c r="Y4504" s="575"/>
    </row>
    <row r="4505" spans="1:25" s="88" customFormat="1" ht="15.75" hidden="1" thickBot="1">
      <c r="A4505" s="263"/>
      <c r="B4505" s="263"/>
      <c r="C4505" s="266"/>
      <c r="D4505" s="263"/>
      <c r="E4505" s="263"/>
      <c r="F4505" s="294" t="s">
        <v>261</v>
      </c>
      <c r="G4505" s="297" t="s">
        <v>262</v>
      </c>
      <c r="H4505" s="638"/>
      <c r="I4505" s="639"/>
      <c r="J4505" s="639">
        <f t="shared" si="137"/>
        <v>0</v>
      </c>
      <c r="K4505" s="575"/>
      <c r="L4505" s="575"/>
      <c r="M4505" s="575"/>
      <c r="N4505" s="575"/>
      <c r="O4505" s="575"/>
      <c r="P4505" s="575"/>
      <c r="Q4505" s="575"/>
      <c r="R4505" s="575"/>
      <c r="S4505" s="575"/>
      <c r="T4505" s="575"/>
      <c r="U4505" s="575"/>
      <c r="V4505" s="575"/>
      <c r="W4505" s="575"/>
      <c r="X4505" s="575"/>
      <c r="Y4505" s="575"/>
    </row>
    <row r="4506" spans="1:25" s="88" customFormat="1" ht="15.75" thickBot="1">
      <c r="A4506" s="263"/>
      <c r="B4506" s="263"/>
      <c r="C4506" s="266"/>
      <c r="D4506" s="263"/>
      <c r="E4506" s="263"/>
      <c r="F4506" s="263"/>
      <c r="G4506" s="274" t="s">
        <v>4453</v>
      </c>
      <c r="H4506" s="640">
        <f>SUM(H4490:H4505)</f>
        <v>28950000</v>
      </c>
      <c r="I4506" s="641">
        <f>SUM(I4491:I4505)</f>
        <v>0</v>
      </c>
      <c r="J4506" s="641">
        <f>SUM(J4490:J4505)</f>
        <v>28950000</v>
      </c>
      <c r="K4506" s="575"/>
      <c r="L4506" s="575"/>
      <c r="M4506" s="575"/>
      <c r="N4506" s="575"/>
      <c r="O4506" s="575"/>
      <c r="P4506" s="575"/>
      <c r="Q4506" s="575"/>
      <c r="R4506" s="575"/>
      <c r="S4506" s="575"/>
      <c r="T4506" s="575"/>
      <c r="U4506" s="575"/>
      <c r="V4506" s="575"/>
      <c r="W4506" s="575"/>
      <c r="X4506" s="575"/>
      <c r="Y4506" s="575"/>
    </row>
    <row r="4507" spans="1:25" s="88" customFormat="1" hidden="1">
      <c r="A4507" s="263"/>
      <c r="B4507" s="263"/>
      <c r="C4507" s="266"/>
      <c r="D4507" s="263"/>
      <c r="E4507" s="263"/>
      <c r="F4507" s="263"/>
      <c r="G4507" s="331"/>
      <c r="H4507" s="644"/>
      <c r="I4507" s="645"/>
      <c r="J4507" s="645"/>
      <c r="K4507" s="575"/>
      <c r="L4507" s="575"/>
      <c r="M4507" s="575"/>
      <c r="N4507" s="575"/>
      <c r="O4507" s="575"/>
      <c r="P4507" s="575"/>
      <c r="Q4507" s="575"/>
      <c r="R4507" s="575"/>
      <c r="S4507" s="575"/>
      <c r="T4507" s="575"/>
      <c r="U4507" s="575"/>
      <c r="V4507" s="575"/>
      <c r="W4507" s="575"/>
      <c r="X4507" s="575"/>
      <c r="Y4507" s="575"/>
    </row>
    <row r="4508" spans="1:25" s="88" customFormat="1" hidden="1">
      <c r="A4508" s="263"/>
      <c r="B4508" s="263"/>
      <c r="C4508" s="266"/>
      <c r="D4508" s="263"/>
      <c r="E4508" s="263"/>
      <c r="F4508" s="263"/>
      <c r="G4508" s="331"/>
      <c r="H4508" s="644"/>
      <c r="I4508" s="645"/>
      <c r="J4508" s="645"/>
      <c r="K4508" s="575"/>
      <c r="L4508" s="575"/>
      <c r="M4508" s="575"/>
      <c r="N4508" s="575"/>
      <c r="O4508" s="575"/>
      <c r="P4508" s="575"/>
      <c r="Q4508" s="575"/>
      <c r="R4508" s="575"/>
      <c r="S4508" s="575"/>
      <c r="T4508" s="575"/>
      <c r="U4508" s="575"/>
      <c r="V4508" s="575"/>
      <c r="W4508" s="575"/>
      <c r="X4508" s="575"/>
      <c r="Y4508" s="575"/>
    </row>
    <row r="4509" spans="1:25" s="88" customFormat="1" hidden="1">
      <c r="A4509" s="263"/>
      <c r="B4509" s="263"/>
      <c r="C4509" s="266"/>
      <c r="D4509" s="263"/>
      <c r="E4509" s="263"/>
      <c r="F4509" s="263"/>
      <c r="G4509" s="331"/>
      <c r="H4509" s="644"/>
      <c r="I4509" s="645"/>
      <c r="J4509" s="645"/>
      <c r="K4509" s="575"/>
      <c r="L4509" s="575"/>
      <c r="M4509" s="575"/>
      <c r="N4509" s="575"/>
      <c r="O4509" s="575"/>
      <c r="P4509" s="575"/>
      <c r="Q4509" s="575"/>
      <c r="R4509" s="575"/>
      <c r="S4509" s="575"/>
      <c r="T4509" s="575"/>
      <c r="U4509" s="575"/>
      <c r="V4509" s="575"/>
      <c r="W4509" s="575"/>
      <c r="X4509" s="575"/>
      <c r="Y4509" s="575"/>
    </row>
    <row r="4510" spans="1:25" s="88" customFormat="1" hidden="1">
      <c r="A4510" s="263"/>
      <c r="B4510" s="263"/>
      <c r="C4510" s="266"/>
      <c r="D4510" s="263"/>
      <c r="E4510" s="263"/>
      <c r="F4510" s="263"/>
      <c r="G4510" s="331"/>
      <c r="H4510" s="644"/>
      <c r="I4510" s="645"/>
      <c r="J4510" s="645"/>
      <c r="K4510" s="575"/>
      <c r="L4510" s="575"/>
      <c r="M4510" s="575"/>
      <c r="N4510" s="575"/>
      <c r="O4510" s="575"/>
      <c r="P4510" s="575"/>
      <c r="Q4510" s="575"/>
      <c r="R4510" s="575"/>
      <c r="S4510" s="575"/>
      <c r="T4510" s="575"/>
      <c r="U4510" s="575"/>
      <c r="V4510" s="575"/>
      <c r="W4510" s="575"/>
      <c r="X4510" s="575"/>
      <c r="Y4510" s="575"/>
    </row>
    <row r="4511" spans="1:25" s="88" customFormat="1" hidden="1">
      <c r="A4511" s="263"/>
      <c r="B4511" s="263"/>
      <c r="C4511" s="266"/>
      <c r="D4511" s="263"/>
      <c r="E4511" s="263"/>
      <c r="F4511" s="263"/>
      <c r="G4511" s="331"/>
      <c r="H4511" s="644"/>
      <c r="I4511" s="645"/>
      <c r="J4511" s="645"/>
      <c r="K4511" s="575"/>
      <c r="L4511" s="575"/>
      <c r="M4511" s="575"/>
      <c r="N4511" s="575"/>
      <c r="O4511" s="575"/>
      <c r="P4511" s="575"/>
      <c r="Q4511" s="575"/>
      <c r="R4511" s="575"/>
      <c r="S4511" s="575"/>
      <c r="T4511" s="575"/>
      <c r="U4511" s="575"/>
      <c r="V4511" s="575"/>
      <c r="W4511" s="575"/>
      <c r="X4511" s="575"/>
      <c r="Y4511" s="575"/>
    </row>
    <row r="4512" spans="1:25" s="88" customFormat="1" hidden="1">
      <c r="A4512" s="263"/>
      <c r="B4512" s="263"/>
      <c r="C4512" s="266"/>
      <c r="D4512" s="263"/>
      <c r="E4512" s="263"/>
      <c r="F4512" s="263"/>
      <c r="G4512" s="331"/>
      <c r="H4512" s="644"/>
      <c r="I4512" s="645"/>
      <c r="J4512" s="645"/>
      <c r="K4512" s="575"/>
      <c r="L4512" s="575"/>
      <c r="M4512" s="575"/>
      <c r="N4512" s="575"/>
      <c r="O4512" s="575"/>
      <c r="P4512" s="575"/>
      <c r="Q4512" s="575"/>
      <c r="R4512" s="575"/>
      <c r="S4512" s="575"/>
      <c r="T4512" s="575"/>
      <c r="U4512" s="575"/>
      <c r="V4512" s="575"/>
      <c r="W4512" s="575"/>
      <c r="X4512" s="575"/>
      <c r="Y4512" s="575"/>
    </row>
    <row r="4513" spans="1:25" s="88" customFormat="1" hidden="1">
      <c r="A4513" s="263"/>
      <c r="B4513" s="263"/>
      <c r="C4513" s="266"/>
      <c r="D4513" s="263"/>
      <c r="E4513" s="263"/>
      <c r="F4513" s="263"/>
      <c r="G4513" s="331"/>
      <c r="H4513" s="644"/>
      <c r="I4513" s="645"/>
      <c r="J4513" s="645"/>
      <c r="K4513" s="575"/>
      <c r="L4513" s="575"/>
      <c r="M4513" s="575"/>
      <c r="N4513" s="575"/>
      <c r="O4513" s="575"/>
      <c r="P4513" s="575"/>
      <c r="Q4513" s="575"/>
      <c r="R4513" s="575"/>
      <c r="S4513" s="575"/>
      <c r="T4513" s="575"/>
      <c r="U4513" s="575"/>
      <c r="V4513" s="575"/>
      <c r="W4513" s="575"/>
      <c r="X4513" s="575"/>
      <c r="Y4513" s="575"/>
    </row>
    <row r="4514" spans="1:25" s="88" customFormat="1" hidden="1">
      <c r="A4514" s="263"/>
      <c r="B4514" s="263"/>
      <c r="C4514" s="266"/>
      <c r="D4514" s="263"/>
      <c r="E4514" s="263"/>
      <c r="F4514" s="263"/>
      <c r="G4514" s="331"/>
      <c r="H4514" s="644"/>
      <c r="I4514" s="645"/>
      <c r="J4514" s="645"/>
      <c r="K4514" s="575"/>
      <c r="L4514" s="575"/>
      <c r="M4514" s="575"/>
      <c r="N4514" s="575"/>
      <c r="O4514" s="575"/>
      <c r="P4514" s="575"/>
      <c r="Q4514" s="575"/>
      <c r="R4514" s="575"/>
      <c r="S4514" s="575"/>
      <c r="T4514" s="575"/>
      <c r="U4514" s="575"/>
      <c r="V4514" s="575"/>
      <c r="W4514" s="575"/>
      <c r="X4514" s="575"/>
      <c r="Y4514" s="575"/>
    </row>
    <row r="4515" spans="1:25" s="88" customFormat="1" hidden="1">
      <c r="A4515" s="263"/>
      <c r="B4515" s="263"/>
      <c r="C4515" s="266"/>
      <c r="D4515" s="263"/>
      <c r="E4515" s="263"/>
      <c r="F4515" s="263"/>
      <c r="G4515" s="331"/>
      <c r="H4515" s="644"/>
      <c r="I4515" s="645"/>
      <c r="J4515" s="645"/>
      <c r="K4515" s="575"/>
      <c r="L4515" s="575"/>
      <c r="M4515" s="575"/>
      <c r="N4515" s="575"/>
      <c r="O4515" s="575"/>
      <c r="P4515" s="575"/>
      <c r="Q4515" s="575"/>
      <c r="R4515" s="575"/>
      <c r="S4515" s="575"/>
      <c r="T4515" s="575"/>
      <c r="U4515" s="575"/>
      <c r="V4515" s="575"/>
      <c r="W4515" s="575"/>
      <c r="X4515" s="575"/>
      <c r="Y4515" s="575"/>
    </row>
    <row r="4516" spans="1:25" s="88" customFormat="1" hidden="1">
      <c r="A4516" s="263"/>
      <c r="B4516" s="263"/>
      <c r="C4516" s="266"/>
      <c r="D4516" s="263"/>
      <c r="E4516" s="263"/>
      <c r="F4516" s="263"/>
      <c r="G4516" s="331"/>
      <c r="H4516" s="644"/>
      <c r="I4516" s="645"/>
      <c r="J4516" s="645"/>
      <c r="K4516" s="575"/>
      <c r="L4516" s="575"/>
      <c r="M4516" s="575"/>
      <c r="N4516" s="575"/>
      <c r="O4516" s="575"/>
      <c r="P4516" s="575"/>
      <c r="Q4516" s="575"/>
      <c r="R4516" s="575"/>
      <c r="S4516" s="575"/>
      <c r="T4516" s="575"/>
      <c r="U4516" s="575"/>
      <c r="V4516" s="575"/>
      <c r="W4516" s="575"/>
      <c r="X4516" s="575"/>
      <c r="Y4516" s="575"/>
    </row>
    <row r="4517" spans="1:25" s="88" customFormat="1" hidden="1">
      <c r="A4517" s="263"/>
      <c r="B4517" s="263"/>
      <c r="C4517" s="266"/>
      <c r="D4517" s="263"/>
      <c r="E4517" s="263"/>
      <c r="F4517" s="263"/>
      <c r="G4517" s="331"/>
      <c r="H4517" s="644"/>
      <c r="I4517" s="645"/>
      <c r="J4517" s="645"/>
      <c r="K4517" s="575"/>
      <c r="L4517" s="575"/>
      <c r="M4517" s="575"/>
      <c r="N4517" s="575"/>
      <c r="O4517" s="575"/>
      <c r="P4517" s="575"/>
      <c r="Q4517" s="575"/>
      <c r="R4517" s="575"/>
      <c r="S4517" s="575"/>
      <c r="T4517" s="575"/>
      <c r="U4517" s="575"/>
      <c r="V4517" s="575"/>
      <c r="W4517" s="575"/>
      <c r="X4517" s="575"/>
      <c r="Y4517" s="575"/>
    </row>
    <row r="4518" spans="1:25" s="88" customFormat="1" hidden="1">
      <c r="A4518" s="263"/>
      <c r="B4518" s="263"/>
      <c r="C4518" s="266"/>
      <c r="D4518" s="263"/>
      <c r="E4518" s="263"/>
      <c r="F4518" s="263"/>
      <c r="G4518" s="331"/>
      <c r="H4518" s="644"/>
      <c r="I4518" s="645"/>
      <c r="J4518" s="645"/>
      <c r="K4518" s="575"/>
      <c r="L4518" s="575"/>
      <c r="M4518" s="575"/>
      <c r="N4518" s="575"/>
      <c r="O4518" s="575"/>
      <c r="P4518" s="575"/>
      <c r="Q4518" s="575"/>
      <c r="R4518" s="575"/>
      <c r="S4518" s="575"/>
      <c r="T4518" s="575"/>
      <c r="U4518" s="575"/>
      <c r="V4518" s="575"/>
      <c r="W4518" s="575"/>
      <c r="X4518" s="575"/>
      <c r="Y4518" s="575"/>
    </row>
    <row r="4519" spans="1:25" s="88" customFormat="1" hidden="1">
      <c r="A4519" s="263"/>
      <c r="B4519" s="263"/>
      <c r="C4519" s="266"/>
      <c r="D4519" s="263"/>
      <c r="E4519" s="263"/>
      <c r="F4519" s="263"/>
      <c r="G4519" s="331"/>
      <c r="H4519" s="644"/>
      <c r="I4519" s="645"/>
      <c r="J4519" s="645"/>
      <c r="K4519" s="575"/>
      <c r="L4519" s="575"/>
      <c r="M4519" s="575"/>
      <c r="N4519" s="575"/>
      <c r="O4519" s="575"/>
      <c r="P4519" s="575"/>
      <c r="Q4519" s="575"/>
      <c r="R4519" s="575"/>
      <c r="S4519" s="575"/>
      <c r="T4519" s="575"/>
      <c r="U4519" s="575"/>
      <c r="V4519" s="575"/>
      <c r="W4519" s="575"/>
      <c r="X4519" s="575"/>
      <c r="Y4519" s="575"/>
    </row>
    <row r="4520" spans="1:25" s="88" customFormat="1" hidden="1">
      <c r="A4520" s="263"/>
      <c r="B4520" s="263"/>
      <c r="C4520" s="266"/>
      <c r="D4520" s="263"/>
      <c r="E4520" s="263"/>
      <c r="F4520" s="263"/>
      <c r="G4520" s="331"/>
      <c r="H4520" s="644"/>
      <c r="I4520" s="645"/>
      <c r="J4520" s="645"/>
      <c r="K4520" s="575"/>
      <c r="L4520" s="575"/>
      <c r="M4520" s="575"/>
      <c r="N4520" s="575"/>
      <c r="O4520" s="575"/>
      <c r="P4520" s="575"/>
      <c r="Q4520" s="575"/>
      <c r="R4520" s="575"/>
      <c r="S4520" s="575"/>
      <c r="T4520" s="575"/>
      <c r="U4520" s="575"/>
      <c r="V4520" s="575"/>
      <c r="W4520" s="575"/>
      <c r="X4520" s="575"/>
      <c r="Y4520" s="575"/>
    </row>
    <row r="4521" spans="1:25" s="88" customFormat="1" hidden="1">
      <c r="A4521" s="263"/>
      <c r="B4521" s="263"/>
      <c r="C4521" s="266"/>
      <c r="D4521" s="263"/>
      <c r="E4521" s="263"/>
      <c r="F4521" s="263"/>
      <c r="G4521" s="331"/>
      <c r="H4521" s="644"/>
      <c r="I4521" s="645"/>
      <c r="J4521" s="645"/>
      <c r="K4521" s="575"/>
      <c r="L4521" s="575"/>
      <c r="M4521" s="575"/>
      <c r="N4521" s="575"/>
      <c r="O4521" s="575"/>
      <c r="P4521" s="575"/>
      <c r="Q4521" s="575"/>
      <c r="R4521" s="575"/>
      <c r="S4521" s="575"/>
      <c r="T4521" s="575"/>
      <c r="U4521" s="575"/>
      <c r="V4521" s="575"/>
      <c r="W4521" s="575"/>
      <c r="X4521" s="575"/>
      <c r="Y4521" s="575"/>
    </row>
    <row r="4522" spans="1:25" s="88" customFormat="1" hidden="1">
      <c r="A4522" s="263"/>
      <c r="B4522" s="263"/>
      <c r="C4522" s="266"/>
      <c r="D4522" s="263"/>
      <c r="E4522" s="263"/>
      <c r="F4522" s="263"/>
      <c r="G4522" s="331"/>
      <c r="H4522" s="644"/>
      <c r="I4522" s="645"/>
      <c r="J4522" s="645"/>
      <c r="K4522" s="575"/>
      <c r="L4522" s="575"/>
      <c r="M4522" s="575"/>
      <c r="N4522" s="575"/>
      <c r="O4522" s="575"/>
      <c r="P4522" s="575"/>
      <c r="Q4522" s="575"/>
      <c r="R4522" s="575"/>
      <c r="S4522" s="575"/>
      <c r="T4522" s="575"/>
      <c r="U4522" s="575"/>
      <c r="V4522" s="575"/>
      <c r="W4522" s="575"/>
      <c r="X4522" s="575"/>
      <c r="Y4522" s="575"/>
    </row>
    <row r="4523" spans="1:25" s="88" customFormat="1" hidden="1">
      <c r="A4523" s="263"/>
      <c r="B4523" s="263"/>
      <c r="C4523" s="266"/>
      <c r="D4523" s="263"/>
      <c r="E4523" s="263"/>
      <c r="F4523" s="263"/>
      <c r="G4523" s="331"/>
      <c r="H4523" s="644"/>
      <c r="I4523" s="645"/>
      <c r="J4523" s="645"/>
      <c r="K4523" s="575"/>
      <c r="L4523" s="575"/>
      <c r="M4523" s="575"/>
      <c r="N4523" s="575"/>
      <c r="O4523" s="575"/>
      <c r="P4523" s="575"/>
      <c r="Q4523" s="575"/>
      <c r="R4523" s="575"/>
      <c r="S4523" s="575"/>
      <c r="T4523" s="575"/>
      <c r="U4523" s="575"/>
      <c r="V4523" s="575"/>
      <c r="W4523" s="575"/>
      <c r="X4523" s="575"/>
      <c r="Y4523" s="575"/>
    </row>
    <row r="4524" spans="1:25" s="88" customFormat="1" hidden="1">
      <c r="A4524" s="263"/>
      <c r="B4524" s="263"/>
      <c r="C4524" s="266"/>
      <c r="D4524" s="263"/>
      <c r="E4524" s="263"/>
      <c r="F4524" s="263"/>
      <c r="G4524" s="331"/>
      <c r="H4524" s="644"/>
      <c r="I4524" s="645"/>
      <c r="J4524" s="645"/>
      <c r="K4524" s="575"/>
      <c r="L4524" s="575"/>
      <c r="M4524" s="575"/>
      <c r="N4524" s="575"/>
      <c r="O4524" s="575"/>
      <c r="P4524" s="575"/>
      <c r="Q4524" s="575"/>
      <c r="R4524" s="575"/>
      <c r="S4524" s="575"/>
      <c r="T4524" s="575"/>
      <c r="U4524" s="575"/>
      <c r="V4524" s="575"/>
      <c r="W4524" s="575"/>
      <c r="X4524" s="575"/>
      <c r="Y4524" s="575"/>
    </row>
    <row r="4525" spans="1:25" s="88" customFormat="1" hidden="1">
      <c r="A4525" s="263"/>
      <c r="B4525" s="263"/>
      <c r="C4525" s="266"/>
      <c r="D4525" s="263"/>
      <c r="E4525" s="263"/>
      <c r="F4525" s="263"/>
      <c r="G4525" s="331"/>
      <c r="H4525" s="644"/>
      <c r="I4525" s="645"/>
      <c r="J4525" s="645"/>
      <c r="K4525" s="575"/>
      <c r="L4525" s="575"/>
      <c r="M4525" s="575"/>
      <c r="N4525" s="575"/>
      <c r="O4525" s="575"/>
      <c r="P4525" s="575"/>
      <c r="Q4525" s="575"/>
      <c r="R4525" s="575"/>
      <c r="S4525" s="575"/>
      <c r="T4525" s="575"/>
      <c r="U4525" s="575"/>
      <c r="V4525" s="575"/>
      <c r="W4525" s="575"/>
      <c r="X4525" s="575"/>
      <c r="Y4525" s="575"/>
    </row>
    <row r="4526" spans="1:25" s="88" customFormat="1" hidden="1">
      <c r="A4526" s="263"/>
      <c r="B4526" s="263"/>
      <c r="C4526" s="266"/>
      <c r="D4526" s="263"/>
      <c r="E4526" s="263"/>
      <c r="F4526" s="263"/>
      <c r="G4526" s="331"/>
      <c r="H4526" s="644"/>
      <c r="I4526" s="645"/>
      <c r="J4526" s="645"/>
      <c r="K4526" s="575"/>
      <c r="L4526" s="575"/>
      <c r="M4526" s="575"/>
      <c r="N4526" s="575"/>
      <c r="O4526" s="575"/>
      <c r="P4526" s="575"/>
      <c r="Q4526" s="575"/>
      <c r="R4526" s="575"/>
      <c r="S4526" s="575"/>
      <c r="T4526" s="575"/>
      <c r="U4526" s="575"/>
      <c r="V4526" s="575"/>
      <c r="W4526" s="575"/>
      <c r="X4526" s="575"/>
      <c r="Y4526" s="575"/>
    </row>
    <row r="4527" spans="1:25" s="88" customFormat="1" hidden="1">
      <c r="A4527" s="263"/>
      <c r="B4527" s="263"/>
      <c r="C4527" s="266"/>
      <c r="D4527" s="263"/>
      <c r="E4527" s="263"/>
      <c r="F4527" s="263"/>
      <c r="G4527" s="331"/>
      <c r="H4527" s="644"/>
      <c r="I4527" s="645"/>
      <c r="J4527" s="645"/>
      <c r="K4527" s="575"/>
      <c r="L4527" s="575"/>
      <c r="M4527" s="575"/>
      <c r="N4527" s="575"/>
      <c r="O4527" s="575"/>
      <c r="P4527" s="575"/>
      <c r="Q4527" s="575"/>
      <c r="R4527" s="575"/>
      <c r="S4527" s="575"/>
      <c r="T4527" s="575"/>
      <c r="U4527" s="575"/>
      <c r="V4527" s="575"/>
      <c r="W4527" s="575"/>
      <c r="X4527" s="575"/>
      <c r="Y4527" s="575"/>
    </row>
    <row r="4528" spans="1:25" s="88" customFormat="1" hidden="1">
      <c r="A4528" s="263"/>
      <c r="B4528" s="263"/>
      <c r="C4528" s="266"/>
      <c r="D4528" s="263"/>
      <c r="E4528" s="263"/>
      <c r="F4528" s="263"/>
      <c r="G4528" s="331"/>
      <c r="H4528" s="644"/>
      <c r="I4528" s="645"/>
      <c r="J4528" s="645"/>
      <c r="K4528" s="575"/>
      <c r="L4528" s="575"/>
      <c r="M4528" s="575"/>
      <c r="N4528" s="575"/>
      <c r="O4528" s="575"/>
      <c r="P4528" s="575"/>
      <c r="Q4528" s="575"/>
      <c r="R4528" s="575"/>
      <c r="S4528" s="575"/>
      <c r="T4528" s="575"/>
      <c r="U4528" s="575"/>
      <c r="V4528" s="575"/>
      <c r="W4528" s="575"/>
      <c r="X4528" s="575"/>
      <c r="Y4528" s="575"/>
    </row>
    <row r="4529" spans="1:25" s="88" customFormat="1" hidden="1">
      <c r="A4529" s="263"/>
      <c r="B4529" s="263"/>
      <c r="C4529" s="266"/>
      <c r="D4529" s="263"/>
      <c r="E4529" s="263"/>
      <c r="F4529" s="263"/>
      <c r="G4529" s="331"/>
      <c r="H4529" s="644"/>
      <c r="I4529" s="645"/>
      <c r="J4529" s="645"/>
      <c r="K4529" s="575"/>
      <c r="L4529" s="575"/>
      <c r="M4529" s="575"/>
      <c r="N4529" s="575"/>
      <c r="O4529" s="575"/>
      <c r="P4529" s="575"/>
      <c r="Q4529" s="575"/>
      <c r="R4529" s="575"/>
      <c r="S4529" s="575"/>
      <c r="T4529" s="575"/>
      <c r="U4529" s="575"/>
      <c r="V4529" s="575"/>
      <c r="W4529" s="575"/>
      <c r="X4529" s="575"/>
      <c r="Y4529" s="575"/>
    </row>
    <row r="4530" spans="1:25" s="88" customFormat="1" hidden="1">
      <c r="A4530" s="263"/>
      <c r="B4530" s="263"/>
      <c r="C4530" s="266"/>
      <c r="D4530" s="263"/>
      <c r="E4530" s="263"/>
      <c r="F4530" s="263"/>
      <c r="G4530" s="331"/>
      <c r="H4530" s="644"/>
      <c r="I4530" s="645"/>
      <c r="J4530" s="645"/>
      <c r="K4530" s="575"/>
      <c r="L4530" s="575"/>
      <c r="M4530" s="575"/>
      <c r="N4530" s="575"/>
      <c r="O4530" s="575"/>
      <c r="P4530" s="575"/>
      <c r="Q4530" s="575"/>
      <c r="R4530" s="575"/>
      <c r="S4530" s="575"/>
      <c r="T4530" s="575"/>
      <c r="U4530" s="575"/>
      <c r="V4530" s="575"/>
      <c r="W4530" s="575"/>
      <c r="X4530" s="575"/>
      <c r="Y4530" s="575"/>
    </row>
    <row r="4531" spans="1:25" s="88" customFormat="1" hidden="1">
      <c r="A4531" s="263"/>
      <c r="B4531" s="263"/>
      <c r="C4531" s="266"/>
      <c r="D4531" s="263"/>
      <c r="E4531" s="263"/>
      <c r="F4531" s="263"/>
      <c r="G4531" s="331"/>
      <c r="H4531" s="644"/>
      <c r="I4531" s="645"/>
      <c r="J4531" s="645"/>
      <c r="K4531" s="575"/>
      <c r="L4531" s="575"/>
      <c r="M4531" s="575"/>
      <c r="N4531" s="575"/>
      <c r="O4531" s="575"/>
      <c r="P4531" s="575"/>
      <c r="Q4531" s="575"/>
      <c r="R4531" s="575"/>
      <c r="S4531" s="575"/>
      <c r="T4531" s="575"/>
      <c r="U4531" s="575"/>
      <c r="V4531" s="575"/>
      <c r="W4531" s="575"/>
      <c r="X4531" s="575"/>
      <c r="Y4531" s="575"/>
    </row>
    <row r="4532" spans="1:25" s="88" customFormat="1" hidden="1">
      <c r="A4532" s="263"/>
      <c r="B4532" s="263"/>
      <c r="C4532" s="266"/>
      <c r="D4532" s="263"/>
      <c r="E4532" s="263"/>
      <c r="F4532" s="263"/>
      <c r="G4532" s="331"/>
      <c r="H4532" s="644"/>
      <c r="I4532" s="645"/>
      <c r="J4532" s="645"/>
      <c r="K4532" s="575"/>
      <c r="L4532" s="575"/>
      <c r="M4532" s="575"/>
      <c r="N4532" s="575"/>
      <c r="O4532" s="575"/>
      <c r="P4532" s="575"/>
      <c r="Q4532" s="575"/>
      <c r="R4532" s="575"/>
      <c r="S4532" s="575"/>
      <c r="T4532" s="575"/>
      <c r="U4532" s="575"/>
      <c r="V4532" s="575"/>
      <c r="W4532" s="575"/>
      <c r="X4532" s="575"/>
      <c r="Y4532" s="575"/>
    </row>
    <row r="4533" spans="1:25" s="88" customFormat="1" hidden="1">
      <c r="A4533" s="263"/>
      <c r="B4533" s="263"/>
      <c r="C4533" s="266"/>
      <c r="D4533" s="263"/>
      <c r="E4533" s="263"/>
      <c r="F4533" s="263"/>
      <c r="G4533" s="331"/>
      <c r="H4533" s="644"/>
      <c r="I4533" s="645"/>
      <c r="J4533" s="645"/>
      <c r="K4533" s="575"/>
      <c r="L4533" s="575"/>
      <c r="M4533" s="575"/>
      <c r="N4533" s="575"/>
      <c r="O4533" s="575"/>
      <c r="P4533" s="575"/>
      <c r="Q4533" s="575"/>
      <c r="R4533" s="575"/>
      <c r="S4533" s="575"/>
      <c r="T4533" s="575"/>
      <c r="U4533" s="575"/>
      <c r="V4533" s="575"/>
      <c r="W4533" s="575"/>
      <c r="X4533" s="575"/>
      <c r="Y4533" s="575"/>
    </row>
    <row r="4534" spans="1:25" s="88" customFormat="1" hidden="1">
      <c r="A4534" s="263"/>
      <c r="B4534" s="263"/>
      <c r="C4534" s="266"/>
      <c r="D4534" s="263"/>
      <c r="E4534" s="263"/>
      <c r="F4534" s="263"/>
      <c r="G4534" s="331"/>
      <c r="H4534" s="644"/>
      <c r="I4534" s="645"/>
      <c r="J4534" s="645"/>
      <c r="K4534" s="575"/>
      <c r="L4534" s="575"/>
      <c r="M4534" s="575"/>
      <c r="N4534" s="575"/>
      <c r="O4534" s="575"/>
      <c r="P4534" s="575"/>
      <c r="Q4534" s="575"/>
      <c r="R4534" s="575"/>
      <c r="S4534" s="575"/>
      <c r="T4534" s="575"/>
      <c r="U4534" s="575"/>
      <c r="V4534" s="575"/>
      <c r="W4534" s="575"/>
      <c r="X4534" s="575"/>
      <c r="Y4534" s="575"/>
    </row>
    <row r="4535" spans="1:25" s="88" customFormat="1" hidden="1">
      <c r="A4535" s="263"/>
      <c r="B4535" s="263"/>
      <c r="C4535" s="266"/>
      <c r="D4535" s="263"/>
      <c r="E4535" s="263"/>
      <c r="F4535" s="263"/>
      <c r="G4535" s="331"/>
      <c r="H4535" s="644"/>
      <c r="I4535" s="645"/>
      <c r="J4535" s="645"/>
      <c r="K4535" s="575"/>
      <c r="L4535" s="575"/>
      <c r="M4535" s="575"/>
      <c r="N4535" s="575"/>
      <c r="O4535" s="575"/>
      <c r="P4535" s="575"/>
      <c r="Q4535" s="575"/>
      <c r="R4535" s="575"/>
      <c r="S4535" s="575"/>
      <c r="T4535" s="575"/>
      <c r="U4535" s="575"/>
      <c r="V4535" s="575"/>
      <c r="W4535" s="575"/>
      <c r="X4535" s="575"/>
      <c r="Y4535" s="575"/>
    </row>
    <row r="4536" spans="1:25" s="88" customFormat="1" hidden="1">
      <c r="A4536" s="263"/>
      <c r="B4536" s="263"/>
      <c r="C4536" s="266"/>
      <c r="D4536" s="263"/>
      <c r="E4536" s="263"/>
      <c r="F4536" s="263"/>
      <c r="G4536" s="331"/>
      <c r="H4536" s="644"/>
      <c r="I4536" s="645"/>
      <c r="J4536" s="645"/>
      <c r="K4536" s="575"/>
      <c r="L4536" s="575"/>
      <c r="M4536" s="575"/>
      <c r="N4536" s="575"/>
      <c r="O4536" s="575"/>
      <c r="P4536" s="575"/>
      <c r="Q4536" s="575"/>
      <c r="R4536" s="575"/>
      <c r="S4536" s="575"/>
      <c r="T4536" s="575"/>
      <c r="U4536" s="575"/>
      <c r="V4536" s="575"/>
      <c r="W4536" s="575"/>
      <c r="X4536" s="575"/>
      <c r="Y4536" s="575"/>
    </row>
    <row r="4537" spans="1:25" s="88" customFormat="1" hidden="1">
      <c r="A4537" s="263"/>
      <c r="B4537" s="263"/>
      <c r="C4537" s="266"/>
      <c r="D4537" s="263"/>
      <c r="E4537" s="263"/>
      <c r="F4537" s="263"/>
      <c r="G4537" s="331"/>
      <c r="H4537" s="644"/>
      <c r="I4537" s="645"/>
      <c r="J4537" s="645"/>
      <c r="K4537" s="575"/>
      <c r="L4537" s="575"/>
      <c r="M4537" s="575"/>
      <c r="N4537" s="575"/>
      <c r="O4537" s="575"/>
      <c r="P4537" s="575"/>
      <c r="Q4537" s="575"/>
      <c r="R4537" s="575"/>
      <c r="S4537" s="575"/>
      <c r="T4537" s="575"/>
      <c r="U4537" s="575"/>
      <c r="V4537" s="575"/>
      <c r="W4537" s="575"/>
      <c r="X4537" s="575"/>
      <c r="Y4537" s="575"/>
    </row>
    <row r="4538" spans="1:25" s="88" customFormat="1" hidden="1">
      <c r="A4538" s="263"/>
      <c r="B4538" s="263"/>
      <c r="C4538" s="266"/>
      <c r="D4538" s="263"/>
      <c r="E4538" s="263"/>
      <c r="F4538" s="263"/>
      <c r="G4538" s="331"/>
      <c r="H4538" s="644"/>
      <c r="I4538" s="645"/>
      <c r="J4538" s="645"/>
      <c r="K4538" s="575"/>
      <c r="L4538" s="575"/>
      <c r="M4538" s="575"/>
      <c r="N4538" s="575"/>
      <c r="O4538" s="575"/>
      <c r="P4538" s="575"/>
      <c r="Q4538" s="575"/>
      <c r="R4538" s="575"/>
      <c r="S4538" s="575"/>
      <c r="T4538" s="575"/>
      <c r="U4538" s="575"/>
      <c r="V4538" s="575"/>
      <c r="W4538" s="575"/>
      <c r="X4538" s="575"/>
      <c r="Y4538" s="575"/>
    </row>
    <row r="4539" spans="1:25" s="88" customFormat="1" hidden="1">
      <c r="A4539" s="263"/>
      <c r="B4539" s="263"/>
      <c r="C4539" s="266"/>
      <c r="D4539" s="263"/>
      <c r="E4539" s="263"/>
      <c r="F4539" s="263"/>
      <c r="G4539" s="331"/>
      <c r="H4539" s="644"/>
      <c r="I4539" s="645"/>
      <c r="J4539" s="645"/>
      <c r="K4539" s="575"/>
      <c r="L4539" s="575"/>
      <c r="M4539" s="575"/>
      <c r="N4539" s="575"/>
      <c r="O4539" s="575"/>
      <c r="P4539" s="575"/>
      <c r="Q4539" s="575"/>
      <c r="R4539" s="575"/>
      <c r="S4539" s="575"/>
      <c r="T4539" s="575"/>
      <c r="U4539" s="575"/>
      <c r="V4539" s="575"/>
      <c r="W4539" s="575"/>
      <c r="X4539" s="575"/>
      <c r="Y4539" s="575"/>
    </row>
    <row r="4540" spans="1:25" s="88" customFormat="1" hidden="1">
      <c r="A4540" s="263"/>
      <c r="B4540" s="263"/>
      <c r="C4540" s="266"/>
      <c r="D4540" s="263"/>
      <c r="E4540" s="263"/>
      <c r="F4540" s="263"/>
      <c r="G4540" s="331"/>
      <c r="H4540" s="644"/>
      <c r="I4540" s="645"/>
      <c r="J4540" s="645"/>
      <c r="K4540" s="575"/>
      <c r="L4540" s="575"/>
      <c r="M4540" s="575"/>
      <c r="N4540" s="575"/>
      <c r="O4540" s="575"/>
      <c r="P4540" s="575"/>
      <c r="Q4540" s="575"/>
      <c r="R4540" s="575"/>
      <c r="S4540" s="575"/>
      <c r="T4540" s="575"/>
      <c r="U4540" s="575"/>
      <c r="V4540" s="575"/>
      <c r="W4540" s="575"/>
      <c r="X4540" s="575"/>
      <c r="Y4540" s="575"/>
    </row>
    <row r="4541" spans="1:25" s="88" customFormat="1" hidden="1">
      <c r="A4541" s="263"/>
      <c r="B4541" s="263"/>
      <c r="C4541" s="266"/>
      <c r="D4541" s="263"/>
      <c r="E4541" s="263"/>
      <c r="F4541" s="263"/>
      <c r="G4541" s="331"/>
      <c r="H4541" s="644"/>
      <c r="I4541" s="645"/>
      <c r="J4541" s="645"/>
      <c r="K4541" s="575"/>
      <c r="L4541" s="575"/>
      <c r="M4541" s="575"/>
      <c r="N4541" s="575"/>
      <c r="O4541" s="575"/>
      <c r="P4541" s="575"/>
      <c r="Q4541" s="575"/>
      <c r="R4541" s="575"/>
      <c r="S4541" s="575"/>
      <c r="T4541" s="575"/>
      <c r="U4541" s="575"/>
      <c r="V4541" s="575"/>
      <c r="W4541" s="575"/>
      <c r="X4541" s="575"/>
      <c r="Y4541" s="575"/>
    </row>
    <row r="4542" spans="1:25" s="88" customFormat="1" hidden="1">
      <c r="A4542" s="263"/>
      <c r="B4542" s="263"/>
      <c r="C4542" s="266"/>
      <c r="D4542" s="263"/>
      <c r="E4542" s="263"/>
      <c r="F4542" s="263"/>
      <c r="G4542" s="331"/>
      <c r="H4542" s="644"/>
      <c r="I4542" s="645"/>
      <c r="J4542" s="645"/>
      <c r="K4542" s="575"/>
      <c r="L4542" s="575"/>
      <c r="M4542" s="575"/>
      <c r="N4542" s="575"/>
      <c r="O4542" s="575"/>
      <c r="P4542" s="575"/>
      <c r="Q4542" s="575"/>
      <c r="R4542" s="575"/>
      <c r="S4542" s="575"/>
      <c r="T4542" s="575"/>
      <c r="U4542" s="575"/>
      <c r="V4542" s="575"/>
      <c r="W4542" s="575"/>
      <c r="X4542" s="575"/>
      <c r="Y4542" s="575"/>
    </row>
    <row r="4543" spans="1:25" s="88" customFormat="1" hidden="1">
      <c r="A4543" s="263"/>
      <c r="B4543" s="263"/>
      <c r="C4543" s="266"/>
      <c r="D4543" s="263"/>
      <c r="E4543" s="263"/>
      <c r="F4543" s="263"/>
      <c r="G4543" s="331"/>
      <c r="H4543" s="644"/>
      <c r="I4543" s="645"/>
      <c r="J4543" s="645"/>
      <c r="K4543" s="575"/>
      <c r="L4543" s="575"/>
      <c r="M4543" s="575"/>
      <c r="N4543" s="575"/>
      <c r="O4543" s="575"/>
      <c r="P4543" s="575"/>
      <c r="Q4543" s="575"/>
      <c r="R4543" s="575"/>
      <c r="S4543" s="575"/>
      <c r="T4543" s="575"/>
      <c r="U4543" s="575"/>
      <c r="V4543" s="575"/>
      <c r="W4543" s="575"/>
      <c r="X4543" s="575"/>
      <c r="Y4543" s="575"/>
    </row>
    <row r="4544" spans="1:25" s="88" customFormat="1" hidden="1">
      <c r="A4544" s="263"/>
      <c r="B4544" s="263"/>
      <c r="C4544" s="266"/>
      <c r="D4544" s="263"/>
      <c r="E4544" s="263"/>
      <c r="F4544" s="263"/>
      <c r="G4544" s="331"/>
      <c r="H4544" s="644"/>
      <c r="I4544" s="645"/>
      <c r="J4544" s="645"/>
      <c r="K4544" s="575"/>
      <c r="L4544" s="575"/>
      <c r="M4544" s="575"/>
      <c r="N4544" s="575"/>
      <c r="O4544" s="575"/>
      <c r="P4544" s="575"/>
      <c r="Q4544" s="575"/>
      <c r="R4544" s="575"/>
      <c r="S4544" s="575"/>
      <c r="T4544" s="575"/>
      <c r="U4544" s="575"/>
      <c r="V4544" s="575"/>
      <c r="W4544" s="575"/>
      <c r="X4544" s="575"/>
      <c r="Y4544" s="575"/>
    </row>
    <row r="4545" spans="1:25" s="88" customFormat="1" hidden="1">
      <c r="A4545" s="263"/>
      <c r="B4545" s="263"/>
      <c r="C4545" s="266"/>
      <c r="D4545" s="263"/>
      <c r="E4545" s="263"/>
      <c r="F4545" s="263"/>
      <c r="G4545" s="331"/>
      <c r="H4545" s="644"/>
      <c r="I4545" s="645"/>
      <c r="J4545" s="645"/>
      <c r="K4545" s="575"/>
      <c r="L4545" s="575"/>
      <c r="M4545" s="575"/>
      <c r="N4545" s="575"/>
      <c r="O4545" s="575"/>
      <c r="P4545" s="575"/>
      <c r="Q4545" s="575"/>
      <c r="R4545" s="575"/>
      <c r="S4545" s="575"/>
      <c r="T4545" s="575"/>
      <c r="U4545" s="575"/>
      <c r="V4545" s="575"/>
      <c r="W4545" s="575"/>
      <c r="X4545" s="575"/>
      <c r="Y4545" s="575"/>
    </row>
    <row r="4546" spans="1:25" s="88" customFormat="1" hidden="1">
      <c r="A4546" s="263"/>
      <c r="B4546" s="263"/>
      <c r="C4546" s="266"/>
      <c r="D4546" s="263"/>
      <c r="E4546" s="263"/>
      <c r="F4546" s="263"/>
      <c r="G4546" s="331"/>
      <c r="H4546" s="644"/>
      <c r="I4546" s="645"/>
      <c r="J4546" s="645"/>
      <c r="K4546" s="575"/>
      <c r="L4546" s="575"/>
      <c r="M4546" s="575"/>
      <c r="N4546" s="575"/>
      <c r="O4546" s="575"/>
      <c r="P4546" s="575"/>
      <c r="Q4546" s="575"/>
      <c r="R4546" s="575"/>
      <c r="S4546" s="575"/>
      <c r="T4546" s="575"/>
      <c r="U4546" s="575"/>
      <c r="V4546" s="575"/>
      <c r="W4546" s="575"/>
      <c r="X4546" s="575"/>
      <c r="Y4546" s="575"/>
    </row>
    <row r="4547" spans="1:25" s="88" customFormat="1" hidden="1">
      <c r="A4547" s="263"/>
      <c r="B4547" s="263"/>
      <c r="C4547" s="266"/>
      <c r="D4547" s="263"/>
      <c r="E4547" s="263"/>
      <c r="F4547" s="263"/>
      <c r="G4547" s="331"/>
      <c r="H4547" s="644"/>
      <c r="I4547" s="645"/>
      <c r="J4547" s="645"/>
      <c r="K4547" s="575"/>
      <c r="L4547" s="575"/>
      <c r="M4547" s="575"/>
      <c r="N4547" s="575"/>
      <c r="O4547" s="575"/>
      <c r="P4547" s="575"/>
      <c r="Q4547" s="575"/>
      <c r="R4547" s="575"/>
      <c r="S4547" s="575"/>
      <c r="T4547" s="575"/>
      <c r="U4547" s="575"/>
      <c r="V4547" s="575"/>
      <c r="W4547" s="575"/>
      <c r="X4547" s="575"/>
      <c r="Y4547" s="575"/>
    </row>
    <row r="4548" spans="1:25" s="88" customFormat="1" hidden="1">
      <c r="A4548" s="263"/>
      <c r="B4548" s="263"/>
      <c r="C4548" s="266"/>
      <c r="D4548" s="263"/>
      <c r="E4548" s="263"/>
      <c r="F4548" s="263"/>
      <c r="G4548" s="331"/>
      <c r="H4548" s="644"/>
      <c r="I4548" s="645"/>
      <c r="J4548" s="645"/>
      <c r="K4548" s="575"/>
      <c r="L4548" s="575"/>
      <c r="M4548" s="575"/>
      <c r="N4548" s="575"/>
      <c r="O4548" s="575"/>
      <c r="P4548" s="575"/>
      <c r="Q4548" s="575"/>
      <c r="R4548" s="575"/>
      <c r="S4548" s="575"/>
      <c r="T4548" s="575"/>
      <c r="U4548" s="575"/>
      <c r="V4548" s="575"/>
      <c r="W4548" s="575"/>
      <c r="X4548" s="575"/>
      <c r="Y4548" s="575"/>
    </row>
    <row r="4549" spans="1:25" s="88" customFormat="1" ht="0.75" customHeight="1">
      <c r="A4549" s="263"/>
      <c r="B4549" s="263"/>
      <c r="C4549" s="266"/>
      <c r="D4549" s="263"/>
      <c r="E4549" s="263"/>
      <c r="F4549" s="263"/>
      <c r="G4549" s="331"/>
      <c r="H4549" s="644"/>
      <c r="I4549" s="645"/>
      <c r="J4549" s="645"/>
      <c r="K4549" s="575"/>
      <c r="L4549" s="575"/>
      <c r="M4549" s="575"/>
      <c r="N4549" s="575"/>
      <c r="O4549" s="575"/>
      <c r="P4549" s="575"/>
      <c r="Q4549" s="575"/>
      <c r="R4549" s="575"/>
      <c r="S4549" s="575"/>
      <c r="T4549" s="575"/>
      <c r="U4549" s="575"/>
      <c r="V4549" s="575"/>
      <c r="W4549" s="575"/>
      <c r="X4549" s="575"/>
      <c r="Y4549" s="575"/>
    </row>
    <row r="4550" spans="1:25" s="88" customFormat="1">
      <c r="A4550" s="324"/>
      <c r="B4550" s="529"/>
      <c r="C4550" s="324"/>
      <c r="D4550" s="326"/>
      <c r="E4550" s="327"/>
      <c r="F4550" s="327"/>
      <c r="G4550" s="328" t="s">
        <v>5218</v>
      </c>
      <c r="H4550" s="669"/>
      <c r="I4550" s="670"/>
      <c r="J4550" s="633"/>
      <c r="K4550" s="575"/>
      <c r="L4550" s="575"/>
      <c r="M4550" s="575"/>
      <c r="N4550" s="575"/>
      <c r="O4550" s="575"/>
      <c r="P4550" s="575"/>
      <c r="Q4550" s="575"/>
      <c r="R4550" s="575"/>
      <c r="S4550" s="575"/>
      <c r="T4550" s="575"/>
      <c r="U4550" s="575"/>
      <c r="V4550" s="575"/>
      <c r="W4550" s="575"/>
      <c r="X4550" s="575"/>
      <c r="Y4550" s="575"/>
    </row>
    <row r="4551" spans="1:25" s="88" customFormat="1">
      <c r="A4551" s="263"/>
      <c r="B4551" s="263"/>
      <c r="C4551" s="273" t="s">
        <v>3585</v>
      </c>
      <c r="D4551" s="263"/>
      <c r="E4551" s="263"/>
      <c r="F4551" s="263"/>
      <c r="G4551" s="560" t="s">
        <v>4340</v>
      </c>
      <c r="H4551" s="634"/>
      <c r="I4551" s="635"/>
      <c r="J4551" s="635"/>
      <c r="K4551" s="575"/>
      <c r="L4551" s="575"/>
      <c r="M4551" s="575"/>
      <c r="N4551" s="575"/>
      <c r="O4551" s="575"/>
      <c r="P4551" s="575"/>
      <c r="Q4551" s="575"/>
      <c r="R4551" s="575"/>
      <c r="S4551" s="575"/>
      <c r="T4551" s="575"/>
      <c r="U4551" s="575"/>
      <c r="V4551" s="575"/>
      <c r="W4551" s="575"/>
      <c r="X4551" s="575"/>
      <c r="Y4551" s="575"/>
    </row>
    <row r="4552" spans="1:25" s="88" customFormat="1">
      <c r="A4552" s="263"/>
      <c r="B4552" s="263"/>
      <c r="C4552" s="273" t="s">
        <v>4341</v>
      </c>
      <c r="D4552" s="264"/>
      <c r="E4552" s="263"/>
      <c r="F4552" s="263"/>
      <c r="G4552" s="560" t="s">
        <v>4111</v>
      </c>
      <c r="H4552" s="634"/>
      <c r="I4552" s="635"/>
      <c r="J4552" s="635"/>
      <c r="K4552" s="575"/>
      <c r="L4552" s="575"/>
      <c r="M4552" s="575"/>
      <c r="N4552" s="575"/>
      <c r="O4552" s="575"/>
      <c r="P4552" s="575"/>
      <c r="Q4552" s="575"/>
      <c r="R4552" s="575"/>
      <c r="S4552" s="575"/>
      <c r="T4552" s="575"/>
      <c r="U4552" s="575"/>
      <c r="V4552" s="575"/>
      <c r="W4552" s="575"/>
      <c r="X4552" s="575"/>
      <c r="Y4552" s="575"/>
    </row>
    <row r="4553" spans="1:25" s="88" customFormat="1">
      <c r="A4553" s="263"/>
      <c r="B4553" s="263"/>
      <c r="C4553" s="273"/>
      <c r="D4553" s="357">
        <v>920</v>
      </c>
      <c r="E4553" s="357"/>
      <c r="F4553" s="357"/>
      <c r="G4553" s="358" t="s">
        <v>220</v>
      </c>
      <c r="H4553" s="634"/>
      <c r="I4553" s="635"/>
      <c r="J4553" s="635"/>
      <c r="K4553" s="575"/>
      <c r="L4553" s="575"/>
      <c r="M4553" s="575"/>
      <c r="N4553" s="575"/>
      <c r="O4553" s="575"/>
      <c r="P4553" s="575"/>
      <c r="Q4553" s="575"/>
      <c r="R4553" s="575"/>
      <c r="S4553" s="575"/>
      <c r="T4553" s="575"/>
      <c r="U4553" s="575"/>
      <c r="V4553" s="575"/>
      <c r="W4553" s="575"/>
      <c r="X4553" s="575"/>
      <c r="Y4553" s="575"/>
    </row>
    <row r="4554" spans="1:25" s="88" customFormat="1" hidden="1">
      <c r="A4554" s="263"/>
      <c r="B4554" s="263"/>
      <c r="C4554" s="266"/>
      <c r="D4554" s="263"/>
      <c r="E4554" s="263"/>
      <c r="F4554" s="569">
        <v>411</v>
      </c>
      <c r="G4554" s="562" t="s">
        <v>4173</v>
      </c>
      <c r="H4554" s="634"/>
      <c r="I4554" s="635"/>
      <c r="J4554" s="635">
        <f>SUM(H4554:I4554)</f>
        <v>0</v>
      </c>
      <c r="K4554" s="575"/>
      <c r="L4554" s="575"/>
      <c r="M4554" s="575"/>
      <c r="N4554" s="575"/>
      <c r="O4554" s="575"/>
      <c r="P4554" s="575"/>
      <c r="Q4554" s="575"/>
      <c r="R4554" s="575"/>
      <c r="S4554" s="575"/>
      <c r="T4554" s="575"/>
      <c r="U4554" s="575"/>
      <c r="V4554" s="575"/>
      <c r="W4554" s="575"/>
      <c r="X4554" s="575"/>
      <c r="Y4554" s="575"/>
    </row>
    <row r="4555" spans="1:25" s="88" customFormat="1" hidden="1">
      <c r="A4555" s="263"/>
      <c r="B4555" s="263"/>
      <c r="C4555" s="266"/>
      <c r="D4555" s="263"/>
      <c r="E4555" s="263"/>
      <c r="F4555" s="569">
        <v>412</v>
      </c>
      <c r="G4555" s="558" t="s">
        <v>3770</v>
      </c>
      <c r="H4555" s="634"/>
      <c r="I4555" s="635"/>
      <c r="J4555" s="635">
        <f t="shared" ref="J4555:J4613" si="138">SUM(H4555:I4555)</f>
        <v>0</v>
      </c>
      <c r="K4555" s="575"/>
      <c r="L4555" s="575"/>
      <c r="M4555" s="575"/>
      <c r="N4555" s="575"/>
      <c r="O4555" s="575"/>
      <c r="P4555" s="575"/>
      <c r="Q4555" s="575"/>
      <c r="R4555" s="575"/>
      <c r="S4555" s="575"/>
      <c r="T4555" s="575"/>
      <c r="U4555" s="575"/>
      <c r="V4555" s="575"/>
      <c r="W4555" s="575"/>
      <c r="X4555" s="575"/>
      <c r="Y4555" s="575"/>
    </row>
    <row r="4556" spans="1:25" s="88" customFormat="1" hidden="1">
      <c r="A4556" s="263"/>
      <c r="B4556" s="263"/>
      <c r="C4556" s="266"/>
      <c r="D4556" s="263"/>
      <c r="E4556" s="263"/>
      <c r="F4556" s="569">
        <v>413</v>
      </c>
      <c r="G4556" s="562" t="s">
        <v>4174</v>
      </c>
      <c r="H4556" s="634"/>
      <c r="I4556" s="635"/>
      <c r="J4556" s="635">
        <f t="shared" si="138"/>
        <v>0</v>
      </c>
      <c r="K4556" s="575"/>
      <c r="L4556" s="575"/>
      <c r="M4556" s="575"/>
      <c r="N4556" s="575"/>
      <c r="O4556" s="575"/>
      <c r="P4556" s="575"/>
      <c r="Q4556" s="575"/>
      <c r="R4556" s="575"/>
      <c r="S4556" s="575"/>
      <c r="T4556" s="575"/>
      <c r="U4556" s="575"/>
      <c r="V4556" s="575"/>
      <c r="W4556" s="575"/>
      <c r="X4556" s="575"/>
      <c r="Y4556" s="575"/>
    </row>
    <row r="4557" spans="1:25" s="88" customFormat="1" hidden="1">
      <c r="A4557" s="263"/>
      <c r="B4557" s="263"/>
      <c r="C4557" s="266"/>
      <c r="D4557" s="263"/>
      <c r="E4557" s="263"/>
      <c r="F4557" s="569">
        <v>414</v>
      </c>
      <c r="G4557" s="562" t="s">
        <v>3773</v>
      </c>
      <c r="H4557" s="634"/>
      <c r="I4557" s="635"/>
      <c r="J4557" s="635">
        <f t="shared" si="138"/>
        <v>0</v>
      </c>
      <c r="K4557" s="575"/>
      <c r="L4557" s="575"/>
      <c r="M4557" s="575"/>
      <c r="N4557" s="575"/>
      <c r="O4557" s="575"/>
      <c r="P4557" s="575"/>
      <c r="Q4557" s="575"/>
      <c r="R4557" s="575"/>
      <c r="S4557" s="575"/>
      <c r="T4557" s="575"/>
      <c r="U4557" s="575"/>
      <c r="V4557" s="575"/>
      <c r="W4557" s="575"/>
      <c r="X4557" s="575"/>
      <c r="Y4557" s="575"/>
    </row>
    <row r="4558" spans="1:25" s="88" customFormat="1" hidden="1">
      <c r="A4558" s="263"/>
      <c r="B4558" s="263"/>
      <c r="C4558" s="266"/>
      <c r="D4558" s="263"/>
      <c r="E4558" s="263"/>
      <c r="F4558" s="569">
        <v>415</v>
      </c>
      <c r="G4558" s="562" t="s">
        <v>4183</v>
      </c>
      <c r="H4558" s="634"/>
      <c r="I4558" s="635"/>
      <c r="J4558" s="635">
        <f t="shared" si="138"/>
        <v>0</v>
      </c>
      <c r="K4558" s="575"/>
      <c r="L4558" s="575"/>
      <c r="M4558" s="575"/>
      <c r="N4558" s="575"/>
      <c r="O4558" s="575"/>
      <c r="P4558" s="575"/>
      <c r="Q4558" s="575"/>
      <c r="R4558" s="575"/>
      <c r="S4558" s="575"/>
      <c r="T4558" s="575"/>
      <c r="U4558" s="575"/>
      <c r="V4558" s="575"/>
      <c r="W4558" s="575"/>
      <c r="X4558" s="575"/>
      <c r="Y4558" s="575"/>
    </row>
    <row r="4559" spans="1:25" s="88" customFormat="1" hidden="1">
      <c r="A4559" s="263"/>
      <c r="B4559" s="263"/>
      <c r="C4559" s="266"/>
      <c r="D4559" s="263"/>
      <c r="E4559" s="263"/>
      <c r="F4559" s="569">
        <v>416</v>
      </c>
      <c r="G4559" s="562" t="s">
        <v>4184</v>
      </c>
      <c r="H4559" s="634"/>
      <c r="I4559" s="635"/>
      <c r="J4559" s="635">
        <f t="shared" si="138"/>
        <v>0</v>
      </c>
      <c r="K4559" s="575"/>
      <c r="L4559" s="575"/>
      <c r="M4559" s="575"/>
      <c r="N4559" s="575"/>
      <c r="O4559" s="575"/>
      <c r="P4559" s="575"/>
      <c r="Q4559" s="575"/>
      <c r="R4559" s="575"/>
      <c r="S4559" s="575"/>
      <c r="T4559" s="575"/>
      <c r="U4559" s="575"/>
      <c r="V4559" s="575"/>
      <c r="W4559" s="575"/>
      <c r="X4559" s="575"/>
      <c r="Y4559" s="575"/>
    </row>
    <row r="4560" spans="1:25" s="88" customFormat="1" hidden="1">
      <c r="A4560" s="263"/>
      <c r="B4560" s="263"/>
      <c r="C4560" s="266"/>
      <c r="D4560" s="263"/>
      <c r="E4560" s="263"/>
      <c r="F4560" s="569">
        <v>417</v>
      </c>
      <c r="G4560" s="562" t="s">
        <v>4185</v>
      </c>
      <c r="H4560" s="634"/>
      <c r="I4560" s="635"/>
      <c r="J4560" s="635">
        <f t="shared" si="138"/>
        <v>0</v>
      </c>
      <c r="K4560" s="575"/>
      <c r="L4560" s="575"/>
      <c r="M4560" s="575"/>
      <c r="N4560" s="575"/>
      <c r="O4560" s="575"/>
      <c r="P4560" s="575"/>
      <c r="Q4560" s="575"/>
      <c r="R4560" s="575"/>
      <c r="S4560" s="575"/>
      <c r="T4560" s="575"/>
      <c r="U4560" s="575"/>
      <c r="V4560" s="575"/>
      <c r="W4560" s="575"/>
      <c r="X4560" s="575"/>
      <c r="Y4560" s="575"/>
    </row>
    <row r="4561" spans="1:25" s="88" customFormat="1" hidden="1">
      <c r="A4561" s="263"/>
      <c r="B4561" s="263"/>
      <c r="C4561" s="266"/>
      <c r="D4561" s="263"/>
      <c r="E4561" s="263"/>
      <c r="F4561" s="569">
        <v>418</v>
      </c>
      <c r="G4561" s="562" t="s">
        <v>3779</v>
      </c>
      <c r="H4561" s="634"/>
      <c r="I4561" s="635"/>
      <c r="J4561" s="635">
        <f t="shared" si="138"/>
        <v>0</v>
      </c>
      <c r="K4561" s="575"/>
      <c r="L4561" s="575"/>
      <c r="M4561" s="575"/>
      <c r="N4561" s="575"/>
      <c r="O4561" s="575"/>
      <c r="P4561" s="575"/>
      <c r="Q4561" s="575"/>
      <c r="R4561" s="575"/>
      <c r="S4561" s="575"/>
      <c r="T4561" s="575"/>
      <c r="U4561" s="575"/>
      <c r="V4561" s="575"/>
      <c r="W4561" s="575"/>
      <c r="X4561" s="575"/>
      <c r="Y4561" s="575"/>
    </row>
    <row r="4562" spans="1:25" s="88" customFormat="1" hidden="1">
      <c r="A4562" s="263"/>
      <c r="B4562" s="263"/>
      <c r="C4562" s="266"/>
      <c r="D4562" s="263"/>
      <c r="E4562" s="263"/>
      <c r="F4562" s="569">
        <v>421</v>
      </c>
      <c r="G4562" s="562" t="s">
        <v>3783</v>
      </c>
      <c r="H4562" s="634"/>
      <c r="I4562" s="635"/>
      <c r="J4562" s="635">
        <f t="shared" si="138"/>
        <v>0</v>
      </c>
      <c r="K4562" s="575"/>
      <c r="L4562" s="575"/>
      <c r="M4562" s="575"/>
      <c r="N4562" s="575"/>
      <c r="O4562" s="575"/>
      <c r="P4562" s="575"/>
      <c r="Q4562" s="575"/>
      <c r="R4562" s="575"/>
      <c r="S4562" s="575"/>
      <c r="T4562" s="575"/>
      <c r="U4562" s="575"/>
      <c r="V4562" s="575"/>
      <c r="W4562" s="575"/>
      <c r="X4562" s="575"/>
      <c r="Y4562" s="575"/>
    </row>
    <row r="4563" spans="1:25" s="88" customFormat="1" hidden="1">
      <c r="A4563" s="263"/>
      <c r="B4563" s="263"/>
      <c r="C4563" s="266"/>
      <c r="D4563" s="263"/>
      <c r="E4563" s="263"/>
      <c r="F4563" s="569">
        <v>422</v>
      </c>
      <c r="G4563" s="562" t="s">
        <v>3784</v>
      </c>
      <c r="H4563" s="634"/>
      <c r="I4563" s="635"/>
      <c r="J4563" s="635">
        <f t="shared" si="138"/>
        <v>0</v>
      </c>
      <c r="K4563" s="575"/>
      <c r="L4563" s="575"/>
      <c r="M4563" s="575"/>
      <c r="N4563" s="575"/>
      <c r="O4563" s="575"/>
      <c r="P4563" s="575"/>
      <c r="Q4563" s="575"/>
      <c r="R4563" s="575"/>
      <c r="S4563" s="575"/>
      <c r="T4563" s="575"/>
      <c r="U4563" s="575"/>
      <c r="V4563" s="575"/>
      <c r="W4563" s="575"/>
      <c r="X4563" s="575"/>
      <c r="Y4563" s="575"/>
    </row>
    <row r="4564" spans="1:25" s="88" customFormat="1" hidden="1">
      <c r="A4564" s="263"/>
      <c r="B4564" s="263"/>
      <c r="C4564" s="266"/>
      <c r="D4564" s="263"/>
      <c r="E4564" s="263"/>
      <c r="F4564" s="569">
        <v>423</v>
      </c>
      <c r="G4564" s="562" t="s">
        <v>3785</v>
      </c>
      <c r="H4564" s="634"/>
      <c r="I4564" s="635"/>
      <c r="J4564" s="635">
        <f t="shared" si="138"/>
        <v>0</v>
      </c>
      <c r="K4564" s="575"/>
      <c r="L4564" s="575"/>
      <c r="M4564" s="575"/>
      <c r="N4564" s="575"/>
      <c r="O4564" s="575"/>
      <c r="P4564" s="575"/>
      <c r="Q4564" s="575"/>
      <c r="R4564" s="575"/>
      <c r="S4564" s="575"/>
      <c r="T4564" s="575"/>
      <c r="U4564" s="575"/>
      <c r="V4564" s="575"/>
      <c r="W4564" s="575"/>
      <c r="X4564" s="575"/>
      <c r="Y4564" s="575"/>
    </row>
    <row r="4565" spans="1:25" s="88" customFormat="1" hidden="1">
      <c r="A4565" s="263"/>
      <c r="B4565" s="263"/>
      <c r="C4565" s="266"/>
      <c r="D4565" s="263"/>
      <c r="E4565" s="263"/>
      <c r="F4565" s="569">
        <v>424</v>
      </c>
      <c r="G4565" s="562" t="s">
        <v>3787</v>
      </c>
      <c r="H4565" s="634"/>
      <c r="I4565" s="635"/>
      <c r="J4565" s="635">
        <f t="shared" si="138"/>
        <v>0</v>
      </c>
      <c r="K4565" s="575"/>
      <c r="L4565" s="575"/>
      <c r="M4565" s="575"/>
      <c r="N4565" s="575"/>
      <c r="O4565" s="575"/>
      <c r="P4565" s="575"/>
      <c r="Q4565" s="575"/>
      <c r="R4565" s="575"/>
      <c r="S4565" s="575"/>
      <c r="T4565" s="575"/>
      <c r="U4565" s="575"/>
      <c r="V4565" s="575"/>
      <c r="W4565" s="575"/>
      <c r="X4565" s="575"/>
      <c r="Y4565" s="575"/>
    </row>
    <row r="4566" spans="1:25" s="88" customFormat="1" hidden="1">
      <c r="A4566" s="263"/>
      <c r="B4566" s="263"/>
      <c r="C4566" s="266"/>
      <c r="D4566" s="263"/>
      <c r="E4566" s="263"/>
      <c r="F4566" s="569">
        <v>425</v>
      </c>
      <c r="G4566" s="562" t="s">
        <v>4186</v>
      </c>
      <c r="H4566" s="634"/>
      <c r="I4566" s="635"/>
      <c r="J4566" s="635">
        <f t="shared" si="138"/>
        <v>0</v>
      </c>
      <c r="K4566" s="575"/>
      <c r="L4566" s="575"/>
      <c r="M4566" s="575"/>
      <c r="N4566" s="575"/>
      <c r="O4566" s="575"/>
      <c r="P4566" s="575"/>
      <c r="Q4566" s="575"/>
      <c r="R4566" s="575"/>
      <c r="S4566" s="575"/>
      <c r="T4566" s="575"/>
      <c r="U4566" s="575"/>
      <c r="V4566" s="575"/>
      <c r="W4566" s="575"/>
      <c r="X4566" s="575"/>
      <c r="Y4566" s="575"/>
    </row>
    <row r="4567" spans="1:25" s="88" customFormat="1" hidden="1">
      <c r="A4567" s="263"/>
      <c r="B4567" s="263"/>
      <c r="C4567" s="266"/>
      <c r="D4567" s="263"/>
      <c r="E4567" s="263"/>
      <c r="F4567" s="569">
        <v>426</v>
      </c>
      <c r="G4567" s="562" t="s">
        <v>3791</v>
      </c>
      <c r="H4567" s="634"/>
      <c r="I4567" s="635"/>
      <c r="J4567" s="635">
        <f t="shared" si="138"/>
        <v>0</v>
      </c>
      <c r="K4567" s="575"/>
      <c r="L4567" s="575"/>
      <c r="M4567" s="575"/>
      <c r="N4567" s="575"/>
      <c r="O4567" s="575"/>
      <c r="P4567" s="575"/>
      <c r="Q4567" s="575"/>
      <c r="R4567" s="575"/>
      <c r="S4567" s="575"/>
      <c r="T4567" s="575"/>
      <c r="U4567" s="575"/>
      <c r="V4567" s="575"/>
      <c r="W4567" s="575"/>
      <c r="X4567" s="575"/>
      <c r="Y4567" s="575"/>
    </row>
    <row r="4568" spans="1:25" s="88" customFormat="1" hidden="1">
      <c r="A4568" s="263"/>
      <c r="B4568" s="263"/>
      <c r="C4568" s="266"/>
      <c r="D4568" s="263"/>
      <c r="E4568" s="263"/>
      <c r="F4568" s="569">
        <v>431</v>
      </c>
      <c r="G4568" s="562" t="s">
        <v>4187</v>
      </c>
      <c r="H4568" s="634"/>
      <c r="I4568" s="635"/>
      <c r="J4568" s="635">
        <f t="shared" si="138"/>
        <v>0</v>
      </c>
      <c r="K4568" s="575"/>
      <c r="L4568" s="575"/>
      <c r="M4568" s="575"/>
      <c r="N4568" s="575"/>
      <c r="O4568" s="575"/>
      <c r="P4568" s="575"/>
      <c r="Q4568" s="575"/>
      <c r="R4568" s="575"/>
      <c r="S4568" s="575"/>
      <c r="T4568" s="575"/>
      <c r="U4568" s="575"/>
      <c r="V4568" s="575"/>
      <c r="W4568" s="575"/>
      <c r="X4568" s="575"/>
      <c r="Y4568" s="575"/>
    </row>
    <row r="4569" spans="1:25" s="88" customFormat="1" hidden="1">
      <c r="A4569" s="263"/>
      <c r="B4569" s="263"/>
      <c r="C4569" s="266"/>
      <c r="D4569" s="263"/>
      <c r="E4569" s="263"/>
      <c r="F4569" s="569">
        <v>432</v>
      </c>
      <c r="G4569" s="562" t="s">
        <v>4188</v>
      </c>
      <c r="H4569" s="634"/>
      <c r="I4569" s="635"/>
      <c r="J4569" s="635">
        <f t="shared" si="138"/>
        <v>0</v>
      </c>
      <c r="K4569" s="575"/>
      <c r="L4569" s="575"/>
      <c r="M4569" s="575"/>
      <c r="N4569" s="575"/>
      <c r="O4569" s="575"/>
      <c r="P4569" s="575"/>
      <c r="Q4569" s="575"/>
      <c r="R4569" s="575"/>
      <c r="S4569" s="575"/>
      <c r="T4569" s="575"/>
      <c r="U4569" s="575"/>
      <c r="V4569" s="575"/>
      <c r="W4569" s="575"/>
      <c r="X4569" s="575"/>
      <c r="Y4569" s="575"/>
    </row>
    <row r="4570" spans="1:25" s="88" customFormat="1" hidden="1">
      <c r="A4570" s="263"/>
      <c r="B4570" s="263"/>
      <c r="C4570" s="266"/>
      <c r="D4570" s="263"/>
      <c r="E4570" s="263"/>
      <c r="F4570" s="569">
        <v>433</v>
      </c>
      <c r="G4570" s="562" t="s">
        <v>4189</v>
      </c>
      <c r="H4570" s="634"/>
      <c r="I4570" s="635"/>
      <c r="J4570" s="635">
        <f t="shared" si="138"/>
        <v>0</v>
      </c>
      <c r="K4570" s="575"/>
      <c r="L4570" s="575"/>
      <c r="M4570" s="575"/>
      <c r="N4570" s="575"/>
      <c r="O4570" s="575"/>
      <c r="P4570" s="575"/>
      <c r="Q4570" s="575"/>
      <c r="R4570" s="575"/>
      <c r="S4570" s="575"/>
      <c r="T4570" s="575"/>
      <c r="U4570" s="575"/>
      <c r="V4570" s="575"/>
      <c r="W4570" s="575"/>
      <c r="X4570" s="575"/>
      <c r="Y4570" s="575"/>
    </row>
    <row r="4571" spans="1:25" s="88" customFormat="1" hidden="1">
      <c r="A4571" s="263"/>
      <c r="B4571" s="263"/>
      <c r="C4571" s="266"/>
      <c r="D4571" s="263"/>
      <c r="E4571" s="263"/>
      <c r="F4571" s="569">
        <v>434</v>
      </c>
      <c r="G4571" s="562" t="s">
        <v>4190</v>
      </c>
      <c r="H4571" s="634"/>
      <c r="I4571" s="635"/>
      <c r="J4571" s="635">
        <f t="shared" si="138"/>
        <v>0</v>
      </c>
      <c r="K4571" s="575"/>
      <c r="L4571" s="575"/>
      <c r="M4571" s="575"/>
      <c r="N4571" s="575"/>
      <c r="O4571" s="575"/>
      <c r="P4571" s="575"/>
      <c r="Q4571" s="575"/>
      <c r="R4571" s="575"/>
      <c r="S4571" s="575"/>
      <c r="T4571" s="575"/>
      <c r="U4571" s="575"/>
      <c r="V4571" s="575"/>
      <c r="W4571" s="575"/>
      <c r="X4571" s="575"/>
      <c r="Y4571" s="575"/>
    </row>
    <row r="4572" spans="1:25" s="88" customFormat="1" hidden="1">
      <c r="A4572" s="263"/>
      <c r="B4572" s="263"/>
      <c r="C4572" s="266"/>
      <c r="D4572" s="263"/>
      <c r="E4572" s="263"/>
      <c r="F4572" s="569">
        <v>435</v>
      </c>
      <c r="G4572" s="562" t="s">
        <v>3798</v>
      </c>
      <c r="H4572" s="634"/>
      <c r="I4572" s="635"/>
      <c r="J4572" s="635">
        <f t="shared" si="138"/>
        <v>0</v>
      </c>
      <c r="K4572" s="575"/>
      <c r="L4572" s="575"/>
      <c r="M4572" s="575"/>
      <c r="N4572" s="575"/>
      <c r="O4572" s="575"/>
      <c r="P4572" s="575"/>
      <c r="Q4572" s="575"/>
      <c r="R4572" s="575"/>
      <c r="S4572" s="575"/>
      <c r="T4572" s="575"/>
      <c r="U4572" s="575"/>
      <c r="V4572" s="575"/>
      <c r="W4572" s="575"/>
      <c r="X4572" s="575"/>
      <c r="Y4572" s="575"/>
    </row>
    <row r="4573" spans="1:25" s="88" customFormat="1" hidden="1">
      <c r="A4573" s="263"/>
      <c r="B4573" s="263"/>
      <c r="C4573" s="266"/>
      <c r="D4573" s="263"/>
      <c r="E4573" s="263"/>
      <c r="F4573" s="569">
        <v>441</v>
      </c>
      <c r="G4573" s="562" t="s">
        <v>4191</v>
      </c>
      <c r="H4573" s="634"/>
      <c r="I4573" s="635"/>
      <c r="J4573" s="635">
        <f t="shared" si="138"/>
        <v>0</v>
      </c>
      <c r="K4573" s="575"/>
      <c r="L4573" s="575"/>
      <c r="M4573" s="575"/>
      <c r="N4573" s="575"/>
      <c r="O4573" s="575"/>
      <c r="P4573" s="575"/>
      <c r="Q4573" s="575"/>
      <c r="R4573" s="575"/>
      <c r="S4573" s="575"/>
      <c r="T4573" s="575"/>
      <c r="U4573" s="575"/>
      <c r="V4573" s="575"/>
      <c r="W4573" s="575"/>
      <c r="X4573" s="575"/>
      <c r="Y4573" s="575"/>
    </row>
    <row r="4574" spans="1:25" s="88" customFormat="1" hidden="1">
      <c r="A4574" s="263"/>
      <c r="B4574" s="263"/>
      <c r="C4574" s="266"/>
      <c r="D4574" s="263"/>
      <c r="E4574" s="263"/>
      <c r="F4574" s="569">
        <v>442</v>
      </c>
      <c r="G4574" s="562" t="s">
        <v>4192</v>
      </c>
      <c r="H4574" s="634"/>
      <c r="I4574" s="635"/>
      <c r="J4574" s="635">
        <f t="shared" si="138"/>
        <v>0</v>
      </c>
      <c r="K4574" s="575"/>
      <c r="L4574" s="575"/>
      <c r="M4574" s="575"/>
      <c r="N4574" s="575"/>
      <c r="O4574" s="575"/>
      <c r="P4574" s="575"/>
      <c r="Q4574" s="575"/>
      <c r="R4574" s="575"/>
      <c r="S4574" s="575"/>
      <c r="T4574" s="575"/>
      <c r="U4574" s="575"/>
      <c r="V4574" s="575"/>
      <c r="W4574" s="575"/>
      <c r="X4574" s="575"/>
      <c r="Y4574" s="575"/>
    </row>
    <row r="4575" spans="1:25" s="88" customFormat="1" hidden="1">
      <c r="A4575" s="263"/>
      <c r="B4575" s="263"/>
      <c r="C4575" s="266"/>
      <c r="D4575" s="263"/>
      <c r="E4575" s="263"/>
      <c r="F4575" s="569">
        <v>443</v>
      </c>
      <c r="G4575" s="562" t="s">
        <v>3803</v>
      </c>
      <c r="H4575" s="634"/>
      <c r="I4575" s="635"/>
      <c r="J4575" s="635">
        <f t="shared" si="138"/>
        <v>0</v>
      </c>
      <c r="K4575" s="575"/>
      <c r="L4575" s="575"/>
      <c r="M4575" s="575"/>
      <c r="N4575" s="575"/>
      <c r="O4575" s="575"/>
      <c r="P4575" s="575"/>
      <c r="Q4575" s="575"/>
      <c r="R4575" s="575"/>
      <c r="S4575" s="575"/>
      <c r="T4575" s="575"/>
      <c r="U4575" s="575"/>
      <c r="V4575" s="575"/>
      <c r="W4575" s="575"/>
      <c r="X4575" s="575"/>
      <c r="Y4575" s="575"/>
    </row>
    <row r="4576" spans="1:25" s="88" customFormat="1" hidden="1">
      <c r="A4576" s="263"/>
      <c r="B4576" s="263"/>
      <c r="C4576" s="266"/>
      <c r="D4576" s="263"/>
      <c r="E4576" s="263"/>
      <c r="F4576" s="569">
        <v>444</v>
      </c>
      <c r="G4576" s="562" t="s">
        <v>3804</v>
      </c>
      <c r="H4576" s="634"/>
      <c r="I4576" s="635"/>
      <c r="J4576" s="635">
        <f t="shared" si="138"/>
        <v>0</v>
      </c>
      <c r="K4576" s="575"/>
      <c r="L4576" s="575"/>
      <c r="M4576" s="575"/>
      <c r="N4576" s="575"/>
      <c r="O4576" s="575"/>
      <c r="P4576" s="575"/>
      <c r="Q4576" s="575"/>
      <c r="R4576" s="575"/>
      <c r="S4576" s="575"/>
      <c r="T4576" s="575"/>
      <c r="U4576" s="575"/>
      <c r="V4576" s="575"/>
      <c r="W4576" s="575"/>
      <c r="X4576" s="575"/>
      <c r="Y4576" s="575"/>
    </row>
    <row r="4577" spans="1:25" s="88" customFormat="1" ht="30" hidden="1">
      <c r="A4577" s="263"/>
      <c r="B4577" s="263"/>
      <c r="C4577" s="266"/>
      <c r="D4577" s="263"/>
      <c r="E4577" s="263"/>
      <c r="F4577" s="569">
        <v>4511</v>
      </c>
      <c r="G4577" s="268" t="s">
        <v>1690</v>
      </c>
      <c r="H4577" s="634"/>
      <c r="I4577" s="635"/>
      <c r="J4577" s="635">
        <f t="shared" si="138"/>
        <v>0</v>
      </c>
      <c r="K4577" s="575"/>
      <c r="L4577" s="575"/>
      <c r="M4577" s="575"/>
      <c r="N4577" s="575"/>
      <c r="O4577" s="575"/>
      <c r="P4577" s="575"/>
      <c r="Q4577" s="575"/>
      <c r="R4577" s="575"/>
      <c r="S4577" s="575"/>
      <c r="T4577" s="575"/>
      <c r="U4577" s="575"/>
      <c r="V4577" s="575"/>
      <c r="W4577" s="575"/>
      <c r="X4577" s="575"/>
      <c r="Y4577" s="575"/>
    </row>
    <row r="4578" spans="1:25" s="88" customFormat="1" ht="30" hidden="1">
      <c r="A4578" s="263"/>
      <c r="B4578" s="263"/>
      <c r="C4578" s="266"/>
      <c r="D4578" s="263"/>
      <c r="E4578" s="263"/>
      <c r="F4578" s="569">
        <v>4512</v>
      </c>
      <c r="G4578" s="268" t="s">
        <v>1699</v>
      </c>
      <c r="H4578" s="634"/>
      <c r="I4578" s="635"/>
      <c r="J4578" s="635">
        <f t="shared" si="138"/>
        <v>0</v>
      </c>
      <c r="K4578" s="575"/>
      <c r="L4578" s="575"/>
      <c r="M4578" s="575"/>
      <c r="N4578" s="575"/>
      <c r="O4578" s="575"/>
      <c r="P4578" s="575"/>
      <c r="Q4578" s="575"/>
      <c r="R4578" s="575"/>
      <c r="S4578" s="575"/>
      <c r="T4578" s="575"/>
      <c r="U4578" s="575"/>
      <c r="V4578" s="575"/>
      <c r="W4578" s="575"/>
      <c r="X4578" s="575"/>
      <c r="Y4578" s="575"/>
    </row>
    <row r="4579" spans="1:25" s="88" customFormat="1" hidden="1">
      <c r="A4579" s="263"/>
      <c r="B4579" s="263"/>
      <c r="C4579" s="266"/>
      <c r="D4579" s="263"/>
      <c r="E4579" s="263"/>
      <c r="F4579" s="569">
        <v>452</v>
      </c>
      <c r="G4579" s="562" t="s">
        <v>4193</v>
      </c>
      <c r="H4579" s="634"/>
      <c r="I4579" s="635"/>
      <c r="J4579" s="635">
        <f t="shared" si="138"/>
        <v>0</v>
      </c>
      <c r="K4579" s="575"/>
      <c r="L4579" s="575"/>
      <c r="M4579" s="575"/>
      <c r="N4579" s="575"/>
      <c r="O4579" s="575"/>
      <c r="P4579" s="575"/>
      <c r="Q4579" s="575"/>
      <c r="R4579" s="575"/>
      <c r="S4579" s="575"/>
      <c r="T4579" s="575"/>
      <c r="U4579" s="575"/>
      <c r="V4579" s="575"/>
      <c r="W4579" s="575"/>
      <c r="X4579" s="575"/>
      <c r="Y4579" s="575"/>
    </row>
    <row r="4580" spans="1:25" s="88" customFormat="1" hidden="1">
      <c r="A4580" s="263"/>
      <c r="B4580" s="263"/>
      <c r="C4580" s="266"/>
      <c r="D4580" s="263"/>
      <c r="E4580" s="263"/>
      <c r="F4580" s="569">
        <v>453</v>
      </c>
      <c r="G4580" s="562" t="s">
        <v>4194</v>
      </c>
      <c r="H4580" s="634"/>
      <c r="I4580" s="635"/>
      <c r="J4580" s="635">
        <f t="shared" si="138"/>
        <v>0</v>
      </c>
      <c r="K4580" s="575"/>
      <c r="L4580" s="575"/>
      <c r="M4580" s="575"/>
      <c r="N4580" s="575"/>
      <c r="O4580" s="575"/>
      <c r="P4580" s="575"/>
      <c r="Q4580" s="575"/>
      <c r="R4580" s="575"/>
      <c r="S4580" s="575"/>
      <c r="T4580" s="575"/>
      <c r="U4580" s="575"/>
      <c r="V4580" s="575"/>
      <c r="W4580" s="575"/>
      <c r="X4580" s="575"/>
      <c r="Y4580" s="575"/>
    </row>
    <row r="4581" spans="1:25" s="88" customFormat="1" hidden="1">
      <c r="A4581" s="263"/>
      <c r="B4581" s="263"/>
      <c r="C4581" s="266"/>
      <c r="D4581" s="263"/>
      <c r="E4581" s="263"/>
      <c r="F4581" s="569">
        <v>454</v>
      </c>
      <c r="G4581" s="562" t="s">
        <v>3809</v>
      </c>
      <c r="H4581" s="634"/>
      <c r="I4581" s="635"/>
      <c r="J4581" s="635">
        <f t="shared" si="138"/>
        <v>0</v>
      </c>
      <c r="K4581" s="575"/>
      <c r="L4581" s="575"/>
      <c r="M4581" s="575"/>
      <c r="N4581" s="575"/>
      <c r="O4581" s="575"/>
      <c r="P4581" s="575"/>
      <c r="Q4581" s="575"/>
      <c r="R4581" s="575"/>
      <c r="S4581" s="575"/>
      <c r="T4581" s="575"/>
      <c r="U4581" s="575"/>
      <c r="V4581" s="575"/>
      <c r="W4581" s="575"/>
      <c r="X4581" s="575"/>
      <c r="Y4581" s="575"/>
    </row>
    <row r="4582" spans="1:25" s="88" customFormat="1" hidden="1">
      <c r="A4582" s="263"/>
      <c r="B4582" s="263"/>
      <c r="C4582" s="266"/>
      <c r="D4582" s="263"/>
      <c r="E4582" s="263"/>
      <c r="F4582" s="569">
        <v>461</v>
      </c>
      <c r="G4582" s="562" t="s">
        <v>4175</v>
      </c>
      <c r="H4582" s="634"/>
      <c r="I4582" s="635"/>
      <c r="J4582" s="635">
        <f t="shared" si="138"/>
        <v>0</v>
      </c>
      <c r="K4582" s="575"/>
      <c r="L4582" s="575"/>
      <c r="M4582" s="575"/>
      <c r="N4582" s="575"/>
      <c r="O4582" s="575"/>
      <c r="P4582" s="575"/>
      <c r="Q4582" s="575"/>
      <c r="R4582" s="575"/>
      <c r="S4582" s="575"/>
      <c r="T4582" s="575"/>
      <c r="U4582" s="575"/>
      <c r="V4582" s="575"/>
      <c r="W4582" s="575"/>
      <c r="X4582" s="575"/>
      <c r="Y4582" s="575"/>
    </row>
    <row r="4583" spans="1:25" s="88" customFormat="1" hidden="1">
      <c r="A4583" s="263"/>
      <c r="B4583" s="263"/>
      <c r="C4583" s="266"/>
      <c r="D4583" s="263"/>
      <c r="E4583" s="263"/>
      <c r="F4583" s="569">
        <v>462</v>
      </c>
      <c r="G4583" s="562" t="s">
        <v>3812</v>
      </c>
      <c r="H4583" s="634"/>
      <c r="I4583" s="635"/>
      <c r="J4583" s="635">
        <f t="shared" si="138"/>
        <v>0</v>
      </c>
      <c r="K4583" s="575"/>
      <c r="L4583" s="575"/>
      <c r="M4583" s="575"/>
      <c r="N4583" s="575"/>
      <c r="O4583" s="575"/>
      <c r="P4583" s="575"/>
      <c r="Q4583" s="575"/>
      <c r="R4583" s="575"/>
      <c r="S4583" s="575"/>
      <c r="T4583" s="575"/>
      <c r="U4583" s="575"/>
      <c r="V4583" s="575"/>
      <c r="W4583" s="575"/>
      <c r="X4583" s="575"/>
      <c r="Y4583" s="575"/>
    </row>
    <row r="4584" spans="1:25" s="88" customFormat="1">
      <c r="A4584" s="263"/>
      <c r="B4584" s="263"/>
      <c r="C4584" s="266"/>
      <c r="D4584" s="263"/>
      <c r="E4584" s="263">
        <v>76</v>
      </c>
      <c r="F4584" s="569">
        <v>4631</v>
      </c>
      <c r="G4584" s="562" t="s">
        <v>3813</v>
      </c>
      <c r="H4584" s="634">
        <v>5536840</v>
      </c>
      <c r="I4584" s="635"/>
      <c r="J4584" s="635">
        <f t="shared" si="138"/>
        <v>5536840</v>
      </c>
      <c r="K4584" s="575"/>
      <c r="L4584" s="575"/>
      <c r="M4584" s="575"/>
      <c r="N4584" s="575"/>
      <c r="O4584" s="575"/>
      <c r="P4584" s="575"/>
      <c r="Q4584" s="575"/>
      <c r="R4584" s="575"/>
      <c r="S4584" s="575"/>
      <c r="T4584" s="575"/>
      <c r="U4584" s="575"/>
      <c r="V4584" s="575"/>
      <c r="W4584" s="575"/>
      <c r="X4584" s="575"/>
      <c r="Y4584" s="575"/>
    </row>
    <row r="4585" spans="1:25" s="88" customFormat="1">
      <c r="A4585" s="263"/>
      <c r="B4585" s="263"/>
      <c r="C4585" s="266"/>
      <c r="D4585" s="263"/>
      <c r="E4585" s="263">
        <v>77</v>
      </c>
      <c r="F4585" s="569">
        <v>4632</v>
      </c>
      <c r="G4585" s="562" t="s">
        <v>3814</v>
      </c>
      <c r="H4585" s="634">
        <v>600000</v>
      </c>
      <c r="I4585" s="635"/>
      <c r="J4585" s="635">
        <f t="shared" si="138"/>
        <v>600000</v>
      </c>
      <c r="K4585" s="575"/>
      <c r="L4585" s="575"/>
      <c r="M4585" s="575"/>
      <c r="N4585" s="575"/>
      <c r="O4585" s="575"/>
      <c r="P4585" s="575"/>
      <c r="Q4585" s="575"/>
      <c r="R4585" s="575"/>
      <c r="S4585" s="575"/>
      <c r="T4585" s="575"/>
      <c r="U4585" s="575"/>
      <c r="V4585" s="575"/>
      <c r="W4585" s="575"/>
      <c r="X4585" s="575"/>
      <c r="Y4585" s="575"/>
    </row>
    <row r="4586" spans="1:25" s="88" customFormat="1" hidden="1">
      <c r="A4586" s="263"/>
      <c r="B4586" s="263"/>
      <c r="C4586" s="266"/>
      <c r="D4586" s="263"/>
      <c r="E4586" s="263"/>
      <c r="F4586" s="569">
        <v>464</v>
      </c>
      <c r="G4586" s="562" t="s">
        <v>3815</v>
      </c>
      <c r="H4586" s="634"/>
      <c r="I4586" s="635"/>
      <c r="J4586" s="635">
        <f t="shared" si="138"/>
        <v>0</v>
      </c>
      <c r="K4586" s="575"/>
      <c r="L4586" s="575"/>
      <c r="M4586" s="575"/>
      <c r="N4586" s="575"/>
      <c r="O4586" s="575"/>
      <c r="P4586" s="575"/>
      <c r="Q4586" s="575"/>
      <c r="R4586" s="575"/>
      <c r="S4586" s="575"/>
      <c r="T4586" s="575"/>
      <c r="U4586" s="575"/>
      <c r="V4586" s="575"/>
      <c r="W4586" s="575"/>
      <c r="X4586" s="575"/>
      <c r="Y4586" s="575"/>
    </row>
    <row r="4587" spans="1:25" s="88" customFormat="1" hidden="1">
      <c r="A4587" s="263"/>
      <c r="B4587" s="263"/>
      <c r="C4587" s="266"/>
      <c r="D4587" s="263"/>
      <c r="E4587" s="263"/>
      <c r="F4587" s="569">
        <v>465</v>
      </c>
      <c r="G4587" s="562" t="s">
        <v>4176</v>
      </c>
      <c r="H4587" s="634"/>
      <c r="I4587" s="635"/>
      <c r="J4587" s="635">
        <f t="shared" si="138"/>
        <v>0</v>
      </c>
      <c r="K4587" s="575"/>
      <c r="L4587" s="575"/>
      <c r="M4587" s="575"/>
      <c r="N4587" s="575"/>
      <c r="O4587" s="575"/>
      <c r="P4587" s="575"/>
      <c r="Q4587" s="575"/>
      <c r="R4587" s="575"/>
      <c r="S4587" s="575"/>
      <c r="T4587" s="575"/>
      <c r="U4587" s="575"/>
      <c r="V4587" s="575"/>
      <c r="W4587" s="575"/>
      <c r="X4587" s="575"/>
      <c r="Y4587" s="575"/>
    </row>
    <row r="4588" spans="1:25" s="88" customFormat="1" hidden="1">
      <c r="A4588" s="263"/>
      <c r="B4588" s="263"/>
      <c r="C4588" s="266"/>
      <c r="D4588" s="263"/>
      <c r="E4588" s="263"/>
      <c r="F4588" s="569">
        <v>472</v>
      </c>
      <c r="G4588" s="562" t="s">
        <v>3819</v>
      </c>
      <c r="H4588" s="634"/>
      <c r="I4588" s="635"/>
      <c r="J4588" s="635">
        <f t="shared" si="138"/>
        <v>0</v>
      </c>
      <c r="K4588" s="575"/>
      <c r="L4588" s="575"/>
      <c r="M4588" s="575"/>
      <c r="N4588" s="575"/>
      <c r="O4588" s="575"/>
      <c r="P4588" s="575"/>
      <c r="Q4588" s="575"/>
      <c r="R4588" s="575"/>
      <c r="S4588" s="575"/>
      <c r="T4588" s="575"/>
      <c r="U4588" s="575"/>
      <c r="V4588" s="575"/>
      <c r="W4588" s="575"/>
      <c r="X4588" s="575"/>
      <c r="Y4588" s="575"/>
    </row>
    <row r="4589" spans="1:25" s="88" customFormat="1" hidden="1">
      <c r="A4589" s="263"/>
      <c r="B4589" s="263"/>
      <c r="C4589" s="266"/>
      <c r="D4589" s="263"/>
      <c r="E4589" s="263"/>
      <c r="F4589" s="569">
        <v>481</v>
      </c>
      <c r="G4589" s="562" t="s">
        <v>4195</v>
      </c>
      <c r="H4589" s="634"/>
      <c r="I4589" s="635"/>
      <c r="J4589" s="635">
        <f t="shared" si="138"/>
        <v>0</v>
      </c>
      <c r="K4589" s="575"/>
      <c r="L4589" s="575"/>
      <c r="M4589" s="575"/>
      <c r="N4589" s="575"/>
      <c r="O4589" s="575"/>
      <c r="P4589" s="575"/>
      <c r="Q4589" s="575"/>
      <c r="R4589" s="575"/>
      <c r="S4589" s="575"/>
      <c r="T4589" s="575"/>
      <c r="U4589" s="575"/>
      <c r="V4589" s="575"/>
      <c r="W4589" s="575"/>
      <c r="X4589" s="575"/>
      <c r="Y4589" s="575"/>
    </row>
    <row r="4590" spans="1:25" s="88" customFormat="1" hidden="1">
      <c r="A4590" s="263"/>
      <c r="B4590" s="263"/>
      <c r="C4590" s="266"/>
      <c r="D4590" s="263"/>
      <c r="E4590" s="263"/>
      <c r="F4590" s="569">
        <v>482</v>
      </c>
      <c r="G4590" s="562" t="s">
        <v>4196</v>
      </c>
      <c r="H4590" s="634"/>
      <c r="I4590" s="635"/>
      <c r="J4590" s="635">
        <f t="shared" si="138"/>
        <v>0</v>
      </c>
      <c r="K4590" s="575"/>
      <c r="L4590" s="575"/>
      <c r="M4590" s="575"/>
      <c r="N4590" s="575"/>
      <c r="O4590" s="575"/>
      <c r="P4590" s="575"/>
      <c r="Q4590" s="575"/>
      <c r="R4590" s="575"/>
      <c r="S4590" s="575"/>
      <c r="T4590" s="575"/>
      <c r="U4590" s="575"/>
      <c r="V4590" s="575"/>
      <c r="W4590" s="575"/>
      <c r="X4590" s="575"/>
      <c r="Y4590" s="575"/>
    </row>
    <row r="4591" spans="1:25" s="88" customFormat="1" hidden="1">
      <c r="A4591" s="263"/>
      <c r="B4591" s="263"/>
      <c r="C4591" s="266"/>
      <c r="D4591" s="263"/>
      <c r="E4591" s="263"/>
      <c r="F4591" s="569">
        <v>483</v>
      </c>
      <c r="G4591" s="566" t="s">
        <v>4197</v>
      </c>
      <c r="H4591" s="634"/>
      <c r="I4591" s="635"/>
      <c r="J4591" s="635">
        <f t="shared" si="138"/>
        <v>0</v>
      </c>
      <c r="K4591" s="575"/>
      <c r="L4591" s="575"/>
      <c r="M4591" s="575"/>
      <c r="N4591" s="575"/>
      <c r="O4591" s="575"/>
      <c r="P4591" s="575"/>
      <c r="Q4591" s="575"/>
      <c r="R4591" s="575"/>
      <c r="S4591" s="575"/>
      <c r="T4591" s="575"/>
      <c r="U4591" s="575"/>
      <c r="V4591" s="575"/>
      <c r="W4591" s="575"/>
      <c r="X4591" s="575"/>
      <c r="Y4591" s="575"/>
    </row>
    <row r="4592" spans="1:25" s="88" customFormat="1" ht="30" hidden="1">
      <c r="A4592" s="263"/>
      <c r="B4592" s="263"/>
      <c r="C4592" s="266"/>
      <c r="D4592" s="263"/>
      <c r="E4592" s="263"/>
      <c r="F4592" s="569">
        <v>484</v>
      </c>
      <c r="G4592" s="562" t="s">
        <v>4198</v>
      </c>
      <c r="H4592" s="634"/>
      <c r="I4592" s="635"/>
      <c r="J4592" s="635">
        <f t="shared" si="138"/>
        <v>0</v>
      </c>
      <c r="K4592" s="575"/>
      <c r="L4592" s="575"/>
      <c r="M4592" s="575"/>
      <c r="N4592" s="575"/>
      <c r="O4592" s="575"/>
      <c r="P4592" s="575"/>
      <c r="Q4592" s="575"/>
      <c r="R4592" s="575"/>
      <c r="S4592" s="575"/>
      <c r="T4592" s="575"/>
      <c r="U4592" s="575"/>
      <c r="V4592" s="575"/>
      <c r="W4592" s="575"/>
      <c r="X4592" s="575"/>
      <c r="Y4592" s="575"/>
    </row>
    <row r="4593" spans="1:25" s="88" customFormat="1" ht="30" hidden="1">
      <c r="A4593" s="263"/>
      <c r="B4593" s="263"/>
      <c r="C4593" s="266"/>
      <c r="D4593" s="263"/>
      <c r="E4593" s="263"/>
      <c r="F4593" s="569">
        <v>485</v>
      </c>
      <c r="G4593" s="562" t="s">
        <v>4199</v>
      </c>
      <c r="H4593" s="634"/>
      <c r="I4593" s="635"/>
      <c r="J4593" s="635">
        <f t="shared" si="138"/>
        <v>0</v>
      </c>
      <c r="K4593" s="575"/>
      <c r="L4593" s="575"/>
      <c r="M4593" s="575"/>
      <c r="N4593" s="575"/>
      <c r="O4593" s="575"/>
      <c r="P4593" s="575"/>
      <c r="Q4593" s="575"/>
      <c r="R4593" s="575"/>
      <c r="S4593" s="575"/>
      <c r="T4593" s="575"/>
      <c r="U4593" s="575"/>
      <c r="V4593" s="575"/>
      <c r="W4593" s="575"/>
      <c r="X4593" s="575"/>
      <c r="Y4593" s="575"/>
    </row>
    <row r="4594" spans="1:25" s="88" customFormat="1" ht="30" hidden="1">
      <c r="A4594" s="263"/>
      <c r="B4594" s="263"/>
      <c r="C4594" s="266"/>
      <c r="D4594" s="263"/>
      <c r="E4594" s="263"/>
      <c r="F4594" s="569">
        <v>489</v>
      </c>
      <c r="G4594" s="562" t="s">
        <v>3827</v>
      </c>
      <c r="H4594" s="634"/>
      <c r="I4594" s="635"/>
      <c r="J4594" s="635">
        <f t="shared" si="138"/>
        <v>0</v>
      </c>
      <c r="K4594" s="575"/>
      <c r="L4594" s="575"/>
      <c r="M4594" s="575"/>
      <c r="N4594" s="575"/>
      <c r="O4594" s="575"/>
      <c r="P4594" s="575"/>
      <c r="Q4594" s="575"/>
      <c r="R4594" s="575"/>
      <c r="S4594" s="575"/>
      <c r="T4594" s="575"/>
      <c r="U4594" s="575"/>
      <c r="V4594" s="575"/>
      <c r="W4594" s="575"/>
      <c r="X4594" s="575"/>
      <c r="Y4594" s="575"/>
    </row>
    <row r="4595" spans="1:25" s="88" customFormat="1" hidden="1">
      <c r="A4595" s="263"/>
      <c r="B4595" s="263"/>
      <c r="C4595" s="266"/>
      <c r="D4595" s="263"/>
      <c r="E4595" s="263"/>
      <c r="F4595" s="569">
        <v>494</v>
      </c>
      <c r="G4595" s="562" t="s">
        <v>4177</v>
      </c>
      <c r="H4595" s="634"/>
      <c r="I4595" s="635"/>
      <c r="J4595" s="635">
        <f t="shared" si="138"/>
        <v>0</v>
      </c>
      <c r="K4595" s="575"/>
      <c r="L4595" s="575"/>
      <c r="M4595" s="575"/>
      <c r="N4595" s="575"/>
      <c r="O4595" s="575"/>
      <c r="P4595" s="575"/>
      <c r="Q4595" s="575"/>
      <c r="R4595" s="575"/>
      <c r="S4595" s="575"/>
      <c r="T4595" s="575"/>
      <c r="U4595" s="575"/>
      <c r="V4595" s="575"/>
      <c r="W4595" s="575"/>
      <c r="X4595" s="575"/>
      <c r="Y4595" s="575"/>
    </row>
    <row r="4596" spans="1:25" s="88" customFormat="1" ht="30" hidden="1">
      <c r="A4596" s="263"/>
      <c r="B4596" s="263"/>
      <c r="C4596" s="266"/>
      <c r="D4596" s="263"/>
      <c r="E4596" s="263"/>
      <c r="F4596" s="569">
        <v>495</v>
      </c>
      <c r="G4596" s="562" t="s">
        <v>4178</v>
      </c>
      <c r="H4596" s="634"/>
      <c r="I4596" s="635"/>
      <c r="J4596" s="635">
        <f t="shared" si="138"/>
        <v>0</v>
      </c>
      <c r="K4596" s="575"/>
      <c r="L4596" s="575"/>
      <c r="M4596" s="575"/>
      <c r="N4596" s="575"/>
      <c r="O4596" s="575"/>
      <c r="P4596" s="575"/>
      <c r="Q4596" s="575"/>
      <c r="R4596" s="575"/>
      <c r="S4596" s="575"/>
      <c r="T4596" s="575"/>
      <c r="U4596" s="575"/>
      <c r="V4596" s="575"/>
      <c r="W4596" s="575"/>
      <c r="X4596" s="575"/>
      <c r="Y4596" s="575"/>
    </row>
    <row r="4597" spans="1:25" s="88" customFormat="1" ht="30" hidden="1">
      <c r="A4597" s="263"/>
      <c r="B4597" s="263"/>
      <c r="C4597" s="266"/>
      <c r="D4597" s="263"/>
      <c r="E4597" s="263"/>
      <c r="F4597" s="569">
        <v>496</v>
      </c>
      <c r="G4597" s="562" t="s">
        <v>4179</v>
      </c>
      <c r="H4597" s="634"/>
      <c r="I4597" s="635"/>
      <c r="J4597" s="635">
        <f t="shared" si="138"/>
        <v>0</v>
      </c>
      <c r="K4597" s="575"/>
      <c r="L4597" s="575"/>
      <c r="M4597" s="575"/>
      <c r="N4597" s="575"/>
      <c r="O4597" s="575"/>
      <c r="P4597" s="575"/>
      <c r="Q4597" s="575"/>
      <c r="R4597" s="575"/>
      <c r="S4597" s="575"/>
      <c r="T4597" s="575"/>
      <c r="U4597" s="575"/>
      <c r="V4597" s="575"/>
      <c r="W4597" s="575"/>
      <c r="X4597" s="575"/>
      <c r="Y4597" s="575"/>
    </row>
    <row r="4598" spans="1:25" s="88" customFormat="1" hidden="1">
      <c r="A4598" s="263"/>
      <c r="B4598" s="263"/>
      <c r="C4598" s="266"/>
      <c r="D4598" s="263"/>
      <c r="E4598" s="263"/>
      <c r="F4598" s="569">
        <v>499</v>
      </c>
      <c r="G4598" s="562" t="s">
        <v>4180</v>
      </c>
      <c r="H4598" s="634"/>
      <c r="I4598" s="635"/>
      <c r="J4598" s="635">
        <f t="shared" si="138"/>
        <v>0</v>
      </c>
      <c r="K4598" s="575"/>
      <c r="L4598" s="575"/>
      <c r="M4598" s="575"/>
      <c r="N4598" s="575"/>
      <c r="O4598" s="575"/>
      <c r="P4598" s="575"/>
      <c r="Q4598" s="575"/>
      <c r="R4598" s="575"/>
      <c r="S4598" s="575"/>
      <c r="T4598" s="575"/>
      <c r="U4598" s="575"/>
      <c r="V4598" s="575"/>
      <c r="W4598" s="575"/>
      <c r="X4598" s="575"/>
      <c r="Y4598" s="575"/>
    </row>
    <row r="4599" spans="1:25" s="88" customFormat="1" hidden="1">
      <c r="A4599" s="263"/>
      <c r="B4599" s="263"/>
      <c r="C4599" s="266"/>
      <c r="D4599" s="263"/>
      <c r="E4599" s="263"/>
      <c r="F4599" s="569">
        <v>511</v>
      </c>
      <c r="G4599" s="566" t="s">
        <v>4200</v>
      </c>
      <c r="H4599" s="634"/>
      <c r="I4599" s="635"/>
      <c r="J4599" s="635">
        <f t="shared" si="138"/>
        <v>0</v>
      </c>
      <c r="K4599" s="575"/>
      <c r="L4599" s="575"/>
      <c r="M4599" s="575"/>
      <c r="N4599" s="575"/>
      <c r="O4599" s="575"/>
      <c r="P4599" s="575"/>
      <c r="Q4599" s="575"/>
      <c r="R4599" s="575"/>
      <c r="S4599" s="575"/>
      <c r="T4599" s="575"/>
      <c r="U4599" s="575"/>
      <c r="V4599" s="575"/>
      <c r="W4599" s="575"/>
      <c r="X4599" s="575"/>
      <c r="Y4599" s="575"/>
    </row>
    <row r="4600" spans="1:25" s="88" customFormat="1" hidden="1">
      <c r="A4600" s="263"/>
      <c r="B4600" s="263"/>
      <c r="C4600" s="266"/>
      <c r="D4600" s="263"/>
      <c r="E4600" s="263"/>
      <c r="F4600" s="569">
        <v>512</v>
      </c>
      <c r="G4600" s="566" t="s">
        <v>4201</v>
      </c>
      <c r="H4600" s="634"/>
      <c r="I4600" s="635"/>
      <c r="J4600" s="635">
        <f t="shared" si="138"/>
        <v>0</v>
      </c>
      <c r="K4600" s="575"/>
      <c r="L4600" s="575"/>
      <c r="M4600" s="575"/>
      <c r="N4600" s="575"/>
      <c r="O4600" s="575"/>
      <c r="P4600" s="575"/>
      <c r="Q4600" s="575"/>
      <c r="R4600" s="575"/>
      <c r="S4600" s="575"/>
      <c r="T4600" s="575"/>
      <c r="U4600" s="575"/>
      <c r="V4600" s="575"/>
      <c r="W4600" s="575"/>
      <c r="X4600" s="575"/>
      <c r="Y4600" s="575"/>
    </row>
    <row r="4601" spans="1:25" s="88" customFormat="1" hidden="1">
      <c r="A4601" s="263"/>
      <c r="B4601" s="263"/>
      <c r="C4601" s="266"/>
      <c r="D4601" s="263"/>
      <c r="E4601" s="263"/>
      <c r="F4601" s="569">
        <v>513</v>
      </c>
      <c r="G4601" s="566" t="s">
        <v>4202</v>
      </c>
      <c r="H4601" s="634"/>
      <c r="I4601" s="635"/>
      <c r="J4601" s="635">
        <f t="shared" si="138"/>
        <v>0</v>
      </c>
      <c r="K4601" s="575"/>
      <c r="L4601" s="575"/>
      <c r="M4601" s="575"/>
      <c r="N4601" s="575"/>
      <c r="O4601" s="575"/>
      <c r="P4601" s="575"/>
      <c r="Q4601" s="575"/>
      <c r="R4601" s="575"/>
      <c r="S4601" s="575"/>
      <c r="T4601" s="575"/>
      <c r="U4601" s="575"/>
      <c r="V4601" s="575"/>
      <c r="W4601" s="575"/>
      <c r="X4601" s="575"/>
      <c r="Y4601" s="575"/>
    </row>
    <row r="4602" spans="1:25" s="88" customFormat="1" hidden="1">
      <c r="A4602" s="263"/>
      <c r="B4602" s="263"/>
      <c r="C4602" s="266"/>
      <c r="D4602" s="263"/>
      <c r="E4602" s="263"/>
      <c r="F4602" s="569">
        <v>514</v>
      </c>
      <c r="G4602" s="562" t="s">
        <v>4203</v>
      </c>
      <c r="H4602" s="634"/>
      <c r="I4602" s="635"/>
      <c r="J4602" s="635">
        <f t="shared" si="138"/>
        <v>0</v>
      </c>
      <c r="K4602" s="575"/>
      <c r="L4602" s="575"/>
      <c r="M4602" s="575"/>
      <c r="N4602" s="575"/>
      <c r="O4602" s="575"/>
      <c r="P4602" s="575"/>
      <c r="Q4602" s="575"/>
      <c r="R4602" s="575"/>
      <c r="S4602" s="575"/>
      <c r="T4602" s="575"/>
      <c r="U4602" s="575"/>
      <c r="V4602" s="575"/>
      <c r="W4602" s="575"/>
      <c r="X4602" s="575"/>
      <c r="Y4602" s="575"/>
    </row>
    <row r="4603" spans="1:25" s="88" customFormat="1" hidden="1">
      <c r="A4603" s="263"/>
      <c r="B4603" s="263"/>
      <c r="C4603" s="266"/>
      <c r="D4603" s="263"/>
      <c r="E4603" s="263"/>
      <c r="F4603" s="569">
        <v>515</v>
      </c>
      <c r="G4603" s="562" t="s">
        <v>3838</v>
      </c>
      <c r="H4603" s="634"/>
      <c r="I4603" s="635"/>
      <c r="J4603" s="635">
        <f t="shared" si="138"/>
        <v>0</v>
      </c>
      <c r="K4603" s="575"/>
      <c r="L4603" s="575"/>
      <c r="M4603" s="575"/>
      <c r="N4603" s="575"/>
      <c r="O4603" s="575"/>
      <c r="P4603" s="575"/>
      <c r="Q4603" s="575"/>
      <c r="R4603" s="575"/>
      <c r="S4603" s="575"/>
      <c r="T4603" s="575"/>
      <c r="U4603" s="575"/>
      <c r="V4603" s="575"/>
      <c r="W4603" s="575"/>
      <c r="X4603" s="575"/>
      <c r="Y4603" s="575"/>
    </row>
    <row r="4604" spans="1:25" s="88" customFormat="1" hidden="1">
      <c r="A4604" s="263"/>
      <c r="B4604" s="263"/>
      <c r="C4604" s="266"/>
      <c r="D4604" s="263"/>
      <c r="E4604" s="263"/>
      <c r="F4604" s="569">
        <v>521</v>
      </c>
      <c r="G4604" s="562" t="s">
        <v>4204</v>
      </c>
      <c r="H4604" s="634"/>
      <c r="I4604" s="635"/>
      <c r="J4604" s="635">
        <f t="shared" si="138"/>
        <v>0</v>
      </c>
      <c r="K4604" s="575"/>
      <c r="L4604" s="575"/>
      <c r="M4604" s="575"/>
      <c r="N4604" s="575"/>
      <c r="O4604" s="575"/>
      <c r="P4604" s="575"/>
      <c r="Q4604" s="575"/>
      <c r="R4604" s="575"/>
      <c r="S4604" s="575"/>
      <c r="T4604" s="575"/>
      <c r="U4604" s="575"/>
      <c r="V4604" s="575"/>
      <c r="W4604" s="575"/>
      <c r="X4604" s="575"/>
      <c r="Y4604" s="575"/>
    </row>
    <row r="4605" spans="1:25" s="88" customFormat="1" hidden="1">
      <c r="A4605" s="263"/>
      <c r="B4605" s="263"/>
      <c r="C4605" s="266"/>
      <c r="D4605" s="263"/>
      <c r="E4605" s="263"/>
      <c r="F4605" s="569">
        <v>522</v>
      </c>
      <c r="G4605" s="562" t="s">
        <v>4205</v>
      </c>
      <c r="H4605" s="634"/>
      <c r="I4605" s="635"/>
      <c r="J4605" s="635">
        <f t="shared" si="138"/>
        <v>0</v>
      </c>
      <c r="K4605" s="575"/>
      <c r="L4605" s="575"/>
      <c r="M4605" s="575"/>
      <c r="N4605" s="575"/>
      <c r="O4605" s="575"/>
      <c r="P4605" s="575"/>
      <c r="Q4605" s="575"/>
      <c r="R4605" s="575"/>
      <c r="S4605" s="575"/>
      <c r="T4605" s="575"/>
      <c r="U4605" s="575"/>
      <c r="V4605" s="575"/>
      <c r="W4605" s="575"/>
      <c r="X4605" s="575"/>
      <c r="Y4605" s="575"/>
    </row>
    <row r="4606" spans="1:25" s="88" customFormat="1" hidden="1">
      <c r="A4606" s="263"/>
      <c r="B4606" s="263"/>
      <c r="C4606" s="266"/>
      <c r="D4606" s="263"/>
      <c r="E4606" s="263"/>
      <c r="F4606" s="569">
        <v>523</v>
      </c>
      <c r="G4606" s="562" t="s">
        <v>3843</v>
      </c>
      <c r="H4606" s="634"/>
      <c r="I4606" s="635"/>
      <c r="J4606" s="635">
        <f t="shared" si="138"/>
        <v>0</v>
      </c>
      <c r="K4606" s="575"/>
      <c r="L4606" s="575"/>
      <c r="M4606" s="575"/>
      <c r="N4606" s="575"/>
      <c r="O4606" s="575"/>
      <c r="P4606" s="575"/>
      <c r="Q4606" s="575"/>
      <c r="R4606" s="575"/>
      <c r="S4606" s="575"/>
      <c r="T4606" s="575"/>
      <c r="U4606" s="575"/>
      <c r="V4606" s="575"/>
      <c r="W4606" s="575"/>
      <c r="X4606" s="575"/>
      <c r="Y4606" s="575"/>
    </row>
    <row r="4607" spans="1:25" s="88" customFormat="1" hidden="1">
      <c r="A4607" s="263"/>
      <c r="B4607" s="263"/>
      <c r="C4607" s="266"/>
      <c r="D4607" s="263"/>
      <c r="E4607" s="263"/>
      <c r="F4607" s="569">
        <v>531</v>
      </c>
      <c r="G4607" s="558" t="s">
        <v>4181</v>
      </c>
      <c r="H4607" s="634"/>
      <c r="I4607" s="635"/>
      <c r="J4607" s="635">
        <f t="shared" si="138"/>
        <v>0</v>
      </c>
      <c r="K4607" s="575"/>
      <c r="L4607" s="575"/>
      <c r="M4607" s="575"/>
      <c r="N4607" s="575"/>
      <c r="O4607" s="575"/>
      <c r="P4607" s="575"/>
      <c r="Q4607" s="575"/>
      <c r="R4607" s="575"/>
      <c r="S4607" s="575"/>
      <c r="T4607" s="575"/>
      <c r="U4607" s="575"/>
      <c r="V4607" s="575"/>
      <c r="W4607" s="575"/>
      <c r="X4607" s="575"/>
      <c r="Y4607" s="575"/>
    </row>
    <row r="4608" spans="1:25" s="88" customFormat="1" hidden="1">
      <c r="A4608" s="263"/>
      <c r="B4608" s="263"/>
      <c r="C4608" s="266"/>
      <c r="D4608" s="263"/>
      <c r="E4608" s="263"/>
      <c r="F4608" s="569">
        <v>541</v>
      </c>
      <c r="G4608" s="562" t="s">
        <v>4206</v>
      </c>
      <c r="H4608" s="634"/>
      <c r="I4608" s="635"/>
      <c r="J4608" s="635">
        <f t="shared" si="138"/>
        <v>0</v>
      </c>
      <c r="K4608" s="575"/>
      <c r="L4608" s="575"/>
      <c r="M4608" s="575"/>
      <c r="N4608" s="575"/>
      <c r="O4608" s="575"/>
      <c r="P4608" s="575"/>
      <c r="Q4608" s="575"/>
      <c r="R4608" s="575"/>
      <c r="S4608" s="575"/>
      <c r="T4608" s="575"/>
      <c r="U4608" s="575"/>
      <c r="V4608" s="575"/>
      <c r="W4608" s="575"/>
      <c r="X4608" s="575"/>
      <c r="Y4608" s="575"/>
    </row>
    <row r="4609" spans="1:25" s="88" customFormat="1" hidden="1">
      <c r="A4609" s="263"/>
      <c r="B4609" s="263"/>
      <c r="C4609" s="266"/>
      <c r="D4609" s="263"/>
      <c r="E4609" s="263"/>
      <c r="F4609" s="569">
        <v>542</v>
      </c>
      <c r="G4609" s="562" t="s">
        <v>4207</v>
      </c>
      <c r="H4609" s="634"/>
      <c r="I4609" s="635"/>
      <c r="J4609" s="635">
        <f t="shared" si="138"/>
        <v>0</v>
      </c>
      <c r="K4609" s="575"/>
      <c r="L4609" s="575"/>
      <c r="M4609" s="575"/>
      <c r="N4609" s="575"/>
      <c r="O4609" s="575"/>
      <c r="P4609" s="575"/>
      <c r="Q4609" s="575"/>
      <c r="R4609" s="575"/>
      <c r="S4609" s="575"/>
      <c r="T4609" s="575"/>
      <c r="U4609" s="575"/>
      <c r="V4609" s="575"/>
      <c r="W4609" s="575"/>
      <c r="X4609" s="575"/>
      <c r="Y4609" s="575"/>
    </row>
    <row r="4610" spans="1:25" s="88" customFormat="1" hidden="1">
      <c r="A4610" s="263"/>
      <c r="B4610" s="263"/>
      <c r="C4610" s="266"/>
      <c r="D4610" s="263"/>
      <c r="E4610" s="263"/>
      <c r="F4610" s="569">
        <v>543</v>
      </c>
      <c r="G4610" s="562" t="s">
        <v>3848</v>
      </c>
      <c r="H4610" s="634"/>
      <c r="I4610" s="635"/>
      <c r="J4610" s="635">
        <f t="shared" si="138"/>
        <v>0</v>
      </c>
      <c r="K4610" s="575"/>
      <c r="L4610" s="575"/>
      <c r="M4610" s="575"/>
      <c r="N4610" s="575"/>
      <c r="O4610" s="575"/>
      <c r="P4610" s="575"/>
      <c r="Q4610" s="575"/>
      <c r="R4610" s="575"/>
      <c r="S4610" s="575"/>
      <c r="T4610" s="575"/>
      <c r="U4610" s="575"/>
      <c r="V4610" s="575"/>
      <c r="W4610" s="575"/>
      <c r="X4610" s="575"/>
      <c r="Y4610" s="575"/>
    </row>
    <row r="4611" spans="1:25" s="88" customFormat="1" ht="30" hidden="1">
      <c r="A4611" s="263"/>
      <c r="B4611" s="263"/>
      <c r="C4611" s="266"/>
      <c r="D4611" s="263"/>
      <c r="E4611" s="263"/>
      <c r="F4611" s="569">
        <v>551</v>
      </c>
      <c r="G4611" s="562" t="s">
        <v>4182</v>
      </c>
      <c r="H4611" s="634"/>
      <c r="I4611" s="635"/>
      <c r="J4611" s="635">
        <f t="shared" si="138"/>
        <v>0</v>
      </c>
      <c r="K4611" s="575"/>
      <c r="L4611" s="575"/>
      <c r="M4611" s="575"/>
      <c r="N4611" s="575"/>
      <c r="O4611" s="575"/>
      <c r="P4611" s="575"/>
      <c r="Q4611" s="575"/>
      <c r="R4611" s="575"/>
      <c r="S4611" s="575"/>
      <c r="T4611" s="575"/>
      <c r="U4611" s="575"/>
      <c r="V4611" s="575"/>
      <c r="W4611" s="575"/>
      <c r="X4611" s="575"/>
      <c r="Y4611" s="575"/>
    </row>
    <row r="4612" spans="1:25" s="88" customFormat="1" hidden="1">
      <c r="A4612" s="263"/>
      <c r="B4612" s="263"/>
      <c r="C4612" s="266"/>
      <c r="D4612" s="263"/>
      <c r="E4612" s="263"/>
      <c r="F4612" s="570">
        <v>611</v>
      </c>
      <c r="G4612" s="568" t="s">
        <v>3854</v>
      </c>
      <c r="H4612" s="634"/>
      <c r="I4612" s="635"/>
      <c r="J4612" s="635">
        <f t="shared" si="138"/>
        <v>0</v>
      </c>
      <c r="K4612" s="575"/>
      <c r="L4612" s="575"/>
      <c r="M4612" s="575"/>
      <c r="N4612" s="575"/>
      <c r="O4612" s="575"/>
      <c r="P4612" s="575"/>
      <c r="Q4612" s="575"/>
      <c r="R4612" s="575"/>
      <c r="S4612" s="575"/>
      <c r="T4612" s="575"/>
      <c r="U4612" s="575"/>
      <c r="V4612" s="575"/>
      <c r="W4612" s="575"/>
      <c r="X4612" s="575"/>
      <c r="Y4612" s="575"/>
    </row>
    <row r="4613" spans="1:25" s="88" customFormat="1" ht="15.75" hidden="1" thickBot="1">
      <c r="A4613" s="263"/>
      <c r="B4613" s="263"/>
      <c r="C4613" s="266"/>
      <c r="D4613" s="263"/>
      <c r="E4613" s="263"/>
      <c r="F4613" s="570">
        <v>620</v>
      </c>
      <c r="G4613" s="568" t="s">
        <v>88</v>
      </c>
      <c r="H4613" s="634"/>
      <c r="I4613" s="635"/>
      <c r="J4613" s="635">
        <f t="shared" si="138"/>
        <v>0</v>
      </c>
      <c r="K4613" s="575"/>
      <c r="L4613" s="575"/>
      <c r="M4613" s="575"/>
      <c r="N4613" s="575"/>
      <c r="O4613" s="575"/>
      <c r="P4613" s="575"/>
      <c r="Q4613" s="575"/>
      <c r="R4613" s="575"/>
      <c r="S4613" s="575"/>
      <c r="T4613" s="575"/>
      <c r="U4613" s="575"/>
      <c r="V4613" s="575"/>
      <c r="W4613" s="575"/>
      <c r="X4613" s="575"/>
      <c r="Y4613" s="575"/>
    </row>
    <row r="4614" spans="1:25" s="88" customFormat="1">
      <c r="A4614" s="263"/>
      <c r="B4614" s="263"/>
      <c r="C4614" s="266"/>
      <c r="D4614" s="263"/>
      <c r="E4614" s="263"/>
      <c r="F4614" s="570"/>
      <c r="G4614" s="568" t="s">
        <v>5245</v>
      </c>
      <c r="H4614" s="634"/>
      <c r="I4614" s="635"/>
      <c r="J4614" s="635"/>
      <c r="K4614" s="575"/>
      <c r="L4614" s="575"/>
      <c r="M4614" s="575"/>
      <c r="N4614" s="575"/>
      <c r="O4614" s="575"/>
      <c r="P4614" s="575"/>
      <c r="Q4614" s="575"/>
      <c r="R4614" s="575"/>
      <c r="S4614" s="575"/>
      <c r="T4614" s="575"/>
      <c r="U4614" s="575"/>
      <c r="V4614" s="575"/>
      <c r="W4614" s="575"/>
      <c r="X4614" s="575"/>
      <c r="Y4614" s="575"/>
    </row>
    <row r="4615" spans="1:25" s="88" customFormat="1">
      <c r="A4615" s="263"/>
      <c r="B4615" s="263"/>
      <c r="C4615" s="266"/>
      <c r="D4615" s="263"/>
      <c r="E4615" s="263"/>
      <c r="F4615" s="570"/>
      <c r="G4615" s="568" t="s">
        <v>5246</v>
      </c>
      <c r="H4615" s="634"/>
      <c r="I4615" s="635"/>
      <c r="J4615" s="635"/>
      <c r="K4615" s="575"/>
      <c r="L4615" s="575"/>
      <c r="M4615" s="575"/>
      <c r="N4615" s="575"/>
      <c r="O4615" s="575"/>
      <c r="P4615" s="575"/>
      <c r="Q4615" s="575"/>
      <c r="R4615" s="575"/>
      <c r="S4615" s="575"/>
      <c r="T4615" s="575"/>
      <c r="U4615" s="575"/>
      <c r="V4615" s="575"/>
      <c r="W4615" s="575"/>
      <c r="X4615" s="575"/>
      <c r="Y4615" s="575"/>
    </row>
    <row r="4616" spans="1:25" s="88" customFormat="1">
      <c r="A4616" s="263"/>
      <c r="B4616" s="263"/>
      <c r="C4616" s="266"/>
      <c r="D4616" s="263"/>
      <c r="E4616" s="263"/>
      <c r="F4616" s="570"/>
      <c r="G4616" s="568" t="s">
        <v>5272</v>
      </c>
      <c r="H4616" s="634"/>
      <c r="I4616" s="635"/>
      <c r="J4616" s="635"/>
      <c r="K4616" s="575"/>
      <c r="L4616" s="575"/>
      <c r="M4616" s="575"/>
      <c r="N4616" s="575"/>
      <c r="O4616" s="575"/>
      <c r="P4616" s="575"/>
      <c r="Q4616" s="575"/>
      <c r="R4616" s="575"/>
      <c r="S4616" s="575"/>
      <c r="T4616" s="575"/>
      <c r="U4616" s="575"/>
      <c r="V4616" s="575"/>
      <c r="W4616" s="575"/>
      <c r="X4616" s="575"/>
      <c r="Y4616" s="575"/>
    </row>
    <row r="4617" spans="1:25" s="88" customFormat="1">
      <c r="A4617" s="263"/>
      <c r="B4617" s="263"/>
      <c r="C4617" s="266"/>
      <c r="D4617" s="263"/>
      <c r="E4617" s="263"/>
      <c r="F4617" s="570"/>
      <c r="G4617" s="568" t="s">
        <v>5267</v>
      </c>
      <c r="H4617" s="634"/>
      <c r="I4617" s="635"/>
      <c r="J4617" s="635"/>
      <c r="K4617" s="575"/>
      <c r="L4617" s="575"/>
      <c r="M4617" s="575"/>
      <c r="N4617" s="575"/>
      <c r="O4617" s="575"/>
      <c r="P4617" s="575"/>
      <c r="Q4617" s="575"/>
      <c r="R4617" s="575"/>
      <c r="S4617" s="575"/>
      <c r="T4617" s="575"/>
      <c r="U4617" s="575"/>
      <c r="V4617" s="575"/>
      <c r="W4617" s="575"/>
      <c r="X4617" s="575"/>
      <c r="Y4617" s="575"/>
    </row>
    <row r="4618" spans="1:25" s="88" customFormat="1">
      <c r="A4618" s="263"/>
      <c r="B4618" s="263"/>
      <c r="C4618" s="266"/>
      <c r="D4618" s="263"/>
      <c r="E4618" s="263"/>
      <c r="F4618" s="570"/>
      <c r="G4618" s="568" t="s">
        <v>5247</v>
      </c>
      <c r="H4618" s="634"/>
      <c r="I4618" s="635"/>
      <c r="J4618" s="635"/>
      <c r="K4618" s="575"/>
      <c r="L4618" s="575"/>
      <c r="M4618" s="575"/>
      <c r="N4618" s="575"/>
      <c r="O4618" s="575"/>
      <c r="P4618" s="575"/>
      <c r="Q4618" s="575"/>
      <c r="R4618" s="575"/>
      <c r="S4618" s="575"/>
      <c r="T4618" s="575"/>
      <c r="U4618" s="575"/>
      <c r="V4618" s="575"/>
      <c r="W4618" s="575"/>
      <c r="X4618" s="575"/>
      <c r="Y4618" s="575"/>
    </row>
    <row r="4619" spans="1:25" s="88" customFormat="1">
      <c r="A4619" s="263"/>
      <c r="B4619" s="263"/>
      <c r="C4619" s="266"/>
      <c r="D4619" s="263"/>
      <c r="E4619" s="263"/>
      <c r="F4619" s="570"/>
      <c r="G4619" s="568" t="s">
        <v>5268</v>
      </c>
      <c r="H4619" s="634"/>
      <c r="I4619" s="635"/>
      <c r="J4619" s="635"/>
      <c r="K4619" s="575"/>
      <c r="L4619" s="575"/>
      <c r="M4619" s="575"/>
      <c r="N4619" s="575"/>
      <c r="O4619" s="575"/>
      <c r="P4619" s="575"/>
      <c r="Q4619" s="575"/>
      <c r="R4619" s="575"/>
      <c r="S4619" s="575"/>
      <c r="T4619" s="575"/>
      <c r="U4619" s="575"/>
      <c r="V4619" s="575"/>
      <c r="W4619" s="575"/>
      <c r="X4619" s="575"/>
      <c r="Y4619" s="575"/>
    </row>
    <row r="4620" spans="1:25" s="88" customFormat="1">
      <c r="A4620" s="263"/>
      <c r="B4620" s="263"/>
      <c r="C4620" s="266"/>
      <c r="D4620" s="263"/>
      <c r="E4620" s="263"/>
      <c r="F4620" s="570"/>
      <c r="G4620" s="568" t="s">
        <v>5269</v>
      </c>
      <c r="H4620" s="634"/>
      <c r="I4620" s="635"/>
      <c r="J4620" s="635"/>
      <c r="K4620" s="575"/>
      <c r="L4620" s="575"/>
      <c r="M4620" s="575"/>
      <c r="N4620" s="575"/>
      <c r="O4620" s="575"/>
      <c r="P4620" s="575"/>
      <c r="Q4620" s="575"/>
      <c r="R4620" s="575"/>
      <c r="S4620" s="575"/>
      <c r="T4620" s="575"/>
      <c r="U4620" s="575"/>
      <c r="V4620" s="575"/>
      <c r="W4620" s="575"/>
      <c r="X4620" s="575"/>
      <c r="Y4620" s="575"/>
    </row>
    <row r="4621" spans="1:25" s="88" customFormat="1">
      <c r="A4621" s="263"/>
      <c r="B4621" s="263"/>
      <c r="C4621" s="266"/>
      <c r="D4621" s="263"/>
      <c r="E4621" s="263"/>
      <c r="F4621" s="570"/>
      <c r="G4621" s="568" t="s">
        <v>5248</v>
      </c>
      <c r="H4621" s="634"/>
      <c r="I4621" s="635"/>
      <c r="J4621" s="635"/>
      <c r="K4621" s="575"/>
      <c r="L4621" s="575"/>
      <c r="M4621" s="575"/>
      <c r="N4621" s="575"/>
      <c r="O4621" s="575"/>
      <c r="P4621" s="575"/>
      <c r="Q4621" s="575"/>
      <c r="R4621" s="575"/>
      <c r="S4621" s="575"/>
      <c r="T4621" s="575"/>
      <c r="U4621" s="575"/>
      <c r="V4621" s="575"/>
      <c r="W4621" s="575"/>
      <c r="X4621" s="575"/>
      <c r="Y4621" s="575"/>
    </row>
    <row r="4622" spans="1:25" s="88" customFormat="1">
      <c r="A4622" s="263"/>
      <c r="B4622" s="263"/>
      <c r="C4622" s="266"/>
      <c r="D4622" s="263"/>
      <c r="E4622" s="263"/>
      <c r="F4622" s="570"/>
      <c r="G4622" s="568" t="s">
        <v>5270</v>
      </c>
      <c r="H4622" s="634"/>
      <c r="I4622" s="635"/>
      <c r="J4622" s="635"/>
      <c r="K4622" s="575"/>
      <c r="L4622" s="575"/>
      <c r="M4622" s="575"/>
      <c r="N4622" s="575"/>
      <c r="O4622" s="575"/>
      <c r="P4622" s="575"/>
      <c r="Q4622" s="575"/>
      <c r="R4622" s="575"/>
      <c r="S4622" s="575"/>
      <c r="T4622" s="575"/>
      <c r="U4622" s="575"/>
      <c r="V4622" s="575"/>
      <c r="W4622" s="575"/>
      <c r="X4622" s="575"/>
      <c r="Y4622" s="575"/>
    </row>
    <row r="4623" spans="1:25" s="88" customFormat="1">
      <c r="A4623" s="263"/>
      <c r="B4623" s="263"/>
      <c r="C4623" s="266"/>
      <c r="D4623" s="263"/>
      <c r="E4623" s="263"/>
      <c r="F4623" s="570"/>
      <c r="G4623" s="568" t="s">
        <v>5249</v>
      </c>
      <c r="H4623" s="634"/>
      <c r="I4623" s="635"/>
      <c r="J4623" s="635"/>
      <c r="K4623" s="575"/>
      <c r="L4623" s="575"/>
      <c r="M4623" s="575"/>
      <c r="N4623" s="575"/>
      <c r="O4623" s="575"/>
      <c r="P4623" s="575"/>
      <c r="Q4623" s="575"/>
      <c r="R4623" s="575"/>
      <c r="S4623" s="575"/>
      <c r="T4623" s="575"/>
      <c r="U4623" s="575"/>
      <c r="V4623" s="575"/>
      <c r="W4623" s="575"/>
      <c r="X4623" s="575"/>
      <c r="Y4623" s="575"/>
    </row>
    <row r="4624" spans="1:25" s="88" customFormat="1" ht="15.75" customHeight="1">
      <c r="A4624" s="263"/>
      <c r="B4624" s="263"/>
      <c r="C4624" s="266"/>
      <c r="D4624" s="263"/>
      <c r="E4624" s="263"/>
      <c r="F4624" s="570"/>
      <c r="G4624" s="568" t="s">
        <v>5271</v>
      </c>
      <c r="H4624" s="634"/>
      <c r="I4624" s="635"/>
      <c r="J4624" s="635"/>
      <c r="K4624" s="575"/>
      <c r="L4624" s="575"/>
      <c r="M4624" s="575"/>
      <c r="N4624" s="575"/>
      <c r="O4624" s="575"/>
      <c r="P4624" s="575"/>
      <c r="Q4624" s="575"/>
      <c r="R4624" s="575"/>
      <c r="S4624" s="575"/>
      <c r="T4624" s="575"/>
      <c r="U4624" s="575"/>
      <c r="V4624" s="575"/>
      <c r="W4624" s="575"/>
      <c r="X4624" s="575"/>
      <c r="Y4624" s="575"/>
    </row>
    <row r="4625" spans="1:25" s="88" customFormat="1">
      <c r="A4625" s="263"/>
      <c r="B4625" s="263"/>
      <c r="C4625" s="266"/>
      <c r="D4625" s="263"/>
      <c r="E4625" s="263"/>
      <c r="F4625" s="570"/>
      <c r="G4625" s="568" t="s">
        <v>5273</v>
      </c>
      <c r="H4625" s="634"/>
      <c r="I4625" s="635"/>
      <c r="J4625" s="635"/>
      <c r="K4625" s="575"/>
      <c r="L4625" s="575"/>
      <c r="M4625" s="575"/>
      <c r="N4625" s="575"/>
      <c r="O4625" s="575"/>
      <c r="P4625" s="575"/>
      <c r="Q4625" s="575"/>
      <c r="R4625" s="575"/>
      <c r="S4625" s="575"/>
      <c r="T4625" s="575"/>
      <c r="U4625" s="575"/>
      <c r="V4625" s="575"/>
      <c r="W4625" s="575"/>
      <c r="X4625" s="575"/>
      <c r="Y4625" s="575"/>
    </row>
    <row r="4626" spans="1:25" s="88" customFormat="1" ht="15.75" thickBot="1">
      <c r="A4626" s="263"/>
      <c r="B4626" s="263"/>
      <c r="C4626" s="266"/>
      <c r="D4626" s="263"/>
      <c r="E4626" s="263"/>
      <c r="F4626" s="570"/>
      <c r="G4626" s="568" t="s">
        <v>5401</v>
      </c>
      <c r="H4626" s="634"/>
      <c r="I4626" s="635"/>
      <c r="J4626" s="635"/>
      <c r="K4626" s="575"/>
      <c r="L4626" s="575"/>
      <c r="M4626" s="575"/>
      <c r="N4626" s="575"/>
      <c r="O4626" s="575"/>
      <c r="P4626" s="575"/>
      <c r="Q4626" s="575"/>
      <c r="R4626" s="575"/>
      <c r="S4626" s="575"/>
      <c r="T4626" s="575"/>
      <c r="U4626" s="575"/>
      <c r="V4626" s="575"/>
      <c r="W4626" s="575"/>
      <c r="X4626" s="575"/>
      <c r="Y4626" s="575"/>
    </row>
    <row r="4627" spans="1:25" s="88" customFormat="1" hidden="1">
      <c r="A4627" s="263"/>
      <c r="B4627" s="263"/>
      <c r="C4627" s="266"/>
      <c r="D4627" s="263"/>
      <c r="E4627" s="263"/>
      <c r="F4627" s="570"/>
      <c r="G4627" s="568"/>
      <c r="H4627" s="634"/>
      <c r="I4627" s="635"/>
      <c r="J4627" s="635"/>
      <c r="K4627" s="575"/>
      <c r="L4627" s="575"/>
      <c r="M4627" s="575"/>
      <c r="N4627" s="575"/>
      <c r="O4627" s="575"/>
      <c r="P4627" s="575"/>
      <c r="Q4627" s="575"/>
      <c r="R4627" s="575"/>
      <c r="S4627" s="575"/>
      <c r="T4627" s="575"/>
      <c r="U4627" s="575"/>
      <c r="V4627" s="575"/>
      <c r="W4627" s="575"/>
      <c r="X4627" s="575"/>
      <c r="Y4627" s="575"/>
    </row>
    <row r="4628" spans="1:25" s="88" customFormat="1" hidden="1">
      <c r="A4628" s="263"/>
      <c r="B4628" s="263"/>
      <c r="C4628" s="266"/>
      <c r="D4628" s="263"/>
      <c r="E4628" s="263"/>
      <c r="F4628" s="570"/>
      <c r="G4628" s="568"/>
      <c r="H4628" s="634"/>
      <c r="I4628" s="635"/>
      <c r="J4628" s="635"/>
      <c r="K4628" s="575"/>
      <c r="L4628" s="575"/>
      <c r="M4628" s="575"/>
      <c r="N4628" s="575"/>
      <c r="O4628" s="575"/>
      <c r="P4628" s="575"/>
      <c r="Q4628" s="575"/>
      <c r="R4628" s="575"/>
      <c r="S4628" s="575"/>
      <c r="T4628" s="575"/>
      <c r="U4628" s="575"/>
      <c r="V4628" s="575"/>
      <c r="W4628" s="575"/>
      <c r="X4628" s="575"/>
      <c r="Y4628" s="575"/>
    </row>
    <row r="4629" spans="1:25" s="88" customFormat="1" hidden="1">
      <c r="A4629" s="263"/>
      <c r="B4629" s="263"/>
      <c r="C4629" s="266"/>
      <c r="D4629" s="263"/>
      <c r="E4629" s="263"/>
      <c r="F4629" s="570"/>
      <c r="G4629" s="568"/>
      <c r="H4629" s="634"/>
      <c r="I4629" s="635"/>
      <c r="J4629" s="635"/>
      <c r="K4629" s="575"/>
      <c r="L4629" s="575"/>
      <c r="M4629" s="575"/>
      <c r="N4629" s="575"/>
      <c r="O4629" s="575"/>
      <c r="P4629" s="575"/>
      <c r="Q4629" s="575"/>
      <c r="R4629" s="575"/>
      <c r="S4629" s="575"/>
      <c r="T4629" s="575"/>
      <c r="U4629" s="575"/>
      <c r="V4629" s="575"/>
      <c r="W4629" s="575"/>
      <c r="X4629" s="575"/>
      <c r="Y4629" s="575"/>
    </row>
    <row r="4630" spans="1:25" s="88" customFormat="1" hidden="1">
      <c r="A4630" s="263"/>
      <c r="B4630" s="263"/>
      <c r="C4630" s="266"/>
      <c r="D4630" s="263"/>
      <c r="E4630" s="263"/>
      <c r="F4630" s="570"/>
      <c r="G4630" s="568"/>
      <c r="H4630" s="634"/>
      <c r="I4630" s="635"/>
      <c r="J4630" s="635"/>
      <c r="K4630" s="575"/>
      <c r="L4630" s="575"/>
      <c r="M4630" s="575"/>
      <c r="N4630" s="575"/>
      <c r="O4630" s="575"/>
      <c r="P4630" s="575"/>
      <c r="Q4630" s="575"/>
      <c r="R4630" s="575"/>
      <c r="S4630" s="575"/>
      <c r="T4630" s="575"/>
      <c r="U4630" s="575"/>
      <c r="V4630" s="575"/>
      <c r="W4630" s="575"/>
      <c r="X4630" s="575"/>
      <c r="Y4630" s="575"/>
    </row>
    <row r="4631" spans="1:25" s="88" customFormat="1" ht="15.75" hidden="1" thickBot="1">
      <c r="A4631" s="263"/>
      <c r="B4631" s="263"/>
      <c r="C4631" s="266"/>
      <c r="D4631" s="263"/>
      <c r="E4631" s="263"/>
      <c r="F4631" s="570"/>
      <c r="G4631" s="568"/>
      <c r="H4631" s="634"/>
      <c r="I4631" s="635"/>
      <c r="J4631" s="635"/>
      <c r="K4631" s="575"/>
      <c r="L4631" s="575"/>
      <c r="M4631" s="575"/>
      <c r="N4631" s="575"/>
      <c r="O4631" s="575"/>
      <c r="P4631" s="575"/>
      <c r="Q4631" s="575"/>
      <c r="R4631" s="575"/>
      <c r="S4631" s="575"/>
      <c r="T4631" s="575"/>
      <c r="U4631" s="575"/>
      <c r="V4631" s="575"/>
      <c r="W4631" s="575"/>
      <c r="X4631" s="575"/>
      <c r="Y4631" s="575"/>
    </row>
    <row r="4632" spans="1:25" s="88" customFormat="1">
      <c r="A4632" s="263"/>
      <c r="B4632" s="263"/>
      <c r="C4632" s="266"/>
      <c r="D4632" s="263"/>
      <c r="E4632" s="559"/>
      <c r="F4632" s="570"/>
      <c r="G4632" s="372" t="s">
        <v>4456</v>
      </c>
      <c r="H4632" s="636"/>
      <c r="I4632" s="662"/>
      <c r="J4632" s="637"/>
      <c r="K4632" s="575"/>
      <c r="L4632" s="575"/>
      <c r="M4632" s="575"/>
      <c r="N4632" s="575"/>
      <c r="O4632" s="575"/>
      <c r="P4632" s="575"/>
      <c r="Q4632" s="575"/>
      <c r="R4632" s="575"/>
      <c r="S4632" s="575"/>
      <c r="T4632" s="575"/>
      <c r="U4632" s="575"/>
      <c r="V4632" s="575"/>
      <c r="W4632" s="575"/>
      <c r="X4632" s="575"/>
      <c r="Y4632" s="575"/>
    </row>
    <row r="4633" spans="1:25" s="88" customFormat="1" ht="15.75" thickBot="1">
      <c r="A4633" s="263"/>
      <c r="B4633" s="263"/>
      <c r="C4633" s="266"/>
      <c r="D4633" s="263"/>
      <c r="E4633" s="267"/>
      <c r="F4633" s="294" t="s">
        <v>234</v>
      </c>
      <c r="G4633" s="297" t="s">
        <v>235</v>
      </c>
      <c r="H4633" s="638">
        <f>SUM(H4554:H4613)</f>
        <v>6136840</v>
      </c>
      <c r="I4633" s="639"/>
      <c r="J4633" s="639">
        <f t="shared" ref="J4633:J4648" si="139">SUM(H4633:I4633)</f>
        <v>6136840</v>
      </c>
      <c r="K4633" s="575"/>
      <c r="L4633" s="575"/>
      <c r="M4633" s="575"/>
      <c r="N4633" s="575"/>
      <c r="O4633" s="575"/>
      <c r="P4633" s="575"/>
      <c r="Q4633" s="575"/>
      <c r="R4633" s="575"/>
      <c r="S4633" s="575"/>
      <c r="T4633" s="575"/>
      <c r="U4633" s="575"/>
      <c r="V4633" s="575"/>
      <c r="W4633" s="575"/>
      <c r="X4633" s="575"/>
      <c r="Y4633" s="575"/>
    </row>
    <row r="4634" spans="1:25" s="88" customFormat="1" hidden="1">
      <c r="A4634" s="263"/>
      <c r="B4634" s="263"/>
      <c r="C4634" s="266"/>
      <c r="D4634" s="263"/>
      <c r="E4634" s="263"/>
      <c r="F4634" s="294" t="s">
        <v>236</v>
      </c>
      <c r="G4634" s="297" t="s">
        <v>237</v>
      </c>
      <c r="H4634" s="634"/>
      <c r="I4634" s="635"/>
      <c r="J4634" s="639">
        <f t="shared" si="139"/>
        <v>0</v>
      </c>
      <c r="K4634" s="575"/>
      <c r="L4634" s="575"/>
      <c r="M4634" s="575"/>
      <c r="N4634" s="575"/>
      <c r="O4634" s="575"/>
      <c r="P4634" s="575"/>
      <c r="Q4634" s="575"/>
      <c r="R4634" s="575"/>
      <c r="S4634" s="575"/>
      <c r="T4634" s="575"/>
      <c r="U4634" s="575"/>
      <c r="V4634" s="575"/>
      <c r="W4634" s="575"/>
      <c r="X4634" s="575"/>
      <c r="Y4634" s="575"/>
    </row>
    <row r="4635" spans="1:25" s="88" customFormat="1" hidden="1">
      <c r="A4635" s="263"/>
      <c r="B4635" s="263"/>
      <c r="C4635" s="266"/>
      <c r="D4635" s="263"/>
      <c r="E4635" s="263"/>
      <c r="F4635" s="294" t="s">
        <v>238</v>
      </c>
      <c r="G4635" s="297" t="s">
        <v>239</v>
      </c>
      <c r="H4635" s="634"/>
      <c r="I4635" s="635"/>
      <c r="J4635" s="639">
        <f t="shared" si="139"/>
        <v>0</v>
      </c>
      <c r="K4635" s="575"/>
      <c r="L4635" s="575"/>
      <c r="M4635" s="575"/>
      <c r="N4635" s="575"/>
      <c r="O4635" s="575"/>
      <c r="P4635" s="575"/>
      <c r="Q4635" s="575"/>
      <c r="R4635" s="575"/>
      <c r="S4635" s="575"/>
      <c r="T4635" s="575"/>
      <c r="U4635" s="575"/>
      <c r="V4635" s="575"/>
      <c r="W4635" s="575"/>
      <c r="X4635" s="575"/>
      <c r="Y4635" s="575"/>
    </row>
    <row r="4636" spans="1:25" s="88" customFormat="1" hidden="1">
      <c r="A4636" s="263"/>
      <c r="B4636" s="263"/>
      <c r="C4636" s="266"/>
      <c r="D4636" s="263"/>
      <c r="E4636" s="263"/>
      <c r="F4636" s="294" t="s">
        <v>240</v>
      </c>
      <c r="G4636" s="297" t="s">
        <v>241</v>
      </c>
      <c r="H4636" s="634"/>
      <c r="I4636" s="635"/>
      <c r="J4636" s="639">
        <f t="shared" si="139"/>
        <v>0</v>
      </c>
      <c r="K4636" s="575"/>
      <c r="L4636" s="575"/>
      <c r="M4636" s="575"/>
      <c r="N4636" s="575"/>
      <c r="O4636" s="575"/>
      <c r="P4636" s="575"/>
      <c r="Q4636" s="575"/>
      <c r="R4636" s="575"/>
      <c r="S4636" s="575"/>
      <c r="T4636" s="575"/>
      <c r="U4636" s="575"/>
      <c r="V4636" s="575"/>
      <c r="W4636" s="575"/>
      <c r="X4636" s="575"/>
      <c r="Y4636" s="575"/>
    </row>
    <row r="4637" spans="1:25" s="88" customFormat="1" hidden="1">
      <c r="A4637" s="263"/>
      <c r="B4637" s="263"/>
      <c r="C4637" s="266"/>
      <c r="D4637" s="263"/>
      <c r="E4637" s="263"/>
      <c r="F4637" s="294" t="s">
        <v>242</v>
      </c>
      <c r="G4637" s="297" t="s">
        <v>243</v>
      </c>
      <c r="H4637" s="634"/>
      <c r="I4637" s="635"/>
      <c r="J4637" s="639">
        <f t="shared" si="139"/>
        <v>0</v>
      </c>
      <c r="K4637" s="575"/>
      <c r="L4637" s="575"/>
      <c r="M4637" s="575"/>
      <c r="N4637" s="575"/>
      <c r="O4637" s="575"/>
      <c r="P4637" s="575"/>
      <c r="Q4637" s="575"/>
      <c r="R4637" s="575"/>
      <c r="S4637" s="575"/>
      <c r="T4637" s="575"/>
      <c r="U4637" s="575"/>
      <c r="V4637" s="575"/>
      <c r="W4637" s="575"/>
      <c r="X4637" s="575"/>
      <c r="Y4637" s="575"/>
    </row>
    <row r="4638" spans="1:25" s="88" customFormat="1" hidden="1">
      <c r="A4638" s="263"/>
      <c r="B4638" s="263"/>
      <c r="C4638" s="266"/>
      <c r="D4638" s="263"/>
      <c r="E4638" s="263"/>
      <c r="F4638" s="294" t="s">
        <v>244</v>
      </c>
      <c r="G4638" s="297" t="s">
        <v>245</v>
      </c>
      <c r="H4638" s="634"/>
      <c r="I4638" s="635"/>
      <c r="J4638" s="639">
        <f t="shared" si="139"/>
        <v>0</v>
      </c>
      <c r="K4638" s="575"/>
      <c r="L4638" s="575"/>
      <c r="M4638" s="575"/>
      <c r="N4638" s="575"/>
      <c r="O4638" s="575"/>
      <c r="P4638" s="575"/>
      <c r="Q4638" s="575"/>
      <c r="R4638" s="575"/>
      <c r="S4638" s="575"/>
      <c r="T4638" s="575"/>
      <c r="U4638" s="575"/>
      <c r="V4638" s="575"/>
      <c r="W4638" s="575"/>
      <c r="X4638" s="575"/>
      <c r="Y4638" s="575"/>
    </row>
    <row r="4639" spans="1:25" s="88" customFormat="1" hidden="1">
      <c r="A4639" s="263"/>
      <c r="B4639" s="263"/>
      <c r="C4639" s="266"/>
      <c r="D4639" s="263"/>
      <c r="E4639" s="263"/>
      <c r="F4639" s="294" t="s">
        <v>246</v>
      </c>
      <c r="G4639" s="683" t="s">
        <v>5121</v>
      </c>
      <c r="H4639" s="634"/>
      <c r="I4639" s="635"/>
      <c r="J4639" s="639">
        <f t="shared" si="139"/>
        <v>0</v>
      </c>
      <c r="K4639" s="575"/>
      <c r="L4639" s="575"/>
      <c r="M4639" s="575"/>
      <c r="N4639" s="575"/>
      <c r="O4639" s="575"/>
      <c r="P4639" s="575"/>
      <c r="Q4639" s="575"/>
      <c r="R4639" s="575"/>
      <c r="S4639" s="575"/>
      <c r="T4639" s="575"/>
      <c r="U4639" s="575"/>
      <c r="V4639" s="575"/>
      <c r="W4639" s="575"/>
      <c r="X4639" s="575"/>
      <c r="Y4639" s="575"/>
    </row>
    <row r="4640" spans="1:25" s="88" customFormat="1" hidden="1">
      <c r="A4640" s="263"/>
      <c r="B4640" s="263"/>
      <c r="C4640" s="266"/>
      <c r="D4640" s="263"/>
      <c r="E4640" s="263"/>
      <c r="F4640" s="294" t="s">
        <v>247</v>
      </c>
      <c r="G4640" s="683" t="s">
        <v>5120</v>
      </c>
      <c r="H4640" s="634"/>
      <c r="I4640" s="635"/>
      <c r="J4640" s="639">
        <f t="shared" si="139"/>
        <v>0</v>
      </c>
      <c r="K4640" s="575"/>
      <c r="L4640" s="575"/>
      <c r="M4640" s="575"/>
      <c r="N4640" s="575"/>
      <c r="O4640" s="575"/>
      <c r="P4640" s="575"/>
      <c r="Q4640" s="575"/>
      <c r="R4640" s="575"/>
      <c r="S4640" s="575"/>
      <c r="T4640" s="575"/>
      <c r="U4640" s="575"/>
      <c r="V4640" s="575"/>
      <c r="W4640" s="575"/>
      <c r="X4640" s="575"/>
      <c r="Y4640" s="575"/>
    </row>
    <row r="4641" spans="1:25" s="88" customFormat="1" hidden="1">
      <c r="A4641" s="263"/>
      <c r="B4641" s="263"/>
      <c r="C4641" s="266"/>
      <c r="D4641" s="263"/>
      <c r="E4641" s="263"/>
      <c r="F4641" s="294" t="s">
        <v>248</v>
      </c>
      <c r="G4641" s="297" t="s">
        <v>57</v>
      </c>
      <c r="H4641" s="634"/>
      <c r="I4641" s="635"/>
      <c r="J4641" s="639">
        <f t="shared" si="139"/>
        <v>0</v>
      </c>
      <c r="K4641" s="575"/>
      <c r="L4641" s="575"/>
      <c r="M4641" s="575"/>
      <c r="N4641" s="575"/>
      <c r="O4641" s="575"/>
      <c r="P4641" s="575"/>
      <c r="Q4641" s="575"/>
      <c r="R4641" s="575"/>
      <c r="S4641" s="575"/>
      <c r="T4641" s="575"/>
      <c r="U4641" s="575"/>
      <c r="V4641" s="575"/>
      <c r="W4641" s="575"/>
      <c r="X4641" s="575"/>
      <c r="Y4641" s="575"/>
    </row>
    <row r="4642" spans="1:25" s="88" customFormat="1" hidden="1">
      <c r="A4642" s="263"/>
      <c r="B4642" s="263"/>
      <c r="C4642" s="266"/>
      <c r="D4642" s="263"/>
      <c r="E4642" s="263"/>
      <c r="F4642" s="294" t="s">
        <v>249</v>
      </c>
      <c r="G4642" s="297" t="s">
        <v>250</v>
      </c>
      <c r="H4642" s="634"/>
      <c r="I4642" s="635"/>
      <c r="J4642" s="639">
        <f t="shared" si="139"/>
        <v>0</v>
      </c>
      <c r="K4642" s="575"/>
      <c r="L4642" s="575"/>
      <c r="M4642" s="575"/>
      <c r="N4642" s="575"/>
      <c r="O4642" s="575"/>
      <c r="P4642" s="575"/>
      <c r="Q4642" s="575"/>
      <c r="R4642" s="575"/>
      <c r="S4642" s="575"/>
      <c r="T4642" s="575"/>
      <c r="U4642" s="575"/>
      <c r="V4642" s="575"/>
      <c r="W4642" s="575"/>
      <c r="X4642" s="575"/>
      <c r="Y4642" s="575"/>
    </row>
    <row r="4643" spans="1:25" s="88" customFormat="1" hidden="1">
      <c r="A4643" s="263"/>
      <c r="B4643" s="263"/>
      <c r="C4643" s="266"/>
      <c r="D4643" s="263"/>
      <c r="E4643" s="263"/>
      <c r="F4643" s="294" t="s">
        <v>251</v>
      </c>
      <c r="G4643" s="297" t="s">
        <v>252</v>
      </c>
      <c r="H4643" s="634"/>
      <c r="I4643" s="635"/>
      <c r="J4643" s="639">
        <f t="shared" si="139"/>
        <v>0</v>
      </c>
      <c r="K4643" s="575"/>
      <c r="L4643" s="575"/>
      <c r="M4643" s="575"/>
      <c r="N4643" s="575"/>
      <c r="O4643" s="575"/>
      <c r="P4643" s="575"/>
      <c r="Q4643" s="575"/>
      <c r="R4643" s="575"/>
      <c r="S4643" s="575"/>
      <c r="T4643" s="575"/>
      <c r="U4643" s="575"/>
      <c r="V4643" s="575"/>
      <c r="W4643" s="575"/>
      <c r="X4643" s="575"/>
      <c r="Y4643" s="575"/>
    </row>
    <row r="4644" spans="1:25" s="88" customFormat="1" hidden="1">
      <c r="A4644" s="263"/>
      <c r="B4644" s="263"/>
      <c r="C4644" s="266"/>
      <c r="D4644" s="263"/>
      <c r="E4644" s="263"/>
      <c r="F4644" s="294" t="s">
        <v>253</v>
      </c>
      <c r="G4644" s="297" t="s">
        <v>254</v>
      </c>
      <c r="H4644" s="634"/>
      <c r="I4644" s="635"/>
      <c r="J4644" s="639">
        <f t="shared" si="139"/>
        <v>0</v>
      </c>
      <c r="K4644" s="575"/>
      <c r="L4644" s="575"/>
      <c r="M4644" s="575"/>
      <c r="N4644" s="575"/>
      <c r="O4644" s="575"/>
      <c r="P4644" s="575"/>
      <c r="Q4644" s="575"/>
      <c r="R4644" s="575"/>
      <c r="S4644" s="575"/>
      <c r="T4644" s="575"/>
      <c r="U4644" s="575"/>
      <c r="V4644" s="575"/>
      <c r="W4644" s="575"/>
      <c r="X4644" s="575"/>
      <c r="Y4644" s="575"/>
    </row>
    <row r="4645" spans="1:25" s="88" customFormat="1" hidden="1">
      <c r="A4645" s="263"/>
      <c r="B4645" s="263"/>
      <c r="C4645" s="266"/>
      <c r="D4645" s="263"/>
      <c r="E4645" s="263"/>
      <c r="F4645" s="294" t="s">
        <v>255</v>
      </c>
      <c r="G4645" s="297" t="s">
        <v>256</v>
      </c>
      <c r="H4645" s="634"/>
      <c r="I4645" s="635"/>
      <c r="J4645" s="639">
        <f t="shared" si="139"/>
        <v>0</v>
      </c>
      <c r="K4645" s="575"/>
      <c r="L4645" s="575"/>
      <c r="M4645" s="575"/>
      <c r="N4645" s="575"/>
      <c r="O4645" s="575"/>
      <c r="P4645" s="575"/>
      <c r="Q4645" s="575"/>
      <c r="R4645" s="575"/>
      <c r="S4645" s="575"/>
      <c r="T4645" s="575"/>
      <c r="U4645" s="575"/>
      <c r="V4645" s="575"/>
      <c r="W4645" s="575"/>
      <c r="X4645" s="575"/>
      <c r="Y4645" s="575"/>
    </row>
    <row r="4646" spans="1:25" s="88" customFormat="1" hidden="1">
      <c r="A4646" s="263"/>
      <c r="B4646" s="263"/>
      <c r="C4646" s="266"/>
      <c r="D4646" s="263"/>
      <c r="E4646" s="263"/>
      <c r="F4646" s="294" t="s">
        <v>257</v>
      </c>
      <c r="G4646" s="297" t="s">
        <v>258</v>
      </c>
      <c r="H4646" s="634"/>
      <c r="I4646" s="635"/>
      <c r="J4646" s="639">
        <f t="shared" si="139"/>
        <v>0</v>
      </c>
      <c r="K4646" s="575"/>
      <c r="L4646" s="575"/>
      <c r="M4646" s="575"/>
      <c r="N4646" s="575"/>
      <c r="O4646" s="575"/>
      <c r="P4646" s="575"/>
      <c r="Q4646" s="575"/>
      <c r="R4646" s="575"/>
      <c r="S4646" s="575"/>
      <c r="T4646" s="575"/>
      <c r="U4646" s="575"/>
      <c r="V4646" s="575"/>
      <c r="W4646" s="575"/>
      <c r="X4646" s="575"/>
      <c r="Y4646" s="575"/>
    </row>
    <row r="4647" spans="1:25" s="88" customFormat="1" hidden="1">
      <c r="A4647" s="263"/>
      <c r="B4647" s="263"/>
      <c r="C4647" s="266"/>
      <c r="D4647" s="263"/>
      <c r="E4647" s="263"/>
      <c r="F4647" s="294" t="s">
        <v>259</v>
      </c>
      <c r="G4647" s="297" t="s">
        <v>260</v>
      </c>
      <c r="H4647" s="634"/>
      <c r="I4647" s="635"/>
      <c r="J4647" s="639">
        <f t="shared" si="139"/>
        <v>0</v>
      </c>
      <c r="K4647" s="575"/>
      <c r="L4647" s="575"/>
      <c r="M4647" s="575"/>
      <c r="N4647" s="575"/>
      <c r="O4647" s="575"/>
      <c r="P4647" s="575"/>
      <c r="Q4647" s="575"/>
      <c r="R4647" s="575"/>
      <c r="S4647" s="575"/>
      <c r="T4647" s="575"/>
      <c r="U4647" s="575"/>
      <c r="V4647" s="575"/>
      <c r="W4647" s="575"/>
      <c r="X4647" s="575"/>
      <c r="Y4647" s="575"/>
    </row>
    <row r="4648" spans="1:25" s="88" customFormat="1" ht="15.75" hidden="1" thickBot="1">
      <c r="A4648" s="263"/>
      <c r="B4648" s="263"/>
      <c r="C4648" s="266"/>
      <c r="D4648" s="263"/>
      <c r="E4648" s="263"/>
      <c r="F4648" s="294" t="s">
        <v>261</v>
      </c>
      <c r="G4648" s="297" t="s">
        <v>262</v>
      </c>
      <c r="H4648" s="638"/>
      <c r="I4648" s="639"/>
      <c r="J4648" s="639">
        <f t="shared" si="139"/>
        <v>0</v>
      </c>
      <c r="K4648" s="575"/>
      <c r="L4648" s="575"/>
      <c r="M4648" s="575"/>
      <c r="N4648" s="575"/>
      <c r="O4648" s="575"/>
      <c r="P4648" s="575"/>
      <c r="Q4648" s="575"/>
      <c r="R4648" s="575"/>
      <c r="S4648" s="575"/>
      <c r="T4648" s="575"/>
      <c r="U4648" s="575"/>
      <c r="V4648" s="575"/>
      <c r="W4648" s="575"/>
      <c r="X4648" s="575"/>
      <c r="Y4648" s="575"/>
    </row>
    <row r="4649" spans="1:25" s="88" customFormat="1" ht="15.75" thickBot="1">
      <c r="A4649" s="263"/>
      <c r="B4649" s="263"/>
      <c r="C4649" s="266"/>
      <c r="D4649" s="263"/>
      <c r="E4649" s="263"/>
      <c r="F4649" s="263"/>
      <c r="G4649" s="274" t="s">
        <v>4457</v>
      </c>
      <c r="H4649" s="640">
        <f>SUM(H4633:H4648)</f>
        <v>6136840</v>
      </c>
      <c r="I4649" s="641">
        <f>SUM(I4634:I4648)</f>
        <v>0</v>
      </c>
      <c r="J4649" s="641">
        <f>SUM(J4633:J4648)</f>
        <v>6136840</v>
      </c>
      <c r="K4649" s="575"/>
      <c r="L4649" s="575"/>
      <c r="M4649" s="575"/>
      <c r="N4649" s="575"/>
      <c r="O4649" s="575"/>
      <c r="P4649" s="575"/>
      <c r="Q4649" s="575"/>
      <c r="R4649" s="575"/>
      <c r="S4649" s="575"/>
      <c r="T4649" s="575"/>
      <c r="U4649" s="575"/>
      <c r="V4649" s="575"/>
      <c r="W4649" s="575"/>
      <c r="X4649" s="575"/>
      <c r="Y4649" s="575"/>
    </row>
    <row r="4650" spans="1:25" s="88" customFormat="1">
      <c r="A4650" s="263"/>
      <c r="B4650" s="263"/>
      <c r="C4650" s="266"/>
      <c r="D4650" s="263"/>
      <c r="E4650" s="559"/>
      <c r="F4650" s="570"/>
      <c r="G4650" s="276" t="s">
        <v>4468</v>
      </c>
      <c r="H4650" s="642"/>
      <c r="I4650" s="663"/>
      <c r="J4650" s="643"/>
      <c r="K4650" s="575"/>
      <c r="L4650" s="575"/>
      <c r="M4650" s="575"/>
      <c r="N4650" s="575"/>
      <c r="O4650" s="575"/>
      <c r="P4650" s="575"/>
      <c r="Q4650" s="575"/>
      <c r="R4650" s="575"/>
      <c r="S4650" s="575"/>
      <c r="T4650" s="575"/>
      <c r="U4650" s="575"/>
      <c r="V4650" s="575"/>
      <c r="W4650" s="575"/>
      <c r="X4650" s="575"/>
      <c r="Y4650" s="575"/>
    </row>
    <row r="4651" spans="1:25" s="88" customFormat="1" ht="15.75" thickBot="1">
      <c r="A4651" s="263"/>
      <c r="B4651" s="263"/>
      <c r="C4651" s="266"/>
      <c r="D4651" s="263"/>
      <c r="E4651" s="267"/>
      <c r="F4651" s="294" t="s">
        <v>234</v>
      </c>
      <c r="G4651" s="297" t="s">
        <v>235</v>
      </c>
      <c r="H4651" s="638">
        <f>SUM(H4554:H4613)</f>
        <v>6136840</v>
      </c>
      <c r="I4651" s="639"/>
      <c r="J4651" s="639">
        <f>SUM(H4651:I4651)</f>
        <v>6136840</v>
      </c>
      <c r="K4651" s="575"/>
      <c r="L4651" s="575"/>
      <c r="M4651" s="575"/>
      <c r="N4651" s="575"/>
      <c r="O4651" s="575"/>
      <c r="P4651" s="575"/>
      <c r="Q4651" s="575"/>
      <c r="R4651" s="575"/>
      <c r="S4651" s="575"/>
      <c r="T4651" s="575"/>
      <c r="U4651" s="575"/>
      <c r="V4651" s="575"/>
      <c r="W4651" s="575"/>
      <c r="X4651" s="575"/>
      <c r="Y4651" s="575"/>
    </row>
    <row r="4652" spans="1:25" s="88" customFormat="1" hidden="1">
      <c r="A4652" s="263"/>
      <c r="B4652" s="263"/>
      <c r="C4652" s="266"/>
      <c r="D4652" s="263"/>
      <c r="E4652" s="263"/>
      <c r="F4652" s="294" t="s">
        <v>236</v>
      </c>
      <c r="G4652" s="297" t="s">
        <v>237</v>
      </c>
      <c r="H4652" s="634"/>
      <c r="I4652" s="635"/>
      <c r="J4652" s="639">
        <f t="shared" ref="J4652:J4666" si="140">SUM(H4652:I4652)</f>
        <v>0</v>
      </c>
      <c r="K4652" s="575"/>
      <c r="L4652" s="575"/>
      <c r="M4652" s="575"/>
      <c r="N4652" s="575"/>
      <c r="O4652" s="575"/>
      <c r="P4652" s="575"/>
      <c r="Q4652" s="575"/>
      <c r="R4652" s="575"/>
      <c r="S4652" s="575"/>
      <c r="T4652" s="575"/>
      <c r="U4652" s="575"/>
      <c r="V4652" s="575"/>
      <c r="W4652" s="575"/>
      <c r="X4652" s="575"/>
      <c r="Y4652" s="575"/>
    </row>
    <row r="4653" spans="1:25" s="88" customFormat="1" hidden="1">
      <c r="A4653" s="263"/>
      <c r="B4653" s="263"/>
      <c r="C4653" s="266"/>
      <c r="D4653" s="263"/>
      <c r="E4653" s="263"/>
      <c r="F4653" s="294" t="s">
        <v>238</v>
      </c>
      <c r="G4653" s="297" t="s">
        <v>239</v>
      </c>
      <c r="H4653" s="634"/>
      <c r="I4653" s="635"/>
      <c r="J4653" s="639">
        <f t="shared" si="140"/>
        <v>0</v>
      </c>
      <c r="K4653" s="575"/>
      <c r="L4653" s="575"/>
      <c r="M4653" s="575"/>
      <c r="N4653" s="575"/>
      <c r="O4653" s="575"/>
      <c r="P4653" s="575"/>
      <c r="Q4653" s="575"/>
      <c r="R4653" s="575"/>
      <c r="S4653" s="575"/>
      <c r="T4653" s="575"/>
      <c r="U4653" s="575"/>
      <c r="V4653" s="575"/>
      <c r="W4653" s="575"/>
      <c r="X4653" s="575"/>
      <c r="Y4653" s="575"/>
    </row>
    <row r="4654" spans="1:25" s="88" customFormat="1" hidden="1">
      <c r="A4654" s="263"/>
      <c r="B4654" s="263"/>
      <c r="C4654" s="266"/>
      <c r="D4654" s="263"/>
      <c r="E4654" s="263"/>
      <c r="F4654" s="294" t="s">
        <v>240</v>
      </c>
      <c r="G4654" s="297" t="s">
        <v>241</v>
      </c>
      <c r="H4654" s="634"/>
      <c r="I4654" s="635"/>
      <c r="J4654" s="639">
        <f t="shared" si="140"/>
        <v>0</v>
      </c>
      <c r="K4654" s="575"/>
      <c r="L4654" s="575"/>
      <c r="M4654" s="575"/>
      <c r="N4654" s="575"/>
      <c r="O4654" s="575"/>
      <c r="P4654" s="575"/>
      <c r="Q4654" s="575"/>
      <c r="R4654" s="575"/>
      <c r="S4654" s="575"/>
      <c r="T4654" s="575"/>
      <c r="U4654" s="575"/>
      <c r="V4654" s="575"/>
      <c r="W4654" s="575"/>
      <c r="X4654" s="575"/>
      <c r="Y4654" s="575"/>
    </row>
    <row r="4655" spans="1:25" s="88" customFormat="1" hidden="1">
      <c r="A4655" s="263"/>
      <c r="B4655" s="263"/>
      <c r="C4655" s="266"/>
      <c r="D4655" s="263"/>
      <c r="E4655" s="263"/>
      <c r="F4655" s="294" t="s">
        <v>242</v>
      </c>
      <c r="G4655" s="297" t="s">
        <v>243</v>
      </c>
      <c r="H4655" s="634"/>
      <c r="I4655" s="635"/>
      <c r="J4655" s="639">
        <f t="shared" si="140"/>
        <v>0</v>
      </c>
      <c r="K4655" s="575"/>
      <c r="L4655" s="575"/>
      <c r="M4655" s="575"/>
      <c r="N4655" s="575"/>
      <c r="O4655" s="575"/>
      <c r="P4655" s="575"/>
      <c r="Q4655" s="575"/>
      <c r="R4655" s="575"/>
      <c r="S4655" s="575"/>
      <c r="T4655" s="575"/>
      <c r="U4655" s="575"/>
      <c r="V4655" s="575"/>
      <c r="W4655" s="575"/>
      <c r="X4655" s="575"/>
      <c r="Y4655" s="575"/>
    </row>
    <row r="4656" spans="1:25" s="88" customFormat="1" hidden="1">
      <c r="A4656" s="263"/>
      <c r="B4656" s="263"/>
      <c r="C4656" s="266"/>
      <c r="D4656" s="263"/>
      <c r="E4656" s="263"/>
      <c r="F4656" s="294" t="s">
        <v>244</v>
      </c>
      <c r="G4656" s="297" t="s">
        <v>245</v>
      </c>
      <c r="H4656" s="634"/>
      <c r="I4656" s="635"/>
      <c r="J4656" s="639">
        <f t="shared" si="140"/>
        <v>0</v>
      </c>
      <c r="K4656" s="575"/>
      <c r="L4656" s="575"/>
      <c r="M4656" s="575"/>
      <c r="N4656" s="575"/>
      <c r="O4656" s="575"/>
      <c r="P4656" s="575"/>
      <c r="Q4656" s="575"/>
      <c r="R4656" s="575"/>
      <c r="S4656" s="575"/>
      <c r="T4656" s="575"/>
      <c r="U4656" s="575"/>
      <c r="V4656" s="575"/>
      <c r="W4656" s="575"/>
      <c r="X4656" s="575"/>
      <c r="Y4656" s="575"/>
    </row>
    <row r="4657" spans="1:25" s="88" customFormat="1" hidden="1">
      <c r="A4657" s="263"/>
      <c r="B4657" s="263"/>
      <c r="C4657" s="266"/>
      <c r="D4657" s="263"/>
      <c r="E4657" s="263"/>
      <c r="F4657" s="294" t="s">
        <v>246</v>
      </c>
      <c r="G4657" s="683" t="s">
        <v>5121</v>
      </c>
      <c r="H4657" s="634"/>
      <c r="I4657" s="635"/>
      <c r="J4657" s="639">
        <f t="shared" si="140"/>
        <v>0</v>
      </c>
      <c r="K4657" s="575"/>
      <c r="L4657" s="575"/>
      <c r="M4657" s="575"/>
      <c r="N4657" s="575"/>
      <c r="O4657" s="575"/>
      <c r="P4657" s="575"/>
      <c r="Q4657" s="575"/>
      <c r="R4657" s="575"/>
      <c r="S4657" s="575"/>
      <c r="T4657" s="575"/>
      <c r="U4657" s="575"/>
      <c r="V4657" s="575"/>
      <c r="W4657" s="575"/>
      <c r="X4657" s="575"/>
      <c r="Y4657" s="575"/>
    </row>
    <row r="4658" spans="1:25" s="88" customFormat="1" hidden="1">
      <c r="A4658" s="263"/>
      <c r="B4658" s="263"/>
      <c r="C4658" s="266"/>
      <c r="D4658" s="263"/>
      <c r="E4658" s="263"/>
      <c r="F4658" s="294" t="s">
        <v>247</v>
      </c>
      <c r="G4658" s="683" t="s">
        <v>5120</v>
      </c>
      <c r="H4658" s="634"/>
      <c r="I4658" s="635"/>
      <c r="J4658" s="639">
        <f t="shared" si="140"/>
        <v>0</v>
      </c>
      <c r="K4658" s="575"/>
      <c r="L4658" s="575"/>
      <c r="M4658" s="575"/>
      <c r="N4658" s="575"/>
      <c r="O4658" s="575"/>
      <c r="P4658" s="575"/>
      <c r="Q4658" s="575"/>
      <c r="R4658" s="575"/>
      <c r="S4658" s="575"/>
      <c r="T4658" s="575"/>
      <c r="U4658" s="575"/>
      <c r="V4658" s="575"/>
      <c r="W4658" s="575"/>
      <c r="X4658" s="575"/>
      <c r="Y4658" s="575"/>
    </row>
    <row r="4659" spans="1:25" s="88" customFormat="1" hidden="1">
      <c r="A4659" s="263"/>
      <c r="B4659" s="263"/>
      <c r="C4659" s="266"/>
      <c r="D4659" s="263"/>
      <c r="E4659" s="263"/>
      <c r="F4659" s="294" t="s">
        <v>248</v>
      </c>
      <c r="G4659" s="297" t="s">
        <v>57</v>
      </c>
      <c r="H4659" s="634"/>
      <c r="I4659" s="635"/>
      <c r="J4659" s="639">
        <f t="shared" si="140"/>
        <v>0</v>
      </c>
      <c r="K4659" s="575"/>
      <c r="L4659" s="575"/>
      <c r="M4659" s="575"/>
      <c r="N4659" s="575"/>
      <c r="O4659" s="575"/>
      <c r="P4659" s="575"/>
      <c r="Q4659" s="575"/>
      <c r="R4659" s="575"/>
      <c r="S4659" s="575"/>
      <c r="T4659" s="575"/>
      <c r="U4659" s="575"/>
      <c r="V4659" s="575"/>
      <c r="W4659" s="575"/>
      <c r="X4659" s="575"/>
      <c r="Y4659" s="575"/>
    </row>
    <row r="4660" spans="1:25" s="88" customFormat="1" hidden="1">
      <c r="A4660" s="263"/>
      <c r="B4660" s="263"/>
      <c r="C4660" s="266"/>
      <c r="D4660" s="263"/>
      <c r="E4660" s="263"/>
      <c r="F4660" s="294" t="s">
        <v>249</v>
      </c>
      <c r="G4660" s="297" t="s">
        <v>250</v>
      </c>
      <c r="H4660" s="634"/>
      <c r="I4660" s="635"/>
      <c r="J4660" s="639">
        <f t="shared" si="140"/>
        <v>0</v>
      </c>
      <c r="K4660" s="575"/>
      <c r="L4660" s="575"/>
      <c r="M4660" s="575"/>
      <c r="N4660" s="575"/>
      <c r="O4660" s="575"/>
      <c r="P4660" s="575"/>
      <c r="Q4660" s="575"/>
      <c r="R4660" s="575"/>
      <c r="S4660" s="575"/>
      <c r="T4660" s="575"/>
      <c r="U4660" s="575"/>
      <c r="V4660" s="575"/>
      <c r="W4660" s="575"/>
      <c r="X4660" s="575"/>
      <c r="Y4660" s="575"/>
    </row>
    <row r="4661" spans="1:25" s="88" customFormat="1" hidden="1">
      <c r="A4661" s="263"/>
      <c r="B4661" s="263"/>
      <c r="C4661" s="266"/>
      <c r="D4661" s="263"/>
      <c r="E4661" s="263"/>
      <c r="F4661" s="294" t="s">
        <v>251</v>
      </c>
      <c r="G4661" s="297" t="s">
        <v>252</v>
      </c>
      <c r="H4661" s="634"/>
      <c r="I4661" s="635"/>
      <c r="J4661" s="639">
        <f t="shared" si="140"/>
        <v>0</v>
      </c>
      <c r="K4661" s="575"/>
      <c r="L4661" s="575"/>
      <c r="M4661" s="575"/>
      <c r="N4661" s="575"/>
      <c r="O4661" s="575"/>
      <c r="P4661" s="575"/>
      <c r="Q4661" s="575"/>
      <c r="R4661" s="575"/>
      <c r="S4661" s="575"/>
      <c r="T4661" s="575"/>
      <c r="U4661" s="575"/>
      <c r="V4661" s="575"/>
      <c r="W4661" s="575"/>
      <c r="X4661" s="575"/>
      <c r="Y4661" s="575"/>
    </row>
    <row r="4662" spans="1:25" s="88" customFormat="1" hidden="1">
      <c r="A4662" s="263"/>
      <c r="B4662" s="263"/>
      <c r="C4662" s="266"/>
      <c r="D4662" s="263"/>
      <c r="E4662" s="263"/>
      <c r="F4662" s="294" t="s">
        <v>253</v>
      </c>
      <c r="G4662" s="297" t="s">
        <v>254</v>
      </c>
      <c r="H4662" s="634"/>
      <c r="I4662" s="635"/>
      <c r="J4662" s="639">
        <f t="shared" si="140"/>
        <v>0</v>
      </c>
      <c r="K4662" s="575"/>
      <c r="L4662" s="575"/>
      <c r="M4662" s="575"/>
      <c r="N4662" s="575"/>
      <c r="O4662" s="575"/>
      <c r="P4662" s="575"/>
      <c r="Q4662" s="575"/>
      <c r="R4662" s="575"/>
      <c r="S4662" s="575"/>
      <c r="T4662" s="575"/>
      <c r="U4662" s="575"/>
      <c r="V4662" s="575"/>
      <c r="W4662" s="575"/>
      <c r="X4662" s="575"/>
      <c r="Y4662" s="575"/>
    </row>
    <row r="4663" spans="1:25" s="88" customFormat="1" hidden="1">
      <c r="A4663" s="263"/>
      <c r="B4663" s="263"/>
      <c r="C4663" s="266"/>
      <c r="D4663" s="263"/>
      <c r="E4663" s="263"/>
      <c r="F4663" s="294" t="s">
        <v>255</v>
      </c>
      <c r="G4663" s="297" t="s">
        <v>256</v>
      </c>
      <c r="H4663" s="634"/>
      <c r="I4663" s="635"/>
      <c r="J4663" s="639">
        <f t="shared" si="140"/>
        <v>0</v>
      </c>
      <c r="K4663" s="575"/>
      <c r="L4663" s="575"/>
      <c r="M4663" s="575"/>
      <c r="N4663" s="575"/>
      <c r="O4663" s="575"/>
      <c r="P4663" s="575"/>
      <c r="Q4663" s="575"/>
      <c r="R4663" s="575"/>
      <c r="S4663" s="575"/>
      <c r="T4663" s="575"/>
      <c r="U4663" s="575"/>
      <c r="V4663" s="575"/>
      <c r="W4663" s="575"/>
      <c r="X4663" s="575"/>
      <c r="Y4663" s="575"/>
    </row>
    <row r="4664" spans="1:25" s="88" customFormat="1" hidden="1">
      <c r="A4664" s="263"/>
      <c r="B4664" s="263"/>
      <c r="C4664" s="266"/>
      <c r="D4664" s="263"/>
      <c r="E4664" s="263"/>
      <c r="F4664" s="294" t="s">
        <v>257</v>
      </c>
      <c r="G4664" s="297" t="s">
        <v>258</v>
      </c>
      <c r="H4664" s="634"/>
      <c r="I4664" s="635"/>
      <c r="J4664" s="639">
        <f t="shared" si="140"/>
        <v>0</v>
      </c>
      <c r="K4664" s="575"/>
      <c r="L4664" s="575"/>
      <c r="M4664" s="575"/>
      <c r="N4664" s="575"/>
      <c r="O4664" s="575"/>
      <c r="P4664" s="575"/>
      <c r="Q4664" s="575"/>
      <c r="R4664" s="575"/>
      <c r="S4664" s="575"/>
      <c r="T4664" s="575"/>
      <c r="U4664" s="575"/>
      <c r="V4664" s="575"/>
      <c r="W4664" s="575"/>
      <c r="X4664" s="575"/>
      <c r="Y4664" s="575"/>
    </row>
    <row r="4665" spans="1:25" s="88" customFormat="1" hidden="1">
      <c r="A4665" s="263"/>
      <c r="B4665" s="263"/>
      <c r="C4665" s="266"/>
      <c r="D4665" s="263"/>
      <c r="E4665" s="263"/>
      <c r="F4665" s="294" t="s">
        <v>259</v>
      </c>
      <c r="G4665" s="297" t="s">
        <v>260</v>
      </c>
      <c r="H4665" s="634"/>
      <c r="I4665" s="635"/>
      <c r="J4665" s="639">
        <f t="shared" si="140"/>
        <v>0</v>
      </c>
      <c r="K4665" s="575"/>
      <c r="L4665" s="575"/>
      <c r="M4665" s="575"/>
      <c r="N4665" s="575"/>
      <c r="O4665" s="575"/>
      <c r="P4665" s="575"/>
      <c r="Q4665" s="575"/>
      <c r="R4665" s="575"/>
      <c r="S4665" s="575"/>
      <c r="T4665" s="575"/>
      <c r="U4665" s="575"/>
      <c r="V4665" s="575"/>
      <c r="W4665" s="575"/>
      <c r="X4665" s="575"/>
      <c r="Y4665" s="575"/>
    </row>
    <row r="4666" spans="1:25" s="88" customFormat="1" ht="15.75" hidden="1" thickBot="1">
      <c r="A4666" s="263"/>
      <c r="B4666" s="263"/>
      <c r="C4666" s="266"/>
      <c r="D4666" s="263"/>
      <c r="E4666" s="263"/>
      <c r="F4666" s="294" t="s">
        <v>261</v>
      </c>
      <c r="G4666" s="297" t="s">
        <v>262</v>
      </c>
      <c r="H4666" s="638"/>
      <c r="I4666" s="639"/>
      <c r="J4666" s="639">
        <f t="shared" si="140"/>
        <v>0</v>
      </c>
      <c r="K4666" s="575"/>
      <c r="L4666" s="575"/>
      <c r="M4666" s="575"/>
      <c r="N4666" s="575"/>
      <c r="O4666" s="575"/>
      <c r="P4666" s="575"/>
      <c r="Q4666" s="575"/>
      <c r="R4666" s="575"/>
      <c r="S4666" s="575"/>
      <c r="T4666" s="575"/>
      <c r="U4666" s="575"/>
      <c r="V4666" s="575"/>
      <c r="W4666" s="575"/>
      <c r="X4666" s="575"/>
      <c r="Y4666" s="575"/>
    </row>
    <row r="4667" spans="1:25" s="88" customFormat="1" ht="15.75" thickBot="1">
      <c r="A4667" s="263"/>
      <c r="B4667" s="263"/>
      <c r="C4667" s="266"/>
      <c r="D4667" s="263"/>
      <c r="E4667" s="263"/>
      <c r="F4667" s="263"/>
      <c r="G4667" s="274" t="s">
        <v>4469</v>
      </c>
      <c r="H4667" s="640">
        <f>SUM(H4651:H4666)</f>
        <v>6136840</v>
      </c>
      <c r="I4667" s="641">
        <f>SUM(I4652:I4666)</f>
        <v>0</v>
      </c>
      <c r="J4667" s="641">
        <f>SUM(J4651:J4666)</f>
        <v>6136840</v>
      </c>
      <c r="K4667" s="575"/>
      <c r="L4667" s="575"/>
      <c r="M4667" s="575"/>
      <c r="N4667" s="575"/>
      <c r="O4667" s="575"/>
      <c r="P4667" s="575"/>
      <c r="Q4667" s="575"/>
      <c r="R4667" s="575"/>
      <c r="S4667" s="575"/>
      <c r="T4667" s="575"/>
      <c r="U4667" s="575"/>
      <c r="V4667" s="575"/>
      <c r="W4667" s="575"/>
      <c r="X4667" s="575"/>
      <c r="Y4667" s="575"/>
    </row>
    <row r="4668" spans="1:25" s="88" customFormat="1">
      <c r="A4668" s="263"/>
      <c r="B4668" s="263"/>
      <c r="C4668" s="266"/>
      <c r="D4668" s="263"/>
      <c r="E4668" s="559"/>
      <c r="F4668" s="570"/>
      <c r="G4668" s="295" t="s">
        <v>4477</v>
      </c>
      <c r="H4668" s="646"/>
      <c r="I4668" s="664"/>
      <c r="J4668" s="647"/>
      <c r="K4668" s="575"/>
      <c r="L4668" s="575"/>
      <c r="M4668" s="575"/>
      <c r="N4668" s="575"/>
      <c r="O4668" s="575"/>
      <c r="P4668" s="575"/>
      <c r="Q4668" s="575"/>
      <c r="R4668" s="575"/>
      <c r="S4668" s="575"/>
      <c r="T4668" s="575"/>
      <c r="U4668" s="575"/>
      <c r="V4668" s="575"/>
      <c r="W4668" s="575"/>
      <c r="X4668" s="575"/>
      <c r="Y4668" s="575"/>
    </row>
    <row r="4669" spans="1:25" s="88" customFormat="1" ht="15.75" thickBot="1">
      <c r="A4669" s="263"/>
      <c r="B4669" s="263"/>
      <c r="C4669" s="266"/>
      <c r="D4669" s="263"/>
      <c r="E4669" s="267"/>
      <c r="F4669" s="294" t="s">
        <v>234</v>
      </c>
      <c r="G4669" s="297" t="s">
        <v>235</v>
      </c>
      <c r="H4669" s="638">
        <f>SUM(H12971,H12871,H4651)</f>
        <v>6136840</v>
      </c>
      <c r="I4669" s="639"/>
      <c r="J4669" s="639">
        <f>SUM(H4669:I4669)</f>
        <v>6136840</v>
      </c>
      <c r="K4669" s="575"/>
      <c r="L4669" s="575"/>
      <c r="M4669" s="575"/>
      <c r="N4669" s="575"/>
      <c r="O4669" s="575"/>
      <c r="P4669" s="575"/>
      <c r="Q4669" s="575"/>
      <c r="R4669" s="575"/>
      <c r="S4669" s="575"/>
      <c r="T4669" s="575"/>
      <c r="U4669" s="575"/>
      <c r="V4669" s="575"/>
      <c r="W4669" s="575"/>
      <c r="X4669" s="575"/>
      <c r="Y4669" s="575"/>
    </row>
    <row r="4670" spans="1:25" s="88" customFormat="1" hidden="1">
      <c r="A4670" s="263"/>
      <c r="B4670" s="263"/>
      <c r="C4670" s="266"/>
      <c r="D4670" s="263"/>
      <c r="E4670" s="263"/>
      <c r="F4670" s="294" t="s">
        <v>236</v>
      </c>
      <c r="G4670" s="297" t="s">
        <v>237</v>
      </c>
      <c r="H4670" s="634"/>
      <c r="I4670" s="635"/>
      <c r="J4670" s="639">
        <f t="shared" ref="J4670:J4684" si="141">SUM(H4670:I4670)</f>
        <v>0</v>
      </c>
      <c r="K4670" s="575"/>
      <c r="L4670" s="575"/>
      <c r="M4670" s="575"/>
      <c r="N4670" s="575"/>
      <c r="O4670" s="575"/>
      <c r="P4670" s="575"/>
      <c r="Q4670" s="575"/>
      <c r="R4670" s="575"/>
      <c r="S4670" s="575"/>
      <c r="T4670" s="575"/>
      <c r="U4670" s="575"/>
      <c r="V4670" s="575"/>
      <c r="W4670" s="575"/>
      <c r="X4670" s="575"/>
      <c r="Y4670" s="575"/>
    </row>
    <row r="4671" spans="1:25" s="88" customFormat="1" hidden="1">
      <c r="A4671" s="263"/>
      <c r="B4671" s="263"/>
      <c r="C4671" s="266"/>
      <c r="D4671" s="263"/>
      <c r="E4671" s="263"/>
      <c r="F4671" s="294" t="s">
        <v>238</v>
      </c>
      <c r="G4671" s="297" t="s">
        <v>239</v>
      </c>
      <c r="H4671" s="634"/>
      <c r="I4671" s="635"/>
      <c r="J4671" s="639">
        <f t="shared" si="141"/>
        <v>0</v>
      </c>
      <c r="K4671" s="575"/>
      <c r="L4671" s="575"/>
      <c r="M4671" s="575"/>
      <c r="N4671" s="575"/>
      <c r="O4671" s="575"/>
      <c r="P4671" s="575"/>
      <c r="Q4671" s="575"/>
      <c r="R4671" s="575"/>
      <c r="S4671" s="575"/>
      <c r="T4671" s="575"/>
      <c r="U4671" s="575"/>
      <c r="V4671" s="575"/>
      <c r="W4671" s="575"/>
      <c r="X4671" s="575"/>
      <c r="Y4671" s="575"/>
    </row>
    <row r="4672" spans="1:25" s="88" customFormat="1" hidden="1">
      <c r="A4672" s="263"/>
      <c r="B4672" s="263"/>
      <c r="C4672" s="266"/>
      <c r="D4672" s="263"/>
      <c r="E4672" s="263"/>
      <c r="F4672" s="294" t="s">
        <v>240</v>
      </c>
      <c r="G4672" s="297" t="s">
        <v>241</v>
      </c>
      <c r="H4672" s="634"/>
      <c r="I4672" s="635"/>
      <c r="J4672" s="639">
        <f t="shared" si="141"/>
        <v>0</v>
      </c>
      <c r="K4672" s="575"/>
      <c r="L4672" s="575"/>
      <c r="M4672" s="575"/>
      <c r="N4672" s="575"/>
      <c r="O4672" s="575"/>
      <c r="P4672" s="575"/>
      <c r="Q4672" s="575"/>
      <c r="R4672" s="575"/>
      <c r="S4672" s="575"/>
      <c r="T4672" s="575"/>
      <c r="U4672" s="575"/>
      <c r="V4672" s="575"/>
      <c r="W4672" s="575"/>
      <c r="X4672" s="575"/>
      <c r="Y4672" s="575"/>
    </row>
    <row r="4673" spans="1:25" s="88" customFormat="1" hidden="1">
      <c r="A4673" s="263"/>
      <c r="B4673" s="263"/>
      <c r="C4673" s="266"/>
      <c r="D4673" s="263"/>
      <c r="E4673" s="263"/>
      <c r="F4673" s="294" t="s">
        <v>242</v>
      </c>
      <c r="G4673" s="297" t="s">
        <v>243</v>
      </c>
      <c r="H4673" s="634"/>
      <c r="I4673" s="635"/>
      <c r="J4673" s="639">
        <f t="shared" si="141"/>
        <v>0</v>
      </c>
      <c r="K4673" s="575"/>
      <c r="L4673" s="575"/>
      <c r="M4673" s="575"/>
      <c r="N4673" s="575"/>
      <c r="O4673" s="575"/>
      <c r="P4673" s="575"/>
      <c r="Q4673" s="575"/>
      <c r="R4673" s="575"/>
      <c r="S4673" s="575"/>
      <c r="T4673" s="575"/>
      <c r="U4673" s="575"/>
      <c r="V4673" s="575"/>
      <c r="W4673" s="575"/>
      <c r="X4673" s="575"/>
      <c r="Y4673" s="575"/>
    </row>
    <row r="4674" spans="1:25" s="88" customFormat="1" hidden="1">
      <c r="A4674" s="263"/>
      <c r="B4674" s="263"/>
      <c r="C4674" s="266"/>
      <c r="D4674" s="263"/>
      <c r="E4674" s="263"/>
      <c r="F4674" s="294" t="s">
        <v>244</v>
      </c>
      <c r="G4674" s="297" t="s">
        <v>245</v>
      </c>
      <c r="H4674" s="634"/>
      <c r="I4674" s="635"/>
      <c r="J4674" s="639">
        <f t="shared" si="141"/>
        <v>0</v>
      </c>
      <c r="K4674" s="575"/>
      <c r="L4674" s="575"/>
      <c r="M4674" s="575"/>
      <c r="N4674" s="575"/>
      <c r="O4674" s="575"/>
      <c r="P4674" s="575"/>
      <c r="Q4674" s="575"/>
      <c r="R4674" s="575"/>
      <c r="S4674" s="575"/>
      <c r="T4674" s="575"/>
      <c r="U4674" s="575"/>
      <c r="V4674" s="575"/>
      <c r="W4674" s="575"/>
      <c r="X4674" s="575"/>
      <c r="Y4674" s="575"/>
    </row>
    <row r="4675" spans="1:25" s="88" customFormat="1" hidden="1">
      <c r="A4675" s="263"/>
      <c r="B4675" s="263"/>
      <c r="C4675" s="266"/>
      <c r="D4675" s="263"/>
      <c r="E4675" s="263"/>
      <c r="F4675" s="294" t="s">
        <v>246</v>
      </c>
      <c r="G4675" s="683" t="s">
        <v>5121</v>
      </c>
      <c r="H4675" s="634"/>
      <c r="I4675" s="635"/>
      <c r="J4675" s="639">
        <f t="shared" si="141"/>
        <v>0</v>
      </c>
      <c r="K4675" s="575"/>
      <c r="L4675" s="575"/>
      <c r="M4675" s="575"/>
      <c r="N4675" s="575"/>
      <c r="O4675" s="575"/>
      <c r="P4675" s="575"/>
      <c r="Q4675" s="575"/>
      <c r="R4675" s="575"/>
      <c r="S4675" s="575"/>
      <c r="T4675" s="575"/>
      <c r="U4675" s="575"/>
      <c r="V4675" s="575"/>
      <c r="W4675" s="575"/>
      <c r="X4675" s="575"/>
      <c r="Y4675" s="575"/>
    </row>
    <row r="4676" spans="1:25" s="88" customFormat="1" hidden="1">
      <c r="A4676" s="263"/>
      <c r="B4676" s="263"/>
      <c r="C4676" s="266"/>
      <c r="D4676" s="263"/>
      <c r="E4676" s="263"/>
      <c r="F4676" s="294" t="s">
        <v>247</v>
      </c>
      <c r="G4676" s="683" t="s">
        <v>5120</v>
      </c>
      <c r="H4676" s="634"/>
      <c r="I4676" s="635"/>
      <c r="J4676" s="639">
        <f t="shared" si="141"/>
        <v>0</v>
      </c>
      <c r="K4676" s="575"/>
      <c r="L4676" s="575"/>
      <c r="M4676" s="575"/>
      <c r="N4676" s="575"/>
      <c r="O4676" s="575"/>
      <c r="P4676" s="575"/>
      <c r="Q4676" s="575"/>
      <c r="R4676" s="575"/>
      <c r="S4676" s="575"/>
      <c r="T4676" s="575"/>
      <c r="U4676" s="575"/>
      <c r="V4676" s="575"/>
      <c r="W4676" s="575"/>
      <c r="X4676" s="575"/>
      <c r="Y4676" s="575"/>
    </row>
    <row r="4677" spans="1:25" s="88" customFormat="1" hidden="1">
      <c r="A4677" s="263"/>
      <c r="B4677" s="263"/>
      <c r="C4677" s="266"/>
      <c r="D4677" s="263"/>
      <c r="E4677" s="263"/>
      <c r="F4677" s="294" t="s">
        <v>248</v>
      </c>
      <c r="G4677" s="297" t="s">
        <v>57</v>
      </c>
      <c r="H4677" s="634"/>
      <c r="I4677" s="635"/>
      <c r="J4677" s="639">
        <f t="shared" si="141"/>
        <v>0</v>
      </c>
      <c r="K4677" s="575"/>
      <c r="L4677" s="575"/>
      <c r="M4677" s="575"/>
      <c r="N4677" s="575"/>
      <c r="O4677" s="575"/>
      <c r="P4677" s="575"/>
      <c r="Q4677" s="575"/>
      <c r="R4677" s="575"/>
      <c r="S4677" s="575"/>
      <c r="T4677" s="575"/>
      <c r="U4677" s="575"/>
      <c r="V4677" s="575"/>
      <c r="W4677" s="575"/>
      <c r="X4677" s="575"/>
      <c r="Y4677" s="575"/>
    </row>
    <row r="4678" spans="1:25" s="88" customFormat="1" hidden="1">
      <c r="A4678" s="263"/>
      <c r="B4678" s="263"/>
      <c r="C4678" s="266"/>
      <c r="D4678" s="263"/>
      <c r="E4678" s="263"/>
      <c r="F4678" s="294" t="s">
        <v>249</v>
      </c>
      <c r="G4678" s="297" t="s">
        <v>250</v>
      </c>
      <c r="H4678" s="634"/>
      <c r="I4678" s="635"/>
      <c r="J4678" s="639">
        <f t="shared" si="141"/>
        <v>0</v>
      </c>
      <c r="K4678" s="575"/>
      <c r="L4678" s="575"/>
      <c r="M4678" s="575"/>
      <c r="N4678" s="575"/>
      <c r="O4678" s="575"/>
      <c r="P4678" s="575"/>
      <c r="Q4678" s="575"/>
      <c r="R4678" s="575"/>
      <c r="S4678" s="575"/>
      <c r="T4678" s="575"/>
      <c r="U4678" s="575"/>
      <c r="V4678" s="575"/>
      <c r="W4678" s="575"/>
      <c r="X4678" s="575"/>
      <c r="Y4678" s="575"/>
    </row>
    <row r="4679" spans="1:25" s="88" customFormat="1" hidden="1">
      <c r="A4679" s="263"/>
      <c r="B4679" s="263"/>
      <c r="C4679" s="266"/>
      <c r="D4679" s="263"/>
      <c r="E4679" s="263"/>
      <c r="F4679" s="294" t="s">
        <v>251</v>
      </c>
      <c r="G4679" s="297" t="s">
        <v>252</v>
      </c>
      <c r="H4679" s="634"/>
      <c r="I4679" s="635"/>
      <c r="J4679" s="639">
        <f t="shared" si="141"/>
        <v>0</v>
      </c>
      <c r="K4679" s="575"/>
      <c r="L4679" s="575"/>
      <c r="M4679" s="575"/>
      <c r="N4679" s="575"/>
      <c r="O4679" s="575"/>
      <c r="P4679" s="575"/>
      <c r="Q4679" s="575"/>
      <c r="R4679" s="575"/>
      <c r="S4679" s="575"/>
      <c r="T4679" s="575"/>
      <c r="U4679" s="575"/>
      <c r="V4679" s="575"/>
      <c r="W4679" s="575"/>
      <c r="X4679" s="575"/>
      <c r="Y4679" s="575"/>
    </row>
    <row r="4680" spans="1:25" s="88" customFormat="1" hidden="1">
      <c r="A4680" s="263"/>
      <c r="B4680" s="263"/>
      <c r="C4680" s="266"/>
      <c r="D4680" s="263"/>
      <c r="E4680" s="263"/>
      <c r="F4680" s="294" t="s">
        <v>253</v>
      </c>
      <c r="G4680" s="297" t="s">
        <v>254</v>
      </c>
      <c r="H4680" s="634"/>
      <c r="I4680" s="635"/>
      <c r="J4680" s="639">
        <f t="shared" si="141"/>
        <v>0</v>
      </c>
      <c r="K4680" s="575"/>
      <c r="L4680" s="575"/>
      <c r="M4680" s="575"/>
      <c r="N4680" s="575"/>
      <c r="O4680" s="575"/>
      <c r="P4680" s="575"/>
      <c r="Q4680" s="575"/>
      <c r="R4680" s="575"/>
      <c r="S4680" s="575"/>
      <c r="T4680" s="575"/>
      <c r="U4680" s="575"/>
      <c r="V4680" s="575"/>
      <c r="W4680" s="575"/>
      <c r="X4680" s="575"/>
      <c r="Y4680" s="575"/>
    </row>
    <row r="4681" spans="1:25" s="88" customFormat="1" hidden="1">
      <c r="A4681" s="263"/>
      <c r="B4681" s="263"/>
      <c r="C4681" s="266"/>
      <c r="D4681" s="263"/>
      <c r="E4681" s="263"/>
      <c r="F4681" s="294" t="s">
        <v>255</v>
      </c>
      <c r="G4681" s="297" t="s">
        <v>256</v>
      </c>
      <c r="H4681" s="634"/>
      <c r="I4681" s="635"/>
      <c r="J4681" s="639">
        <f t="shared" si="141"/>
        <v>0</v>
      </c>
      <c r="K4681" s="575"/>
      <c r="L4681" s="575"/>
      <c r="M4681" s="575"/>
      <c r="N4681" s="575"/>
      <c r="O4681" s="575"/>
      <c r="P4681" s="575"/>
      <c r="Q4681" s="575"/>
      <c r="R4681" s="575"/>
      <c r="S4681" s="575"/>
      <c r="T4681" s="575"/>
      <c r="U4681" s="575"/>
      <c r="V4681" s="575"/>
      <c r="W4681" s="575"/>
      <c r="X4681" s="575"/>
      <c r="Y4681" s="575"/>
    </row>
    <row r="4682" spans="1:25" s="88" customFormat="1" hidden="1">
      <c r="A4682" s="263"/>
      <c r="B4682" s="263"/>
      <c r="C4682" s="266"/>
      <c r="D4682" s="263"/>
      <c r="E4682" s="263"/>
      <c r="F4682" s="294" t="s">
        <v>257</v>
      </c>
      <c r="G4682" s="297" t="s">
        <v>258</v>
      </c>
      <c r="H4682" s="634"/>
      <c r="I4682" s="635"/>
      <c r="J4682" s="639">
        <f t="shared" si="141"/>
        <v>0</v>
      </c>
      <c r="K4682" s="575"/>
      <c r="L4682" s="575"/>
      <c r="M4682" s="575"/>
      <c r="N4682" s="575"/>
      <c r="O4682" s="575"/>
      <c r="P4682" s="575"/>
      <c r="Q4682" s="575"/>
      <c r="R4682" s="575"/>
      <c r="S4682" s="575"/>
      <c r="T4682" s="575"/>
      <c r="U4682" s="575"/>
      <c r="V4682" s="575"/>
      <c r="W4682" s="575"/>
      <c r="X4682" s="575"/>
      <c r="Y4682" s="575"/>
    </row>
    <row r="4683" spans="1:25" s="88" customFormat="1" hidden="1">
      <c r="A4683" s="263"/>
      <c r="B4683" s="263"/>
      <c r="C4683" s="266"/>
      <c r="D4683" s="263"/>
      <c r="E4683" s="263"/>
      <c r="F4683" s="294" t="s">
        <v>259</v>
      </c>
      <c r="G4683" s="297" t="s">
        <v>260</v>
      </c>
      <c r="H4683" s="634"/>
      <c r="I4683" s="635"/>
      <c r="J4683" s="639">
        <f t="shared" si="141"/>
        <v>0</v>
      </c>
      <c r="K4683" s="575"/>
      <c r="L4683" s="575"/>
      <c r="M4683" s="575"/>
      <c r="N4683" s="575"/>
      <c r="O4683" s="575"/>
      <c r="P4683" s="575"/>
      <c r="Q4683" s="575"/>
      <c r="R4683" s="575"/>
      <c r="S4683" s="575"/>
      <c r="T4683" s="575"/>
      <c r="U4683" s="575"/>
      <c r="V4683" s="575"/>
      <c r="W4683" s="575"/>
      <c r="X4683" s="575"/>
      <c r="Y4683" s="575"/>
    </row>
    <row r="4684" spans="1:25" s="88" customFormat="1" ht="15.75" hidden="1" thickBot="1">
      <c r="A4684" s="263"/>
      <c r="B4684" s="263"/>
      <c r="C4684" s="266"/>
      <c r="D4684" s="263"/>
      <c r="E4684" s="263"/>
      <c r="F4684" s="294" t="s">
        <v>261</v>
      </c>
      <c r="G4684" s="297" t="s">
        <v>262</v>
      </c>
      <c r="H4684" s="638"/>
      <c r="I4684" s="639"/>
      <c r="J4684" s="639">
        <f t="shared" si="141"/>
        <v>0</v>
      </c>
      <c r="K4684" s="575"/>
      <c r="L4684" s="575"/>
      <c r="M4684" s="575"/>
      <c r="N4684" s="575"/>
      <c r="O4684" s="575"/>
      <c r="P4684" s="575"/>
      <c r="Q4684" s="575"/>
      <c r="R4684" s="575"/>
      <c r="S4684" s="575"/>
      <c r="T4684" s="575"/>
      <c r="U4684" s="575"/>
      <c r="V4684" s="575"/>
      <c r="W4684" s="575"/>
      <c r="X4684" s="575"/>
      <c r="Y4684" s="575"/>
    </row>
    <row r="4685" spans="1:25" s="88" customFormat="1" ht="15.75" thickBot="1">
      <c r="A4685" s="263"/>
      <c r="B4685" s="263"/>
      <c r="C4685" s="266"/>
      <c r="D4685" s="263"/>
      <c r="E4685" s="263"/>
      <c r="F4685" s="263"/>
      <c r="G4685" s="274" t="s">
        <v>4478</v>
      </c>
      <c r="H4685" s="640">
        <f>SUM(H4669:H4684)</f>
        <v>6136840</v>
      </c>
      <c r="I4685" s="641">
        <f>SUM(I4670:I4684)</f>
        <v>0</v>
      </c>
      <c r="J4685" s="641">
        <f>SUM(J4669:J4684)</f>
        <v>6136840</v>
      </c>
      <c r="K4685" s="575"/>
      <c r="L4685" s="575"/>
      <c r="M4685" s="575"/>
      <c r="N4685" s="575"/>
      <c r="O4685" s="575"/>
      <c r="P4685" s="575"/>
      <c r="Q4685" s="575"/>
      <c r="R4685" s="575"/>
      <c r="S4685" s="575"/>
      <c r="T4685" s="575"/>
      <c r="U4685" s="575"/>
      <c r="V4685" s="575"/>
      <c r="W4685" s="575"/>
      <c r="X4685" s="575"/>
      <c r="Y4685" s="575"/>
    </row>
    <row r="4686" spans="1:25" s="88" customFormat="1">
      <c r="A4686" s="263"/>
      <c r="B4686" s="263"/>
      <c r="C4686" s="266"/>
      <c r="D4686" s="263"/>
      <c r="E4686" s="559"/>
      <c r="F4686" s="570"/>
      <c r="G4686" s="295" t="s">
        <v>4212</v>
      </c>
      <c r="H4686" s="646"/>
      <c r="I4686" s="664"/>
      <c r="J4686" s="647"/>
      <c r="K4686" s="575"/>
      <c r="L4686" s="575"/>
      <c r="M4686" s="575"/>
      <c r="N4686" s="575"/>
      <c r="O4686" s="575"/>
      <c r="P4686" s="575"/>
      <c r="Q4686" s="575"/>
      <c r="R4686" s="575"/>
      <c r="S4686" s="575"/>
      <c r="T4686" s="575"/>
      <c r="U4686" s="575"/>
      <c r="V4686" s="575"/>
      <c r="W4686" s="575"/>
      <c r="X4686" s="575"/>
      <c r="Y4686" s="575"/>
    </row>
    <row r="4687" spans="1:25" s="88" customFormat="1" ht="15.75" thickBot="1">
      <c r="A4687" s="263"/>
      <c r="B4687" s="263"/>
      <c r="C4687" s="266"/>
      <c r="D4687" s="263"/>
      <c r="E4687" s="267"/>
      <c r="F4687" s="682" t="s">
        <v>234</v>
      </c>
      <c r="G4687" s="683" t="s">
        <v>235</v>
      </c>
      <c r="H4687" s="638">
        <f>SUM(H4669,H4490,H4328,H3690,H3611,H3293,H3074,H2434,H1001)</f>
        <v>372298993</v>
      </c>
      <c r="I4687" s="639"/>
      <c r="J4687" s="639">
        <f>SUM(H4687:I4687)</f>
        <v>372298993</v>
      </c>
      <c r="K4687" s="575"/>
      <c r="L4687" s="575"/>
      <c r="M4687" s="575"/>
      <c r="N4687" s="575"/>
      <c r="O4687" s="575"/>
      <c r="P4687" s="575"/>
      <c r="Q4687" s="575"/>
      <c r="R4687" s="575"/>
      <c r="S4687" s="575"/>
      <c r="T4687" s="575"/>
      <c r="U4687" s="575"/>
      <c r="V4687" s="575"/>
      <c r="W4687" s="575"/>
      <c r="X4687" s="575"/>
      <c r="Y4687" s="575"/>
    </row>
    <row r="4688" spans="1:25" s="88" customFormat="1" hidden="1">
      <c r="A4688" s="263"/>
      <c r="B4688" s="263"/>
      <c r="C4688" s="266"/>
      <c r="D4688" s="263"/>
      <c r="E4688" s="263"/>
      <c r="F4688" s="682" t="s">
        <v>236</v>
      </c>
      <c r="G4688" s="683" t="s">
        <v>237</v>
      </c>
      <c r="H4688" s="634"/>
      <c r="I4688" s="635"/>
      <c r="J4688" s="639">
        <f t="shared" ref="J4688:J4702" si="142">SUM(H4688:I4688)</f>
        <v>0</v>
      </c>
      <c r="K4688" s="575"/>
      <c r="L4688" s="575"/>
      <c r="M4688" s="575"/>
      <c r="N4688" s="575"/>
      <c r="O4688" s="575"/>
      <c r="P4688" s="575"/>
      <c r="Q4688" s="575"/>
      <c r="R4688" s="575"/>
      <c r="S4688" s="575"/>
      <c r="T4688" s="575"/>
      <c r="U4688" s="575"/>
      <c r="V4688" s="575"/>
      <c r="W4688" s="575"/>
      <c r="X4688" s="575"/>
      <c r="Y4688" s="575"/>
    </row>
    <row r="4689" spans="1:25" s="88" customFormat="1" hidden="1">
      <c r="A4689" s="263"/>
      <c r="B4689" s="263"/>
      <c r="C4689" s="266"/>
      <c r="D4689" s="263"/>
      <c r="E4689" s="263"/>
      <c r="F4689" s="682" t="s">
        <v>238</v>
      </c>
      <c r="G4689" s="683" t="s">
        <v>239</v>
      </c>
      <c r="H4689" s="634"/>
      <c r="I4689" s="635"/>
      <c r="J4689" s="639">
        <f t="shared" si="142"/>
        <v>0</v>
      </c>
      <c r="K4689" s="575"/>
      <c r="L4689" s="575"/>
      <c r="M4689" s="575"/>
      <c r="N4689" s="575"/>
      <c r="O4689" s="575"/>
      <c r="P4689" s="575"/>
      <c r="Q4689" s="575"/>
      <c r="R4689" s="575"/>
      <c r="S4689" s="575"/>
      <c r="T4689" s="575"/>
      <c r="U4689" s="575"/>
      <c r="V4689" s="575"/>
      <c r="W4689" s="575"/>
      <c r="X4689" s="575"/>
      <c r="Y4689" s="575"/>
    </row>
    <row r="4690" spans="1:25" s="88" customFormat="1" hidden="1">
      <c r="A4690" s="263"/>
      <c r="B4690" s="263"/>
      <c r="C4690" s="266"/>
      <c r="D4690" s="263"/>
      <c r="E4690" s="263"/>
      <c r="F4690" s="682" t="s">
        <v>240</v>
      </c>
      <c r="G4690" s="683" t="s">
        <v>241</v>
      </c>
      <c r="H4690" s="634"/>
      <c r="I4690" s="635"/>
      <c r="J4690" s="639">
        <f t="shared" si="142"/>
        <v>0</v>
      </c>
      <c r="K4690" s="575"/>
      <c r="L4690" s="575"/>
      <c r="M4690" s="575"/>
      <c r="N4690" s="575"/>
      <c r="O4690" s="575"/>
      <c r="P4690" s="575"/>
      <c r="Q4690" s="575"/>
      <c r="R4690" s="575"/>
      <c r="S4690" s="575"/>
      <c r="T4690" s="575"/>
      <c r="U4690" s="575"/>
      <c r="V4690" s="575"/>
      <c r="W4690" s="575"/>
      <c r="X4690" s="575"/>
      <c r="Y4690" s="575"/>
    </row>
    <row r="4691" spans="1:25" s="88" customFormat="1" hidden="1">
      <c r="A4691" s="263"/>
      <c r="B4691" s="263"/>
      <c r="C4691" s="266"/>
      <c r="D4691" s="263"/>
      <c r="E4691" s="263"/>
      <c r="F4691" s="682" t="s">
        <v>242</v>
      </c>
      <c r="G4691" s="683" t="s">
        <v>243</v>
      </c>
      <c r="H4691" s="634"/>
      <c r="I4691" s="635"/>
      <c r="J4691" s="639">
        <f t="shared" si="142"/>
        <v>0</v>
      </c>
      <c r="K4691" s="575"/>
      <c r="L4691" s="575"/>
      <c r="M4691" s="575"/>
      <c r="N4691" s="575"/>
      <c r="O4691" s="575"/>
      <c r="P4691" s="575"/>
      <c r="Q4691" s="575"/>
      <c r="R4691" s="575"/>
      <c r="S4691" s="575"/>
      <c r="T4691" s="575"/>
      <c r="U4691" s="575"/>
      <c r="V4691" s="575"/>
      <c r="W4691" s="575"/>
      <c r="X4691" s="575"/>
      <c r="Y4691" s="575"/>
    </row>
    <row r="4692" spans="1:25" s="88" customFormat="1" hidden="1">
      <c r="A4692" s="263"/>
      <c r="B4692" s="263"/>
      <c r="C4692" s="266"/>
      <c r="D4692" s="263"/>
      <c r="E4692" s="263"/>
      <c r="F4692" s="682" t="s">
        <v>244</v>
      </c>
      <c r="G4692" s="683" t="s">
        <v>245</v>
      </c>
      <c r="H4692" s="634"/>
      <c r="I4692" s="635"/>
      <c r="J4692" s="639">
        <f t="shared" si="142"/>
        <v>0</v>
      </c>
      <c r="K4692" s="575"/>
      <c r="L4692" s="575"/>
      <c r="M4692" s="575"/>
      <c r="N4692" s="575"/>
      <c r="O4692" s="575"/>
      <c r="P4692" s="575"/>
      <c r="Q4692" s="575"/>
      <c r="R4692" s="575"/>
      <c r="S4692" s="575"/>
      <c r="T4692" s="575"/>
      <c r="U4692" s="575"/>
      <c r="V4692" s="575"/>
      <c r="W4692" s="575"/>
      <c r="X4692" s="575"/>
      <c r="Y4692" s="575"/>
    </row>
    <row r="4693" spans="1:25" s="88" customFormat="1" hidden="1">
      <c r="A4693" s="263"/>
      <c r="B4693" s="263"/>
      <c r="C4693" s="266"/>
      <c r="D4693" s="263"/>
      <c r="E4693" s="263"/>
      <c r="F4693" s="682" t="s">
        <v>246</v>
      </c>
      <c r="G4693" s="683" t="s">
        <v>5121</v>
      </c>
      <c r="H4693" s="634"/>
      <c r="I4693" s="635"/>
      <c r="J4693" s="639">
        <f t="shared" si="142"/>
        <v>0</v>
      </c>
      <c r="K4693" s="575"/>
      <c r="L4693" s="575"/>
      <c r="M4693" s="575"/>
      <c r="N4693" s="575"/>
      <c r="O4693" s="575"/>
      <c r="P4693" s="575"/>
      <c r="Q4693" s="575"/>
      <c r="R4693" s="575"/>
      <c r="S4693" s="575"/>
      <c r="T4693" s="575"/>
      <c r="U4693" s="575"/>
      <c r="V4693" s="575"/>
      <c r="W4693" s="575"/>
      <c r="X4693" s="575"/>
      <c r="Y4693" s="575"/>
    </row>
    <row r="4694" spans="1:25" s="88" customFormat="1" hidden="1">
      <c r="A4694" s="263"/>
      <c r="B4694" s="263"/>
      <c r="C4694" s="266"/>
      <c r="D4694" s="263"/>
      <c r="E4694" s="263"/>
      <c r="F4694" s="682" t="s">
        <v>247</v>
      </c>
      <c r="G4694" s="683" t="s">
        <v>5120</v>
      </c>
      <c r="H4694" s="634"/>
      <c r="I4694" s="635"/>
      <c r="J4694" s="639">
        <f t="shared" si="142"/>
        <v>0</v>
      </c>
      <c r="K4694" s="575"/>
      <c r="L4694" s="575"/>
      <c r="M4694" s="575"/>
      <c r="N4694" s="575"/>
      <c r="O4694" s="575"/>
      <c r="P4694" s="575"/>
      <c r="Q4694" s="575"/>
      <c r="R4694" s="575"/>
      <c r="S4694" s="575"/>
      <c r="T4694" s="575"/>
      <c r="U4694" s="575"/>
      <c r="V4694" s="575"/>
      <c r="W4694" s="575"/>
      <c r="X4694" s="575"/>
      <c r="Y4694" s="575"/>
    </row>
    <row r="4695" spans="1:25" s="88" customFormat="1" hidden="1">
      <c r="A4695" s="263"/>
      <c r="B4695" s="263"/>
      <c r="C4695" s="266"/>
      <c r="D4695" s="263"/>
      <c r="E4695" s="263"/>
      <c r="F4695" s="682" t="s">
        <v>248</v>
      </c>
      <c r="G4695" s="683" t="s">
        <v>57</v>
      </c>
      <c r="H4695" s="634"/>
      <c r="I4695" s="635"/>
      <c r="J4695" s="639">
        <f t="shared" si="142"/>
        <v>0</v>
      </c>
      <c r="K4695" s="575"/>
      <c r="L4695" s="575"/>
      <c r="M4695" s="575"/>
      <c r="N4695" s="575"/>
      <c r="O4695" s="575"/>
      <c r="P4695" s="575"/>
      <c r="Q4695" s="575"/>
      <c r="R4695" s="575"/>
      <c r="S4695" s="575"/>
      <c r="T4695" s="575"/>
      <c r="U4695" s="575"/>
      <c r="V4695" s="575"/>
      <c r="W4695" s="575"/>
      <c r="X4695" s="575"/>
      <c r="Y4695" s="575"/>
    </row>
    <row r="4696" spans="1:25" s="88" customFormat="1" hidden="1">
      <c r="A4696" s="263"/>
      <c r="B4696" s="263"/>
      <c r="C4696" s="266"/>
      <c r="D4696" s="263"/>
      <c r="E4696" s="263"/>
      <c r="F4696" s="682" t="s">
        <v>249</v>
      </c>
      <c r="G4696" s="683" t="s">
        <v>250</v>
      </c>
      <c r="H4696" s="634"/>
      <c r="I4696" s="635"/>
      <c r="J4696" s="639">
        <f t="shared" si="142"/>
        <v>0</v>
      </c>
      <c r="K4696" s="575"/>
      <c r="L4696" s="575"/>
      <c r="M4696" s="575"/>
      <c r="N4696" s="575"/>
      <c r="O4696" s="575"/>
      <c r="P4696" s="575"/>
      <c r="Q4696" s="575"/>
      <c r="R4696" s="575"/>
      <c r="S4696" s="575"/>
      <c r="T4696" s="575"/>
      <c r="U4696" s="575"/>
      <c r="V4696" s="575"/>
      <c r="W4696" s="575"/>
      <c r="X4696" s="575"/>
      <c r="Y4696" s="575"/>
    </row>
    <row r="4697" spans="1:25" s="88" customFormat="1" hidden="1">
      <c r="A4697" s="263"/>
      <c r="B4697" s="263"/>
      <c r="C4697" s="266"/>
      <c r="D4697" s="263"/>
      <c r="E4697" s="263"/>
      <c r="F4697" s="682" t="s">
        <v>251</v>
      </c>
      <c r="G4697" s="683" t="s">
        <v>252</v>
      </c>
      <c r="H4697" s="634"/>
      <c r="I4697" s="635"/>
      <c r="J4697" s="639">
        <f t="shared" si="142"/>
        <v>0</v>
      </c>
      <c r="K4697" s="575"/>
      <c r="L4697" s="575"/>
      <c r="M4697" s="575"/>
      <c r="N4697" s="575"/>
      <c r="O4697" s="575"/>
      <c r="P4697" s="575"/>
      <c r="Q4697" s="575"/>
      <c r="R4697" s="575"/>
      <c r="S4697" s="575"/>
      <c r="T4697" s="575"/>
      <c r="U4697" s="575"/>
      <c r="V4697" s="575"/>
      <c r="W4697" s="575"/>
      <c r="X4697" s="575"/>
      <c r="Y4697" s="575"/>
    </row>
    <row r="4698" spans="1:25" s="88" customFormat="1" hidden="1">
      <c r="A4698" s="263"/>
      <c r="B4698" s="263"/>
      <c r="C4698" s="266"/>
      <c r="D4698" s="263"/>
      <c r="E4698" s="263"/>
      <c r="F4698" s="682" t="s">
        <v>253</v>
      </c>
      <c r="G4698" s="683" t="s">
        <v>254</v>
      </c>
      <c r="H4698" s="634"/>
      <c r="I4698" s="635"/>
      <c r="J4698" s="639">
        <f t="shared" si="142"/>
        <v>0</v>
      </c>
      <c r="K4698" s="575"/>
      <c r="L4698" s="575"/>
      <c r="M4698" s="575"/>
      <c r="N4698" s="575"/>
      <c r="O4698" s="575"/>
      <c r="P4698" s="575"/>
      <c r="Q4698" s="575"/>
      <c r="R4698" s="575"/>
      <c r="S4698" s="575"/>
      <c r="T4698" s="575"/>
      <c r="U4698" s="575"/>
      <c r="V4698" s="575"/>
      <c r="W4698" s="575"/>
      <c r="X4698" s="575"/>
      <c r="Y4698" s="575"/>
    </row>
    <row r="4699" spans="1:25" s="88" customFormat="1" hidden="1">
      <c r="A4699" s="263"/>
      <c r="B4699" s="263"/>
      <c r="C4699" s="266"/>
      <c r="D4699" s="263"/>
      <c r="E4699" s="263"/>
      <c r="F4699" s="682" t="s">
        <v>255</v>
      </c>
      <c r="G4699" s="683" t="s">
        <v>256</v>
      </c>
      <c r="H4699" s="634"/>
      <c r="I4699" s="635"/>
      <c r="J4699" s="639">
        <f t="shared" si="142"/>
        <v>0</v>
      </c>
      <c r="K4699" s="575"/>
      <c r="L4699" s="575"/>
      <c r="M4699" s="575"/>
      <c r="N4699" s="575"/>
      <c r="O4699" s="575"/>
      <c r="P4699" s="575"/>
      <c r="Q4699" s="575"/>
      <c r="R4699" s="575"/>
      <c r="S4699" s="575"/>
      <c r="T4699" s="575"/>
      <c r="U4699" s="575"/>
      <c r="V4699" s="575"/>
      <c r="W4699" s="575"/>
      <c r="X4699" s="575"/>
      <c r="Y4699" s="575"/>
    </row>
    <row r="4700" spans="1:25" s="88" customFormat="1" hidden="1">
      <c r="A4700" s="263"/>
      <c r="B4700" s="263"/>
      <c r="C4700" s="266"/>
      <c r="D4700" s="263"/>
      <c r="E4700" s="263"/>
      <c r="F4700" s="682" t="s">
        <v>257</v>
      </c>
      <c r="G4700" s="683" t="s">
        <v>258</v>
      </c>
      <c r="H4700" s="634"/>
      <c r="I4700" s="635"/>
      <c r="J4700" s="639">
        <f t="shared" si="142"/>
        <v>0</v>
      </c>
      <c r="K4700" s="575"/>
      <c r="L4700" s="575"/>
      <c r="M4700" s="575"/>
      <c r="N4700" s="575"/>
      <c r="O4700" s="575"/>
      <c r="P4700" s="575"/>
      <c r="Q4700" s="575"/>
      <c r="R4700" s="575"/>
      <c r="S4700" s="575"/>
      <c r="T4700" s="575"/>
      <c r="U4700" s="575"/>
      <c r="V4700" s="575"/>
      <c r="W4700" s="575"/>
      <c r="X4700" s="575"/>
      <c r="Y4700" s="575"/>
    </row>
    <row r="4701" spans="1:25" s="88" customFormat="1" hidden="1">
      <c r="A4701" s="263"/>
      <c r="B4701" s="263"/>
      <c r="C4701" s="266"/>
      <c r="D4701" s="263"/>
      <c r="E4701" s="263"/>
      <c r="F4701" s="682" t="s">
        <v>259</v>
      </c>
      <c r="G4701" s="683" t="s">
        <v>260</v>
      </c>
      <c r="H4701" s="634"/>
      <c r="I4701" s="635"/>
      <c r="J4701" s="639">
        <f t="shared" si="142"/>
        <v>0</v>
      </c>
      <c r="K4701" s="575"/>
      <c r="L4701" s="575"/>
      <c r="M4701" s="575"/>
      <c r="N4701" s="575"/>
      <c r="O4701" s="575"/>
      <c r="P4701" s="575"/>
      <c r="Q4701" s="575"/>
      <c r="R4701" s="575"/>
      <c r="S4701" s="575"/>
      <c r="T4701" s="575"/>
      <c r="U4701" s="575"/>
      <c r="V4701" s="575"/>
      <c r="W4701" s="575"/>
      <c r="X4701" s="575"/>
      <c r="Y4701" s="575"/>
    </row>
    <row r="4702" spans="1:25" s="88" customFormat="1" ht="15.75" hidden="1" thickBot="1">
      <c r="A4702" s="263"/>
      <c r="B4702" s="263"/>
      <c r="C4702" s="266"/>
      <c r="D4702" s="263"/>
      <c r="E4702" s="263"/>
      <c r="F4702" s="682" t="s">
        <v>261</v>
      </c>
      <c r="G4702" s="683" t="s">
        <v>262</v>
      </c>
      <c r="H4702" s="638"/>
      <c r="I4702" s="639"/>
      <c r="J4702" s="639">
        <f t="shared" si="142"/>
        <v>0</v>
      </c>
      <c r="K4702" s="575"/>
      <c r="L4702" s="575"/>
      <c r="M4702" s="575"/>
      <c r="N4702" s="575"/>
      <c r="O4702" s="575"/>
      <c r="P4702" s="575"/>
      <c r="Q4702" s="575"/>
      <c r="R4702" s="575"/>
      <c r="S4702" s="575"/>
      <c r="T4702" s="575"/>
      <c r="U4702" s="575"/>
      <c r="V4702" s="575"/>
      <c r="W4702" s="575"/>
      <c r="X4702" s="575"/>
      <c r="Y4702" s="575"/>
    </row>
    <row r="4703" spans="1:25" s="88" customFormat="1" ht="15.75" thickBot="1">
      <c r="A4703" s="263"/>
      <c r="B4703" s="263"/>
      <c r="C4703" s="266"/>
      <c r="D4703" s="263"/>
      <c r="E4703" s="263"/>
      <c r="F4703" s="263"/>
      <c r="G4703" s="274" t="s">
        <v>4213</v>
      </c>
      <c r="H4703" s="640">
        <f>SUM(H4687:H4702)</f>
        <v>372298993</v>
      </c>
      <c r="I4703" s="641">
        <f>SUM(I4688:I4702)</f>
        <v>0</v>
      </c>
      <c r="J4703" s="641">
        <f>SUM(J4687:J4702)</f>
        <v>372298993</v>
      </c>
      <c r="K4703" s="575"/>
      <c r="L4703" s="575"/>
      <c r="M4703" s="575"/>
      <c r="N4703" s="575"/>
      <c r="O4703" s="575"/>
      <c r="P4703" s="575"/>
      <c r="Q4703" s="575"/>
      <c r="R4703" s="575"/>
      <c r="S4703" s="575"/>
      <c r="T4703" s="575"/>
      <c r="U4703" s="575"/>
      <c r="V4703" s="575"/>
      <c r="W4703" s="575"/>
      <c r="X4703" s="575"/>
      <c r="Y4703" s="575"/>
    </row>
    <row r="4704" spans="1:25" s="88" customFormat="1" hidden="1">
      <c r="A4704" s="263"/>
      <c r="B4704" s="263"/>
      <c r="C4704" s="266"/>
      <c r="D4704" s="263"/>
      <c r="E4704" s="263"/>
      <c r="F4704" s="263"/>
      <c r="G4704" s="331"/>
      <c r="H4704" s="644"/>
      <c r="I4704" s="645"/>
      <c r="J4704" s="645"/>
      <c r="K4704" s="575"/>
      <c r="L4704" s="575"/>
      <c r="M4704" s="575"/>
      <c r="N4704" s="575"/>
      <c r="O4704" s="575"/>
      <c r="P4704" s="575"/>
      <c r="Q4704" s="575"/>
      <c r="R4704" s="575"/>
      <c r="S4704" s="575"/>
      <c r="T4704" s="575"/>
      <c r="U4704" s="575"/>
      <c r="V4704" s="575"/>
      <c r="W4704" s="575"/>
      <c r="X4704" s="575"/>
      <c r="Y4704" s="575"/>
    </row>
    <row r="4705" spans="1:25" s="88" customFormat="1" hidden="1">
      <c r="A4705" s="263"/>
      <c r="B4705" s="263"/>
      <c r="C4705" s="266"/>
      <c r="D4705" s="263"/>
      <c r="E4705" s="263"/>
      <c r="F4705" s="263"/>
      <c r="G4705" s="331"/>
      <c r="H4705" s="644"/>
      <c r="I4705" s="645"/>
      <c r="J4705" s="645"/>
      <c r="K4705" s="575"/>
      <c r="L4705" s="575"/>
      <c r="M4705" s="575"/>
      <c r="N4705" s="575"/>
      <c r="O4705" s="575"/>
      <c r="P4705" s="575"/>
      <c r="Q4705" s="575"/>
      <c r="R4705" s="575"/>
      <c r="S4705" s="575"/>
      <c r="T4705" s="575"/>
      <c r="U4705" s="575"/>
      <c r="V4705" s="575"/>
      <c r="W4705" s="575"/>
      <c r="X4705" s="575"/>
      <c r="Y4705" s="575"/>
    </row>
    <row r="4706" spans="1:25" s="88" customFormat="1" hidden="1">
      <c r="A4706" s="263"/>
      <c r="B4706" s="263"/>
      <c r="C4706" s="266"/>
      <c r="D4706" s="263"/>
      <c r="E4706" s="263"/>
      <c r="F4706" s="263"/>
      <c r="G4706" s="331"/>
      <c r="H4706" s="644"/>
      <c r="I4706" s="645"/>
      <c r="J4706" s="645"/>
      <c r="K4706" s="575"/>
      <c r="L4706" s="575"/>
      <c r="M4706" s="575"/>
      <c r="N4706" s="575"/>
      <c r="O4706" s="575"/>
      <c r="P4706" s="575"/>
      <c r="Q4706" s="575"/>
      <c r="R4706" s="575"/>
      <c r="S4706" s="575"/>
      <c r="T4706" s="575"/>
      <c r="U4706" s="575"/>
      <c r="V4706" s="575"/>
      <c r="W4706" s="575"/>
      <c r="X4706" s="575"/>
      <c r="Y4706" s="575"/>
    </row>
    <row r="4707" spans="1:25" s="88" customFormat="1" hidden="1">
      <c r="A4707" s="263"/>
      <c r="B4707" s="263"/>
      <c r="C4707" s="266"/>
      <c r="D4707" s="263"/>
      <c r="E4707" s="263"/>
      <c r="F4707" s="263"/>
      <c r="G4707" s="331"/>
      <c r="H4707" s="644"/>
      <c r="I4707" s="645"/>
      <c r="J4707" s="645"/>
      <c r="K4707" s="575"/>
      <c r="L4707" s="575"/>
      <c r="M4707" s="575"/>
      <c r="N4707" s="575"/>
      <c r="O4707" s="575"/>
      <c r="P4707" s="575"/>
      <c r="Q4707" s="575"/>
      <c r="R4707" s="575"/>
      <c r="S4707" s="575"/>
      <c r="T4707" s="575"/>
      <c r="U4707" s="575"/>
      <c r="V4707" s="575"/>
      <c r="W4707" s="575"/>
      <c r="X4707" s="575"/>
      <c r="Y4707" s="575"/>
    </row>
    <row r="4708" spans="1:25" s="88" customFormat="1" hidden="1">
      <c r="A4708" s="263"/>
      <c r="B4708" s="263"/>
      <c r="C4708" s="266"/>
      <c r="D4708" s="263"/>
      <c r="E4708" s="263"/>
      <c r="F4708" s="263"/>
      <c r="G4708" s="331"/>
      <c r="H4708" s="644"/>
      <c r="I4708" s="645"/>
      <c r="J4708" s="645"/>
      <c r="K4708" s="575"/>
      <c r="L4708" s="575"/>
      <c r="M4708" s="575"/>
      <c r="N4708" s="575"/>
      <c r="O4708" s="575"/>
      <c r="P4708" s="575"/>
      <c r="Q4708" s="575"/>
      <c r="R4708" s="575"/>
      <c r="S4708" s="575"/>
      <c r="T4708" s="575"/>
      <c r="U4708" s="575"/>
      <c r="V4708" s="575"/>
      <c r="W4708" s="575"/>
      <c r="X4708" s="575"/>
      <c r="Y4708" s="575"/>
    </row>
    <row r="4709" spans="1:25" s="88" customFormat="1" hidden="1">
      <c r="A4709" s="263"/>
      <c r="B4709" s="263"/>
      <c r="C4709" s="266"/>
      <c r="D4709" s="263"/>
      <c r="E4709" s="263"/>
      <c r="F4709" s="263"/>
      <c r="G4709" s="331"/>
      <c r="H4709" s="644"/>
      <c r="I4709" s="645"/>
      <c r="J4709" s="645"/>
      <c r="K4709" s="575"/>
      <c r="L4709" s="575"/>
      <c r="M4709" s="575"/>
      <c r="N4709" s="575"/>
      <c r="O4709" s="575"/>
      <c r="P4709" s="575"/>
      <c r="Q4709" s="575"/>
      <c r="R4709" s="575"/>
      <c r="S4709" s="575"/>
      <c r="T4709" s="575"/>
      <c r="U4709" s="575"/>
      <c r="V4709" s="575"/>
      <c r="W4709" s="575"/>
      <c r="X4709" s="575"/>
      <c r="Y4709" s="575"/>
    </row>
    <row r="4710" spans="1:25" s="88" customFormat="1" hidden="1">
      <c r="A4710" s="263"/>
      <c r="B4710" s="263"/>
      <c r="C4710" s="266"/>
      <c r="D4710" s="263"/>
      <c r="E4710" s="263"/>
      <c r="F4710" s="263"/>
      <c r="G4710" s="331"/>
      <c r="H4710" s="644"/>
      <c r="I4710" s="645"/>
      <c r="J4710" s="645"/>
      <c r="K4710" s="575"/>
      <c r="L4710" s="575"/>
      <c r="M4710" s="575"/>
      <c r="N4710" s="575"/>
      <c r="O4710" s="575"/>
      <c r="P4710" s="575"/>
      <c r="Q4710" s="575"/>
      <c r="R4710" s="575"/>
      <c r="S4710" s="575"/>
      <c r="T4710" s="575"/>
      <c r="U4710" s="575"/>
      <c r="V4710" s="575"/>
      <c r="W4710" s="575"/>
      <c r="X4710" s="575"/>
      <c r="Y4710" s="575"/>
    </row>
    <row r="4711" spans="1:25" s="88" customFormat="1" hidden="1">
      <c r="A4711" s="263"/>
      <c r="B4711" s="263"/>
      <c r="C4711" s="266"/>
      <c r="D4711" s="263"/>
      <c r="E4711" s="263"/>
      <c r="F4711" s="263"/>
      <c r="G4711" s="331"/>
      <c r="H4711" s="644"/>
      <c r="I4711" s="645"/>
      <c r="J4711" s="645"/>
      <c r="K4711" s="575"/>
      <c r="L4711" s="575"/>
      <c r="M4711" s="575"/>
      <c r="N4711" s="575"/>
      <c r="O4711" s="575"/>
      <c r="P4711" s="575"/>
      <c r="Q4711" s="575"/>
      <c r="R4711" s="575"/>
      <c r="S4711" s="575"/>
      <c r="T4711" s="575"/>
      <c r="U4711" s="575"/>
      <c r="V4711" s="575"/>
      <c r="W4711" s="575"/>
      <c r="X4711" s="575"/>
      <c r="Y4711" s="575"/>
    </row>
    <row r="4712" spans="1:25" s="88" customFormat="1" hidden="1">
      <c r="A4712" s="263"/>
      <c r="B4712" s="263"/>
      <c r="C4712" s="266"/>
      <c r="D4712" s="263"/>
      <c r="E4712" s="263"/>
      <c r="F4712" s="263"/>
      <c r="G4712" s="331"/>
      <c r="H4712" s="644"/>
      <c r="I4712" s="645"/>
      <c r="J4712" s="645"/>
      <c r="K4712" s="575"/>
      <c r="L4712" s="575"/>
      <c r="M4712" s="575"/>
      <c r="N4712" s="575"/>
      <c r="O4712" s="575"/>
      <c r="P4712" s="575"/>
      <c r="Q4712" s="575"/>
      <c r="R4712" s="575"/>
      <c r="S4712" s="575"/>
      <c r="T4712" s="575"/>
      <c r="U4712" s="575"/>
      <c r="V4712" s="575"/>
      <c r="W4712" s="575"/>
      <c r="X4712" s="575"/>
      <c r="Y4712" s="575"/>
    </row>
    <row r="4713" spans="1:25" s="88" customFormat="1" hidden="1">
      <c r="A4713" s="263"/>
      <c r="B4713" s="263"/>
      <c r="C4713" s="266"/>
      <c r="D4713" s="263"/>
      <c r="E4713" s="263"/>
      <c r="F4713" s="263"/>
      <c r="G4713" s="331"/>
      <c r="H4713" s="644"/>
      <c r="I4713" s="645"/>
      <c r="J4713" s="645"/>
      <c r="K4713" s="575"/>
      <c r="L4713" s="575"/>
      <c r="M4713" s="575"/>
      <c r="N4713" s="575"/>
      <c r="O4713" s="575"/>
      <c r="P4713" s="575"/>
      <c r="Q4713" s="575"/>
      <c r="R4713" s="575"/>
      <c r="S4713" s="575"/>
      <c r="T4713" s="575"/>
      <c r="U4713" s="575"/>
      <c r="V4713" s="575"/>
      <c r="W4713" s="575"/>
      <c r="X4713" s="575"/>
      <c r="Y4713" s="575"/>
    </row>
    <row r="4714" spans="1:25" s="88" customFormat="1" hidden="1">
      <c r="A4714" s="263"/>
      <c r="B4714" s="263"/>
      <c r="C4714" s="266"/>
      <c r="D4714" s="263"/>
      <c r="E4714" s="263"/>
      <c r="F4714" s="263"/>
      <c r="G4714" s="331"/>
      <c r="H4714" s="644"/>
      <c r="I4714" s="645"/>
      <c r="J4714" s="645"/>
      <c r="K4714" s="575"/>
      <c r="L4714" s="575"/>
      <c r="M4714" s="575"/>
      <c r="N4714" s="575"/>
      <c r="O4714" s="575"/>
      <c r="P4714" s="575"/>
      <c r="Q4714" s="575"/>
      <c r="R4714" s="575"/>
      <c r="S4714" s="575"/>
      <c r="T4714" s="575"/>
      <c r="U4714" s="575"/>
      <c r="V4714" s="575"/>
      <c r="W4714" s="575"/>
      <c r="X4714" s="575"/>
      <c r="Y4714" s="575"/>
    </row>
    <row r="4715" spans="1:25" s="88" customFormat="1" hidden="1">
      <c r="A4715" s="263"/>
      <c r="B4715" s="263"/>
      <c r="C4715" s="266"/>
      <c r="D4715" s="263"/>
      <c r="E4715" s="263"/>
      <c r="F4715" s="263"/>
      <c r="G4715" s="331"/>
      <c r="H4715" s="644"/>
      <c r="I4715" s="645"/>
      <c r="J4715" s="645"/>
      <c r="K4715" s="575"/>
      <c r="L4715" s="575"/>
      <c r="M4715" s="575"/>
      <c r="N4715" s="575"/>
      <c r="O4715" s="575"/>
      <c r="P4715" s="575"/>
      <c r="Q4715" s="575"/>
      <c r="R4715" s="575"/>
      <c r="S4715" s="575"/>
      <c r="T4715" s="575"/>
      <c r="U4715" s="575"/>
      <c r="V4715" s="575"/>
      <c r="W4715" s="575"/>
      <c r="X4715" s="575"/>
      <c r="Y4715" s="575"/>
    </row>
    <row r="4716" spans="1:25" s="88" customFormat="1" hidden="1">
      <c r="A4716" s="263"/>
      <c r="B4716" s="263"/>
      <c r="C4716" s="266"/>
      <c r="D4716" s="263"/>
      <c r="E4716" s="263"/>
      <c r="F4716" s="263"/>
      <c r="G4716" s="331"/>
      <c r="H4716" s="644"/>
      <c r="I4716" s="645"/>
      <c r="J4716" s="645"/>
      <c r="K4716" s="575"/>
      <c r="L4716" s="575"/>
      <c r="M4716" s="575"/>
      <c r="N4716" s="575"/>
      <c r="O4716" s="575"/>
      <c r="P4716" s="575"/>
      <c r="Q4716" s="575"/>
      <c r="R4716" s="575"/>
      <c r="S4716" s="575"/>
      <c r="T4716" s="575"/>
      <c r="U4716" s="575"/>
      <c r="V4716" s="575"/>
      <c r="W4716" s="575"/>
      <c r="X4716" s="575"/>
      <c r="Y4716" s="575"/>
    </row>
    <row r="4717" spans="1:25" s="88" customFormat="1" hidden="1">
      <c r="A4717" s="263"/>
      <c r="B4717" s="263"/>
      <c r="C4717" s="266"/>
      <c r="D4717" s="263"/>
      <c r="E4717" s="263"/>
      <c r="F4717" s="263"/>
      <c r="G4717" s="331"/>
      <c r="H4717" s="644"/>
      <c r="I4717" s="645"/>
      <c r="J4717" s="645"/>
      <c r="K4717" s="575"/>
      <c r="L4717" s="575"/>
      <c r="M4717" s="575"/>
      <c r="N4717" s="575"/>
      <c r="O4717" s="575"/>
      <c r="P4717" s="575"/>
      <c r="Q4717" s="575"/>
      <c r="R4717" s="575"/>
      <c r="S4717" s="575"/>
      <c r="T4717" s="575"/>
      <c r="U4717" s="575"/>
      <c r="V4717" s="575"/>
      <c r="W4717" s="575"/>
      <c r="X4717" s="575"/>
      <c r="Y4717" s="575"/>
    </row>
    <row r="4718" spans="1:25" s="88" customFormat="1" hidden="1">
      <c r="A4718" s="263"/>
      <c r="B4718" s="263"/>
      <c r="C4718" s="266"/>
      <c r="D4718" s="263"/>
      <c r="E4718" s="263"/>
      <c r="F4718" s="263"/>
      <c r="G4718" s="331"/>
      <c r="H4718" s="644"/>
      <c r="I4718" s="645"/>
      <c r="J4718" s="645"/>
      <c r="K4718" s="575"/>
      <c r="L4718" s="575"/>
      <c r="M4718" s="575"/>
      <c r="N4718" s="575"/>
      <c r="O4718" s="575"/>
      <c r="P4718" s="575"/>
      <c r="Q4718" s="575"/>
      <c r="R4718" s="575"/>
      <c r="S4718" s="575"/>
      <c r="T4718" s="575"/>
      <c r="U4718" s="575"/>
      <c r="V4718" s="575"/>
      <c r="W4718" s="575"/>
      <c r="X4718" s="575"/>
      <c r="Y4718" s="575"/>
    </row>
    <row r="4719" spans="1:25" s="88" customFormat="1" hidden="1">
      <c r="A4719" s="263"/>
      <c r="B4719" s="263"/>
      <c r="C4719" s="266"/>
      <c r="D4719" s="263"/>
      <c r="E4719" s="263"/>
      <c r="F4719" s="263"/>
      <c r="G4719" s="331"/>
      <c r="H4719" s="644"/>
      <c r="I4719" s="645"/>
      <c r="J4719" s="645"/>
      <c r="K4719" s="575"/>
      <c r="L4719" s="575"/>
      <c r="M4719" s="575"/>
      <c r="N4719" s="575"/>
      <c r="O4719" s="575"/>
      <c r="P4719" s="575"/>
      <c r="Q4719" s="575"/>
      <c r="R4719" s="575"/>
      <c r="S4719" s="575"/>
      <c r="T4719" s="575"/>
      <c r="U4719" s="575"/>
      <c r="V4719" s="575"/>
      <c r="W4719" s="575"/>
      <c r="X4719" s="575"/>
      <c r="Y4719" s="575"/>
    </row>
    <row r="4720" spans="1:25" s="88" customFormat="1" hidden="1">
      <c r="A4720" s="263"/>
      <c r="B4720" s="263"/>
      <c r="C4720" s="266"/>
      <c r="D4720" s="263"/>
      <c r="E4720" s="263"/>
      <c r="F4720" s="263"/>
      <c r="G4720" s="331"/>
      <c r="H4720" s="644"/>
      <c r="I4720" s="645"/>
      <c r="J4720" s="645"/>
      <c r="K4720" s="575"/>
      <c r="L4720" s="575"/>
      <c r="M4720" s="575"/>
      <c r="N4720" s="575"/>
      <c r="O4720" s="575"/>
      <c r="P4720" s="575"/>
      <c r="Q4720" s="575"/>
      <c r="R4720" s="575"/>
      <c r="S4720" s="575"/>
      <c r="T4720" s="575"/>
      <c r="U4720" s="575"/>
      <c r="V4720" s="575"/>
      <c r="W4720" s="575"/>
      <c r="X4720" s="575"/>
      <c r="Y4720" s="575"/>
    </row>
    <row r="4721" spans="1:25" s="88" customFormat="1" hidden="1">
      <c r="A4721" s="263"/>
      <c r="B4721" s="263"/>
      <c r="C4721" s="266"/>
      <c r="D4721" s="263"/>
      <c r="E4721" s="263"/>
      <c r="F4721" s="263"/>
      <c r="G4721" s="331"/>
      <c r="H4721" s="644"/>
      <c r="I4721" s="645"/>
      <c r="J4721" s="645"/>
      <c r="K4721" s="575"/>
      <c r="L4721" s="575"/>
      <c r="M4721" s="575"/>
      <c r="N4721" s="575"/>
      <c r="O4721" s="575"/>
      <c r="P4721" s="575"/>
      <c r="Q4721" s="575"/>
      <c r="R4721" s="575"/>
      <c r="S4721" s="575"/>
      <c r="T4721" s="575"/>
      <c r="U4721" s="575"/>
      <c r="V4721" s="575"/>
      <c r="W4721" s="575"/>
      <c r="X4721" s="575"/>
      <c r="Y4721" s="575"/>
    </row>
    <row r="4722" spans="1:25" s="88" customFormat="1" hidden="1">
      <c r="A4722" s="263"/>
      <c r="B4722" s="263"/>
      <c r="C4722" s="266"/>
      <c r="D4722" s="263"/>
      <c r="E4722" s="263"/>
      <c r="F4722" s="263"/>
      <c r="G4722" s="331"/>
      <c r="H4722" s="644"/>
      <c r="I4722" s="645"/>
      <c r="J4722" s="645"/>
      <c r="K4722" s="575"/>
      <c r="L4722" s="575"/>
      <c r="M4722" s="575"/>
      <c r="N4722" s="575"/>
      <c r="O4722" s="575"/>
      <c r="P4722" s="575"/>
      <c r="Q4722" s="575"/>
      <c r="R4722" s="575"/>
      <c r="S4722" s="575"/>
      <c r="T4722" s="575"/>
      <c r="U4722" s="575"/>
      <c r="V4722" s="575"/>
      <c r="W4722" s="575"/>
      <c r="X4722" s="575"/>
      <c r="Y4722" s="575"/>
    </row>
    <row r="4723" spans="1:25" s="88" customFormat="1" hidden="1">
      <c r="A4723" s="263"/>
      <c r="B4723" s="263"/>
      <c r="C4723" s="266"/>
      <c r="D4723" s="263"/>
      <c r="E4723" s="263"/>
      <c r="F4723" s="263"/>
      <c r="G4723" s="331"/>
      <c r="H4723" s="644"/>
      <c r="I4723" s="645"/>
      <c r="J4723" s="645"/>
      <c r="K4723" s="575"/>
      <c r="L4723" s="575"/>
      <c r="M4723" s="575"/>
      <c r="N4723" s="575"/>
      <c r="O4723" s="575"/>
      <c r="P4723" s="575"/>
      <c r="Q4723" s="575"/>
      <c r="R4723" s="575"/>
      <c r="S4723" s="575"/>
      <c r="T4723" s="575"/>
      <c r="U4723" s="575"/>
      <c r="V4723" s="575"/>
      <c r="W4723" s="575"/>
      <c r="X4723" s="575"/>
      <c r="Y4723" s="575"/>
    </row>
    <row r="4724" spans="1:25" s="88" customFormat="1" hidden="1">
      <c r="A4724" s="263"/>
      <c r="B4724" s="263"/>
      <c r="C4724" s="266"/>
      <c r="D4724" s="263"/>
      <c r="E4724" s="263"/>
      <c r="F4724" s="263"/>
      <c r="G4724" s="331"/>
      <c r="H4724" s="644"/>
      <c r="I4724" s="645"/>
      <c r="J4724" s="645"/>
      <c r="K4724" s="575"/>
      <c r="L4724" s="575"/>
      <c r="M4724" s="575"/>
      <c r="N4724" s="575"/>
      <c r="O4724" s="575"/>
      <c r="P4724" s="575"/>
      <c r="Q4724" s="575"/>
      <c r="R4724" s="575"/>
      <c r="S4724" s="575"/>
      <c r="T4724" s="575"/>
      <c r="U4724" s="575"/>
      <c r="V4724" s="575"/>
      <c r="W4724" s="575"/>
      <c r="X4724" s="575"/>
      <c r="Y4724" s="575"/>
    </row>
    <row r="4725" spans="1:25" s="88" customFormat="1" hidden="1">
      <c r="A4725" s="551"/>
      <c r="B4725" s="301"/>
      <c r="C4725" s="361"/>
      <c r="D4725" s="296"/>
      <c r="E4725" s="296"/>
      <c r="F4725" s="263"/>
      <c r="G4725" s="331"/>
      <c r="H4725" s="644"/>
      <c r="I4725" s="645"/>
      <c r="J4725" s="645"/>
      <c r="K4725" s="575"/>
      <c r="L4725" s="575"/>
      <c r="M4725" s="575"/>
      <c r="N4725" s="575"/>
      <c r="O4725" s="575"/>
      <c r="P4725" s="575"/>
      <c r="Q4725" s="575"/>
      <c r="R4725" s="575"/>
      <c r="S4725" s="575"/>
      <c r="T4725" s="575"/>
      <c r="U4725" s="575"/>
      <c r="V4725" s="575"/>
      <c r="W4725" s="575"/>
      <c r="X4725" s="575"/>
      <c r="Y4725" s="575"/>
    </row>
    <row r="4726" spans="1:25" s="88" customFormat="1" hidden="1">
      <c r="A4726" s="551"/>
      <c r="B4726" s="301"/>
      <c r="C4726" s="361"/>
      <c r="D4726" s="296"/>
      <c r="E4726" s="296"/>
      <c r="F4726" s="263"/>
      <c r="G4726" s="331"/>
      <c r="H4726" s="644"/>
      <c r="I4726" s="645"/>
      <c r="J4726" s="645"/>
      <c r="K4726" s="575"/>
      <c r="L4726" s="575"/>
      <c r="M4726" s="575"/>
      <c r="N4726" s="575"/>
      <c r="O4726" s="575"/>
      <c r="P4726" s="575"/>
      <c r="Q4726" s="575"/>
      <c r="R4726" s="575"/>
      <c r="S4726" s="575"/>
      <c r="T4726" s="575"/>
      <c r="U4726" s="575"/>
      <c r="V4726" s="575"/>
      <c r="W4726" s="575"/>
      <c r="X4726" s="575"/>
      <c r="Y4726" s="575"/>
    </row>
    <row r="4727" spans="1:25" s="88" customFormat="1" hidden="1">
      <c r="A4727" s="551"/>
      <c r="B4727" s="301"/>
      <c r="C4727" s="361"/>
      <c r="D4727" s="296"/>
      <c r="E4727" s="296"/>
      <c r="F4727" s="263"/>
      <c r="G4727" s="331"/>
      <c r="H4727" s="644"/>
      <c r="I4727" s="645"/>
      <c r="J4727" s="645"/>
      <c r="K4727" s="575"/>
      <c r="L4727" s="575"/>
      <c r="M4727" s="575"/>
      <c r="N4727" s="575"/>
      <c r="O4727" s="575"/>
      <c r="P4727" s="575"/>
      <c r="Q4727" s="575"/>
      <c r="R4727" s="575"/>
      <c r="S4727" s="575"/>
      <c r="T4727" s="575"/>
      <c r="U4727" s="575"/>
      <c r="V4727" s="575"/>
      <c r="W4727" s="575"/>
      <c r="X4727" s="575"/>
      <c r="Y4727" s="575"/>
    </row>
    <row r="4728" spans="1:25" s="88" customFormat="1" hidden="1">
      <c r="A4728" s="551"/>
      <c r="B4728" s="301"/>
      <c r="C4728" s="361"/>
      <c r="D4728" s="296"/>
      <c r="E4728" s="296"/>
      <c r="F4728" s="263"/>
      <c r="G4728" s="331"/>
      <c r="H4728" s="644"/>
      <c r="I4728" s="645"/>
      <c r="J4728" s="645"/>
      <c r="K4728" s="575"/>
      <c r="L4728" s="575"/>
      <c r="M4728" s="575"/>
      <c r="N4728" s="575"/>
      <c r="O4728" s="575"/>
      <c r="P4728" s="575"/>
      <c r="Q4728" s="575"/>
      <c r="R4728" s="575"/>
      <c r="S4728" s="575"/>
      <c r="T4728" s="575"/>
      <c r="U4728" s="575"/>
      <c r="V4728" s="575"/>
      <c r="W4728" s="575"/>
      <c r="X4728" s="575"/>
      <c r="Y4728" s="575"/>
    </row>
    <row r="4729" spans="1:25" s="88" customFormat="1" hidden="1">
      <c r="A4729" s="551"/>
      <c r="B4729" s="301"/>
      <c r="C4729" s="361"/>
      <c r="D4729" s="296"/>
      <c r="E4729" s="296"/>
      <c r="F4729" s="263"/>
      <c r="G4729" s="331"/>
      <c r="H4729" s="644"/>
      <c r="I4729" s="645"/>
      <c r="J4729" s="645"/>
      <c r="K4729" s="575"/>
      <c r="L4729" s="575"/>
      <c r="M4729" s="575"/>
      <c r="N4729" s="575"/>
      <c r="O4729" s="575"/>
      <c r="P4729" s="575"/>
      <c r="Q4729" s="575"/>
      <c r="R4729" s="575"/>
      <c r="S4729" s="575"/>
      <c r="T4729" s="575"/>
      <c r="U4729" s="575"/>
      <c r="V4729" s="575"/>
      <c r="W4729" s="575"/>
      <c r="X4729" s="575"/>
      <c r="Y4729" s="575"/>
    </row>
    <row r="4730" spans="1:25" s="88" customFormat="1" hidden="1">
      <c r="A4730" s="551"/>
      <c r="B4730" s="301"/>
      <c r="C4730" s="361"/>
      <c r="D4730" s="296"/>
      <c r="E4730" s="296"/>
      <c r="F4730" s="263"/>
      <c r="G4730" s="331"/>
      <c r="H4730" s="644"/>
      <c r="I4730" s="645"/>
      <c r="J4730" s="645"/>
      <c r="K4730" s="575"/>
      <c r="L4730" s="575"/>
      <c r="M4730" s="575"/>
      <c r="N4730" s="575"/>
      <c r="O4730" s="575"/>
      <c r="P4730" s="575"/>
      <c r="Q4730" s="575"/>
      <c r="R4730" s="575"/>
      <c r="S4730" s="575"/>
      <c r="T4730" s="575"/>
      <c r="U4730" s="575"/>
      <c r="V4730" s="575"/>
      <c r="W4730" s="575"/>
      <c r="X4730" s="575"/>
      <c r="Y4730" s="575"/>
    </row>
    <row r="4731" spans="1:25" s="88" customFormat="1" hidden="1">
      <c r="A4731" s="551"/>
      <c r="B4731" s="301"/>
      <c r="C4731" s="361"/>
      <c r="D4731" s="296"/>
      <c r="E4731" s="296"/>
      <c r="F4731" s="263"/>
      <c r="G4731" s="331"/>
      <c r="H4731" s="644"/>
      <c r="I4731" s="645"/>
      <c r="J4731" s="645"/>
      <c r="K4731" s="575"/>
      <c r="L4731" s="575"/>
      <c r="M4731" s="575"/>
      <c r="N4731" s="575"/>
      <c r="O4731" s="575"/>
      <c r="P4731" s="575"/>
      <c r="Q4731" s="575"/>
      <c r="R4731" s="575"/>
      <c r="S4731" s="575"/>
      <c r="T4731" s="575"/>
      <c r="U4731" s="575"/>
      <c r="V4731" s="575"/>
      <c r="W4731" s="575"/>
      <c r="X4731" s="575"/>
      <c r="Y4731" s="575"/>
    </row>
    <row r="4732" spans="1:25" s="88" customFormat="1" hidden="1">
      <c r="A4732" s="551"/>
      <c r="B4732" s="301"/>
      <c r="C4732" s="361"/>
      <c r="D4732" s="296"/>
      <c r="E4732" s="296"/>
      <c r="F4732" s="263"/>
      <c r="G4732" s="331"/>
      <c r="H4732" s="644"/>
      <c r="I4732" s="645"/>
      <c r="J4732" s="645"/>
      <c r="K4732" s="575"/>
      <c r="L4732" s="575"/>
      <c r="M4732" s="575"/>
      <c r="N4732" s="575"/>
      <c r="O4732" s="575"/>
      <c r="P4732" s="575"/>
      <c r="Q4732" s="575"/>
      <c r="R4732" s="575"/>
      <c r="S4732" s="575"/>
      <c r="T4732" s="575"/>
      <c r="U4732" s="575"/>
      <c r="V4732" s="575"/>
      <c r="W4732" s="575"/>
      <c r="X4732" s="575"/>
      <c r="Y4732" s="575"/>
    </row>
    <row r="4733" spans="1:25" hidden="1">
      <c r="G4733" s="453"/>
    </row>
    <row r="4734" spans="1:25" s="88" customFormat="1" ht="6" customHeight="1">
      <c r="A4734" s="306"/>
      <c r="B4734" s="301"/>
      <c r="C4734" s="361"/>
      <c r="D4734" s="296"/>
      <c r="E4734" s="296"/>
      <c r="F4734" s="302"/>
      <c r="G4734" s="339"/>
      <c r="H4734" s="667"/>
      <c r="I4734" s="650"/>
      <c r="J4734" s="668"/>
      <c r="K4734" s="575"/>
      <c r="L4734" s="575"/>
      <c r="M4734" s="575"/>
      <c r="N4734" s="575"/>
      <c r="O4734" s="575"/>
      <c r="P4734" s="575"/>
      <c r="Q4734" s="575"/>
      <c r="R4734" s="575"/>
      <c r="S4734" s="575"/>
      <c r="T4734" s="575"/>
      <c r="U4734" s="575"/>
      <c r="V4734" s="575"/>
      <c r="W4734" s="575"/>
      <c r="X4734" s="575"/>
      <c r="Y4734" s="575"/>
    </row>
    <row r="4735" spans="1:25" hidden="1">
      <c r="C4735" s="273" t="s">
        <v>3600</v>
      </c>
      <c r="G4735" s="339" t="s">
        <v>4208</v>
      </c>
    </row>
    <row r="4736" spans="1:25" hidden="1">
      <c r="C4736" s="368" t="s">
        <v>4138</v>
      </c>
      <c r="G4736" s="339" t="s">
        <v>4139</v>
      </c>
    </row>
    <row r="4737" spans="3:10" hidden="1">
      <c r="C4737" s="273"/>
      <c r="D4737" s="357">
        <v>130</v>
      </c>
      <c r="E4737" s="357"/>
      <c r="F4737" s="357"/>
      <c r="G4737" s="359" t="s">
        <v>4307</v>
      </c>
    </row>
    <row r="4738" spans="3:10" hidden="1">
      <c r="F4738" s="308">
        <v>411</v>
      </c>
      <c r="G4738" s="340" t="s">
        <v>4173</v>
      </c>
      <c r="J4738" s="635">
        <f>SUM(H4738:I4738)</f>
        <v>0</v>
      </c>
    </row>
    <row r="4739" spans="3:10" hidden="1">
      <c r="F4739" s="308">
        <v>412</v>
      </c>
      <c r="G4739" s="337" t="s">
        <v>3770</v>
      </c>
      <c r="J4739" s="635">
        <f t="shared" ref="J4739:J4798" si="143">SUM(H4739:I4739)</f>
        <v>0</v>
      </c>
    </row>
    <row r="4740" spans="3:10" hidden="1">
      <c r="F4740" s="308">
        <v>413</v>
      </c>
      <c r="G4740" s="340" t="s">
        <v>4174</v>
      </c>
      <c r="J4740" s="635">
        <f t="shared" si="143"/>
        <v>0</v>
      </c>
    </row>
    <row r="4741" spans="3:10" hidden="1">
      <c r="F4741" s="308">
        <v>414</v>
      </c>
      <c r="G4741" s="340" t="s">
        <v>3773</v>
      </c>
      <c r="J4741" s="635">
        <f t="shared" si="143"/>
        <v>0</v>
      </c>
    </row>
    <row r="4742" spans="3:10" hidden="1">
      <c r="F4742" s="308">
        <v>415</v>
      </c>
      <c r="G4742" s="340" t="s">
        <v>4183</v>
      </c>
      <c r="J4742" s="635">
        <f t="shared" si="143"/>
        <v>0</v>
      </c>
    </row>
    <row r="4743" spans="3:10" hidden="1">
      <c r="F4743" s="308">
        <v>416</v>
      </c>
      <c r="G4743" s="340" t="s">
        <v>4184</v>
      </c>
      <c r="J4743" s="635">
        <f t="shared" si="143"/>
        <v>0</v>
      </c>
    </row>
    <row r="4744" spans="3:10" hidden="1">
      <c r="F4744" s="308">
        <v>417</v>
      </c>
      <c r="G4744" s="340" t="s">
        <v>4185</v>
      </c>
      <c r="J4744" s="635">
        <f t="shared" si="143"/>
        <v>0</v>
      </c>
    </row>
    <row r="4745" spans="3:10" hidden="1">
      <c r="F4745" s="308">
        <v>418</v>
      </c>
      <c r="G4745" s="340" t="s">
        <v>3779</v>
      </c>
      <c r="J4745" s="635">
        <f t="shared" si="143"/>
        <v>0</v>
      </c>
    </row>
    <row r="4746" spans="3:10" hidden="1">
      <c r="F4746" s="308">
        <v>421</v>
      </c>
      <c r="G4746" s="340" t="s">
        <v>3783</v>
      </c>
      <c r="J4746" s="635">
        <f t="shared" si="143"/>
        <v>0</v>
      </c>
    </row>
    <row r="4747" spans="3:10" hidden="1">
      <c r="F4747" s="308">
        <v>422</v>
      </c>
      <c r="G4747" s="340" t="s">
        <v>3784</v>
      </c>
      <c r="J4747" s="635">
        <f t="shared" si="143"/>
        <v>0</v>
      </c>
    </row>
    <row r="4748" spans="3:10" hidden="1">
      <c r="F4748" s="308">
        <v>423</v>
      </c>
      <c r="G4748" s="340" t="s">
        <v>3785</v>
      </c>
      <c r="J4748" s="635">
        <f t="shared" si="143"/>
        <v>0</v>
      </c>
    </row>
    <row r="4749" spans="3:10" hidden="1">
      <c r="F4749" s="308">
        <v>424</v>
      </c>
      <c r="G4749" s="340" t="s">
        <v>3787</v>
      </c>
      <c r="J4749" s="635">
        <f t="shared" si="143"/>
        <v>0</v>
      </c>
    </row>
    <row r="4750" spans="3:10" hidden="1">
      <c r="F4750" s="308">
        <v>425</v>
      </c>
      <c r="G4750" s="340" t="s">
        <v>4186</v>
      </c>
      <c r="J4750" s="635">
        <f t="shared" si="143"/>
        <v>0</v>
      </c>
    </row>
    <row r="4751" spans="3:10" hidden="1">
      <c r="F4751" s="308">
        <v>426</v>
      </c>
      <c r="G4751" s="340" t="s">
        <v>3791</v>
      </c>
      <c r="J4751" s="635">
        <f t="shared" si="143"/>
        <v>0</v>
      </c>
    </row>
    <row r="4752" spans="3:10" hidden="1">
      <c r="F4752" s="308">
        <v>431</v>
      </c>
      <c r="G4752" s="340" t="s">
        <v>4187</v>
      </c>
      <c r="J4752" s="635">
        <f t="shared" si="143"/>
        <v>0</v>
      </c>
    </row>
    <row r="4753" spans="6:10" hidden="1">
      <c r="F4753" s="308">
        <v>432</v>
      </c>
      <c r="G4753" s="340" t="s">
        <v>4188</v>
      </c>
      <c r="J4753" s="635">
        <f t="shared" si="143"/>
        <v>0</v>
      </c>
    </row>
    <row r="4754" spans="6:10" hidden="1">
      <c r="F4754" s="308">
        <v>433</v>
      </c>
      <c r="G4754" s="340" t="s">
        <v>4189</v>
      </c>
      <c r="J4754" s="635">
        <f t="shared" si="143"/>
        <v>0</v>
      </c>
    </row>
    <row r="4755" spans="6:10" hidden="1">
      <c r="F4755" s="308">
        <v>434</v>
      </c>
      <c r="G4755" s="340" t="s">
        <v>4190</v>
      </c>
      <c r="J4755" s="635">
        <f t="shared" si="143"/>
        <v>0</v>
      </c>
    </row>
    <row r="4756" spans="6:10" hidden="1">
      <c r="F4756" s="308">
        <v>435</v>
      </c>
      <c r="G4756" s="340" t="s">
        <v>3798</v>
      </c>
      <c r="J4756" s="635">
        <f t="shared" si="143"/>
        <v>0</v>
      </c>
    </row>
    <row r="4757" spans="6:10" hidden="1">
      <c r="F4757" s="308">
        <v>441</v>
      </c>
      <c r="G4757" s="340" t="s">
        <v>4191</v>
      </c>
      <c r="J4757" s="635">
        <f t="shared" si="143"/>
        <v>0</v>
      </c>
    </row>
    <row r="4758" spans="6:10" hidden="1">
      <c r="F4758" s="308">
        <v>442</v>
      </c>
      <c r="G4758" s="340" t="s">
        <v>4192</v>
      </c>
      <c r="J4758" s="635">
        <f t="shared" si="143"/>
        <v>0</v>
      </c>
    </row>
    <row r="4759" spans="6:10" hidden="1">
      <c r="F4759" s="308">
        <v>443</v>
      </c>
      <c r="G4759" s="340" t="s">
        <v>3803</v>
      </c>
      <c r="J4759" s="635">
        <f t="shared" si="143"/>
        <v>0</v>
      </c>
    </row>
    <row r="4760" spans="6:10" hidden="1">
      <c r="F4760" s="308">
        <v>444</v>
      </c>
      <c r="G4760" s="340" t="s">
        <v>3804</v>
      </c>
      <c r="J4760" s="635">
        <f t="shared" si="143"/>
        <v>0</v>
      </c>
    </row>
    <row r="4761" spans="6:10" ht="30" hidden="1">
      <c r="F4761" s="308">
        <v>4511</v>
      </c>
      <c r="G4761" s="268" t="s">
        <v>1690</v>
      </c>
      <c r="J4761" s="635">
        <f t="shared" si="143"/>
        <v>0</v>
      </c>
    </row>
    <row r="4762" spans="6:10" ht="30" hidden="1">
      <c r="F4762" s="308">
        <v>4512</v>
      </c>
      <c r="G4762" s="268" t="s">
        <v>1699</v>
      </c>
      <c r="J4762" s="635">
        <f t="shared" si="143"/>
        <v>0</v>
      </c>
    </row>
    <row r="4763" spans="6:10" hidden="1">
      <c r="F4763" s="308">
        <v>452</v>
      </c>
      <c r="G4763" s="340" t="s">
        <v>4193</v>
      </c>
      <c r="J4763" s="635">
        <f t="shared" si="143"/>
        <v>0</v>
      </c>
    </row>
    <row r="4764" spans="6:10" hidden="1">
      <c r="F4764" s="308">
        <v>453</v>
      </c>
      <c r="G4764" s="340" t="s">
        <v>4194</v>
      </c>
      <c r="J4764" s="635">
        <f t="shared" si="143"/>
        <v>0</v>
      </c>
    </row>
    <row r="4765" spans="6:10" hidden="1">
      <c r="F4765" s="308">
        <v>454</v>
      </c>
      <c r="G4765" s="340" t="s">
        <v>3809</v>
      </c>
      <c r="J4765" s="635">
        <f t="shared" si="143"/>
        <v>0</v>
      </c>
    </row>
    <row r="4766" spans="6:10" hidden="1">
      <c r="F4766" s="308">
        <v>461</v>
      </c>
      <c r="G4766" s="340" t="s">
        <v>4175</v>
      </c>
      <c r="J4766" s="635">
        <f t="shared" si="143"/>
        <v>0</v>
      </c>
    </row>
    <row r="4767" spans="6:10" hidden="1">
      <c r="F4767" s="308">
        <v>462</v>
      </c>
      <c r="G4767" s="340" t="s">
        <v>3812</v>
      </c>
      <c r="J4767" s="635">
        <f t="shared" si="143"/>
        <v>0</v>
      </c>
    </row>
    <row r="4768" spans="6:10" hidden="1">
      <c r="F4768" s="308">
        <v>4631</v>
      </c>
      <c r="G4768" s="340" t="s">
        <v>3813</v>
      </c>
      <c r="J4768" s="635">
        <f t="shared" si="143"/>
        <v>0</v>
      </c>
    </row>
    <row r="4769" spans="4:10" hidden="1">
      <c r="F4769" s="308">
        <v>4632</v>
      </c>
      <c r="G4769" s="340" t="s">
        <v>3814</v>
      </c>
      <c r="J4769" s="635">
        <f t="shared" si="143"/>
        <v>0</v>
      </c>
    </row>
    <row r="4770" spans="4:10" hidden="1">
      <c r="F4770" s="308">
        <v>464</v>
      </c>
      <c r="G4770" s="340" t="s">
        <v>3815</v>
      </c>
      <c r="J4770" s="635">
        <f t="shared" si="143"/>
        <v>0</v>
      </c>
    </row>
    <row r="4771" spans="4:10" hidden="1">
      <c r="F4771" s="308">
        <v>465</v>
      </c>
      <c r="G4771" s="340" t="s">
        <v>4176</v>
      </c>
      <c r="J4771" s="635">
        <f t="shared" si="143"/>
        <v>0</v>
      </c>
    </row>
    <row r="4772" spans="4:10" hidden="1">
      <c r="F4772" s="308">
        <v>472</v>
      </c>
      <c r="G4772" s="340" t="s">
        <v>3819</v>
      </c>
      <c r="J4772" s="635">
        <f t="shared" si="143"/>
        <v>0</v>
      </c>
    </row>
    <row r="4773" spans="4:10" hidden="1">
      <c r="F4773" s="308">
        <v>481</v>
      </c>
      <c r="G4773" s="340" t="s">
        <v>4195</v>
      </c>
      <c r="J4773" s="635">
        <f t="shared" si="143"/>
        <v>0</v>
      </c>
    </row>
    <row r="4774" spans="4:10" hidden="1">
      <c r="F4774" s="308">
        <v>482</v>
      </c>
      <c r="G4774" s="340" t="s">
        <v>4196</v>
      </c>
      <c r="J4774" s="635">
        <f t="shared" si="143"/>
        <v>0</v>
      </c>
    </row>
    <row r="4775" spans="4:10" hidden="1">
      <c r="F4775" s="308">
        <v>483</v>
      </c>
      <c r="G4775" s="343" t="s">
        <v>4197</v>
      </c>
      <c r="J4775" s="635">
        <f t="shared" si="143"/>
        <v>0</v>
      </c>
    </row>
    <row r="4776" spans="4:10" ht="30" hidden="1">
      <c r="F4776" s="308">
        <v>484</v>
      </c>
      <c r="G4776" s="340" t="s">
        <v>4198</v>
      </c>
      <c r="J4776" s="635">
        <f t="shared" si="143"/>
        <v>0</v>
      </c>
    </row>
    <row r="4777" spans="4:10" ht="30" hidden="1">
      <c r="F4777" s="308">
        <v>485</v>
      </c>
      <c r="G4777" s="340" t="s">
        <v>4199</v>
      </c>
      <c r="J4777" s="635">
        <f t="shared" si="143"/>
        <v>0</v>
      </c>
    </row>
    <row r="4778" spans="4:10" ht="30" hidden="1">
      <c r="F4778" s="308">
        <v>489</v>
      </c>
      <c r="G4778" s="340" t="s">
        <v>3827</v>
      </c>
      <c r="J4778" s="635">
        <f t="shared" si="143"/>
        <v>0</v>
      </c>
    </row>
    <row r="4779" spans="4:10" hidden="1">
      <c r="F4779" s="308">
        <v>494</v>
      </c>
      <c r="G4779" s="340" t="s">
        <v>4177</v>
      </c>
      <c r="J4779" s="635">
        <f t="shared" si="143"/>
        <v>0</v>
      </c>
    </row>
    <row r="4780" spans="4:10" ht="30" hidden="1">
      <c r="F4780" s="308">
        <v>495</v>
      </c>
      <c r="G4780" s="340" t="s">
        <v>4178</v>
      </c>
      <c r="J4780" s="635">
        <f t="shared" si="143"/>
        <v>0</v>
      </c>
    </row>
    <row r="4781" spans="4:10" ht="30" hidden="1">
      <c r="F4781" s="308">
        <v>496</v>
      </c>
      <c r="G4781" s="340" t="s">
        <v>4179</v>
      </c>
      <c r="J4781" s="635">
        <f t="shared" si="143"/>
        <v>0</v>
      </c>
    </row>
    <row r="4782" spans="4:10" hidden="1">
      <c r="D4782" s="357">
        <v>112</v>
      </c>
      <c r="F4782" s="569">
        <v>49911</v>
      </c>
      <c r="G4782" s="562" t="s">
        <v>3829</v>
      </c>
      <c r="J4782" s="635">
        <f t="shared" si="143"/>
        <v>0</v>
      </c>
    </row>
    <row r="4783" spans="4:10" hidden="1">
      <c r="D4783" s="357">
        <v>112</v>
      </c>
      <c r="F4783" s="263">
        <v>49912</v>
      </c>
      <c r="G4783" s="275" t="s">
        <v>3831</v>
      </c>
      <c r="J4783" s="635">
        <f t="shared" si="143"/>
        <v>0</v>
      </c>
    </row>
    <row r="4784" spans="4:10" hidden="1">
      <c r="F4784" s="308">
        <v>511</v>
      </c>
      <c r="G4784" s="343" t="s">
        <v>4200</v>
      </c>
      <c r="J4784" s="635">
        <f t="shared" si="143"/>
        <v>0</v>
      </c>
    </row>
    <row r="4785" spans="6:10" hidden="1">
      <c r="F4785" s="308">
        <v>512</v>
      </c>
      <c r="G4785" s="343" t="s">
        <v>4201</v>
      </c>
      <c r="J4785" s="635">
        <f t="shared" si="143"/>
        <v>0</v>
      </c>
    </row>
    <row r="4786" spans="6:10" hidden="1">
      <c r="F4786" s="308">
        <v>513</v>
      </c>
      <c r="G4786" s="343" t="s">
        <v>4202</v>
      </c>
      <c r="J4786" s="635">
        <f t="shared" si="143"/>
        <v>0</v>
      </c>
    </row>
    <row r="4787" spans="6:10" hidden="1">
      <c r="F4787" s="308">
        <v>514</v>
      </c>
      <c r="G4787" s="340" t="s">
        <v>4203</v>
      </c>
      <c r="J4787" s="635">
        <f t="shared" si="143"/>
        <v>0</v>
      </c>
    </row>
    <row r="4788" spans="6:10" hidden="1">
      <c r="F4788" s="308">
        <v>515</v>
      </c>
      <c r="G4788" s="340" t="s">
        <v>3838</v>
      </c>
      <c r="J4788" s="635">
        <f t="shared" si="143"/>
        <v>0</v>
      </c>
    </row>
    <row r="4789" spans="6:10" hidden="1">
      <c r="F4789" s="308">
        <v>521</v>
      </c>
      <c r="G4789" s="340" t="s">
        <v>4204</v>
      </c>
      <c r="J4789" s="635">
        <f t="shared" si="143"/>
        <v>0</v>
      </c>
    </row>
    <row r="4790" spans="6:10" hidden="1">
      <c r="F4790" s="308">
        <v>522</v>
      </c>
      <c r="G4790" s="340" t="s">
        <v>4205</v>
      </c>
      <c r="J4790" s="635">
        <f t="shared" si="143"/>
        <v>0</v>
      </c>
    </row>
    <row r="4791" spans="6:10" hidden="1">
      <c r="F4791" s="308">
        <v>523</v>
      </c>
      <c r="G4791" s="340" t="s">
        <v>3843</v>
      </c>
      <c r="J4791" s="635">
        <f t="shared" si="143"/>
        <v>0</v>
      </c>
    </row>
    <row r="4792" spans="6:10" hidden="1">
      <c r="F4792" s="308">
        <v>531</v>
      </c>
      <c r="G4792" s="337" t="s">
        <v>4181</v>
      </c>
      <c r="J4792" s="635">
        <f t="shared" si="143"/>
        <v>0</v>
      </c>
    </row>
    <row r="4793" spans="6:10" hidden="1">
      <c r="F4793" s="308">
        <v>541</v>
      </c>
      <c r="G4793" s="340" t="s">
        <v>4206</v>
      </c>
      <c r="J4793" s="635">
        <f t="shared" si="143"/>
        <v>0</v>
      </c>
    </row>
    <row r="4794" spans="6:10" hidden="1">
      <c r="F4794" s="308">
        <v>542</v>
      </c>
      <c r="G4794" s="340" t="s">
        <v>4207</v>
      </c>
      <c r="J4794" s="635">
        <f t="shared" si="143"/>
        <v>0</v>
      </c>
    </row>
    <row r="4795" spans="6:10" hidden="1">
      <c r="F4795" s="308">
        <v>543</v>
      </c>
      <c r="G4795" s="340" t="s">
        <v>3848</v>
      </c>
      <c r="J4795" s="635">
        <f t="shared" si="143"/>
        <v>0</v>
      </c>
    </row>
    <row r="4796" spans="6:10" ht="30" hidden="1">
      <c r="F4796" s="308">
        <v>551</v>
      </c>
      <c r="G4796" s="340" t="s">
        <v>4182</v>
      </c>
      <c r="J4796" s="635">
        <f t="shared" si="143"/>
        <v>0</v>
      </c>
    </row>
    <row r="4797" spans="6:10" hidden="1">
      <c r="F4797" s="309">
        <v>611</v>
      </c>
      <c r="G4797" s="344" t="s">
        <v>3854</v>
      </c>
      <c r="J4797" s="635">
        <f t="shared" si="143"/>
        <v>0</v>
      </c>
    </row>
    <row r="4798" spans="6:10" hidden="1">
      <c r="F4798" s="309">
        <v>620</v>
      </c>
      <c r="G4798" s="344" t="s">
        <v>88</v>
      </c>
      <c r="J4798" s="635">
        <f t="shared" si="143"/>
        <v>0</v>
      </c>
    </row>
    <row r="4799" spans="6:10" hidden="1">
      <c r="F4799" s="570"/>
      <c r="G4799" s="371" t="s">
        <v>4389</v>
      </c>
      <c r="H4799" s="751"/>
      <c r="I4799" s="752"/>
      <c r="J4799" s="752"/>
    </row>
    <row r="4800" spans="6:10" hidden="1">
      <c r="F4800" s="682" t="s">
        <v>234</v>
      </c>
      <c r="G4800" s="683" t="s">
        <v>235</v>
      </c>
      <c r="H4800" s="634">
        <f>SUM(H4782:H4783)</f>
        <v>0</v>
      </c>
      <c r="J4800" s="635">
        <f>SUM(H4800:I4800)</f>
        <v>0</v>
      </c>
    </row>
    <row r="4801" spans="5:10" ht="15.75" hidden="1" thickBot="1">
      <c r="F4801" s="570"/>
      <c r="G4801" s="274" t="s">
        <v>4390</v>
      </c>
      <c r="H4801" s="749">
        <f>SUM(H4800)</f>
        <v>0</v>
      </c>
      <c r="I4801" s="750"/>
      <c r="J4801" s="750">
        <f>SUM(H4801:I4801)</f>
        <v>0</v>
      </c>
    </row>
    <row r="4802" spans="5:10" hidden="1">
      <c r="E4802" s="338"/>
      <c r="F4802" s="346"/>
      <c r="G4802" s="371" t="s">
        <v>4382</v>
      </c>
      <c r="H4802" s="636"/>
      <c r="I4802" s="662"/>
      <c r="J4802" s="637"/>
    </row>
    <row r="4803" spans="5:10" hidden="1">
      <c r="E4803" s="267"/>
      <c r="F4803" s="294" t="s">
        <v>234</v>
      </c>
      <c r="G4803" s="297" t="s">
        <v>235</v>
      </c>
      <c r="H4803" s="638">
        <f>SUM(H4738:H4775,H4784:H4788)</f>
        <v>0</v>
      </c>
      <c r="I4803" s="639"/>
      <c r="J4803" s="639">
        <f>SUM(H4803:I4803)</f>
        <v>0</v>
      </c>
    </row>
    <row r="4804" spans="5:10" hidden="1">
      <c r="F4804" s="294" t="s">
        <v>236</v>
      </c>
      <c r="G4804" s="297" t="s">
        <v>237</v>
      </c>
      <c r="J4804" s="639">
        <f t="shared" ref="J4804:J4818" si="144">SUM(H4804:I4804)</f>
        <v>0</v>
      </c>
    </row>
    <row r="4805" spans="5:10" hidden="1">
      <c r="F4805" s="294" t="s">
        <v>238</v>
      </c>
      <c r="G4805" s="297" t="s">
        <v>239</v>
      </c>
      <c r="J4805" s="639">
        <f t="shared" si="144"/>
        <v>0</v>
      </c>
    </row>
    <row r="4806" spans="5:10" hidden="1">
      <c r="F4806" s="294" t="s">
        <v>240</v>
      </c>
      <c r="G4806" s="297" t="s">
        <v>241</v>
      </c>
      <c r="J4806" s="639">
        <f t="shared" si="144"/>
        <v>0</v>
      </c>
    </row>
    <row r="4807" spans="5:10" hidden="1">
      <c r="F4807" s="294" t="s">
        <v>242</v>
      </c>
      <c r="G4807" s="297" t="s">
        <v>243</v>
      </c>
      <c r="J4807" s="639">
        <f t="shared" si="144"/>
        <v>0</v>
      </c>
    </row>
    <row r="4808" spans="5:10" hidden="1">
      <c r="F4808" s="294" t="s">
        <v>244</v>
      </c>
      <c r="G4808" s="297" t="s">
        <v>245</v>
      </c>
      <c r="J4808" s="639">
        <f t="shared" si="144"/>
        <v>0</v>
      </c>
    </row>
    <row r="4809" spans="5:10" hidden="1">
      <c r="F4809" s="294" t="s">
        <v>246</v>
      </c>
      <c r="G4809" s="683" t="s">
        <v>5121</v>
      </c>
      <c r="J4809" s="639">
        <f t="shared" si="144"/>
        <v>0</v>
      </c>
    </row>
    <row r="4810" spans="5:10" hidden="1">
      <c r="F4810" s="294" t="s">
        <v>247</v>
      </c>
      <c r="G4810" s="683" t="s">
        <v>5120</v>
      </c>
      <c r="J4810" s="639">
        <f t="shared" si="144"/>
        <v>0</v>
      </c>
    </row>
    <row r="4811" spans="5:10" hidden="1">
      <c r="F4811" s="294" t="s">
        <v>248</v>
      </c>
      <c r="G4811" s="297" t="s">
        <v>57</v>
      </c>
      <c r="J4811" s="639">
        <f t="shared" si="144"/>
        <v>0</v>
      </c>
    </row>
    <row r="4812" spans="5:10" hidden="1">
      <c r="F4812" s="294" t="s">
        <v>249</v>
      </c>
      <c r="G4812" s="297" t="s">
        <v>250</v>
      </c>
      <c r="J4812" s="639">
        <f t="shared" si="144"/>
        <v>0</v>
      </c>
    </row>
    <row r="4813" spans="5:10" hidden="1">
      <c r="F4813" s="294" t="s">
        <v>251</v>
      </c>
      <c r="G4813" s="297" t="s">
        <v>252</v>
      </c>
      <c r="J4813" s="639">
        <f t="shared" si="144"/>
        <v>0</v>
      </c>
    </row>
    <row r="4814" spans="5:10" hidden="1">
      <c r="F4814" s="294" t="s">
        <v>253</v>
      </c>
      <c r="G4814" s="297" t="s">
        <v>254</v>
      </c>
      <c r="J4814" s="639">
        <f t="shared" si="144"/>
        <v>0</v>
      </c>
    </row>
    <row r="4815" spans="5:10" hidden="1">
      <c r="F4815" s="294" t="s">
        <v>255</v>
      </c>
      <c r="G4815" s="297" t="s">
        <v>256</v>
      </c>
      <c r="J4815" s="639">
        <f t="shared" si="144"/>
        <v>0</v>
      </c>
    </row>
    <row r="4816" spans="5:10" hidden="1">
      <c r="F4816" s="294" t="s">
        <v>257</v>
      </c>
      <c r="G4816" s="297" t="s">
        <v>258</v>
      </c>
      <c r="J4816" s="639">
        <f t="shared" si="144"/>
        <v>0</v>
      </c>
    </row>
    <row r="4817" spans="5:10" hidden="1">
      <c r="F4817" s="294" t="s">
        <v>259</v>
      </c>
      <c r="G4817" s="297" t="s">
        <v>260</v>
      </c>
      <c r="J4817" s="639">
        <f t="shared" si="144"/>
        <v>0</v>
      </c>
    </row>
    <row r="4818" spans="5:10" hidden="1">
      <c r="F4818" s="294" t="s">
        <v>261</v>
      </c>
      <c r="G4818" s="297" t="s">
        <v>262</v>
      </c>
      <c r="H4818" s="638"/>
      <c r="I4818" s="639"/>
      <c r="J4818" s="639">
        <f t="shared" si="144"/>
        <v>0</v>
      </c>
    </row>
    <row r="4819" spans="5:10" ht="15.75" hidden="1" thickBot="1">
      <c r="G4819" s="274" t="s">
        <v>4296</v>
      </c>
      <c r="H4819" s="640">
        <f>SUM(H4803:H4818)</f>
        <v>0</v>
      </c>
      <c r="I4819" s="641">
        <f>SUM(I4804:I4818)</f>
        <v>0</v>
      </c>
      <c r="J4819" s="641">
        <f>SUM(J4803:J4818)</f>
        <v>0</v>
      </c>
    </row>
    <row r="4820" spans="5:10" hidden="1" collapsed="1">
      <c r="E4820" s="305"/>
      <c r="F4820" s="309"/>
      <c r="G4820" s="276" t="s">
        <v>4215</v>
      </c>
      <c r="H4820" s="642"/>
      <c r="I4820" s="663"/>
      <c r="J4820" s="643"/>
    </row>
    <row r="4821" spans="5:10" hidden="1">
      <c r="E4821" s="267"/>
      <c r="F4821" s="294" t="s">
        <v>234</v>
      </c>
      <c r="G4821" s="297" t="s">
        <v>235</v>
      </c>
      <c r="H4821" s="638">
        <f>SUM(H4738:H4798)</f>
        <v>0</v>
      </c>
      <c r="I4821" s="639"/>
      <c r="J4821" s="639">
        <f>SUM(H4821:I4821)</f>
        <v>0</v>
      </c>
    </row>
    <row r="4822" spans="5:10" hidden="1">
      <c r="F4822" s="294" t="s">
        <v>236</v>
      </c>
      <c r="G4822" s="297" t="s">
        <v>237</v>
      </c>
      <c r="J4822" s="639">
        <f t="shared" ref="J4822:J4836" si="145">SUM(H4822:I4822)</f>
        <v>0</v>
      </c>
    </row>
    <row r="4823" spans="5:10" hidden="1">
      <c r="F4823" s="294" t="s">
        <v>238</v>
      </c>
      <c r="G4823" s="297" t="s">
        <v>239</v>
      </c>
      <c r="J4823" s="639">
        <f t="shared" si="145"/>
        <v>0</v>
      </c>
    </row>
    <row r="4824" spans="5:10" hidden="1">
      <c r="F4824" s="294" t="s">
        <v>240</v>
      </c>
      <c r="G4824" s="297" t="s">
        <v>241</v>
      </c>
      <c r="J4824" s="639">
        <f t="shared" si="145"/>
        <v>0</v>
      </c>
    </row>
    <row r="4825" spans="5:10" hidden="1">
      <c r="F4825" s="294" t="s">
        <v>242</v>
      </c>
      <c r="G4825" s="297" t="s">
        <v>243</v>
      </c>
      <c r="J4825" s="639">
        <f t="shared" si="145"/>
        <v>0</v>
      </c>
    </row>
    <row r="4826" spans="5:10" hidden="1">
      <c r="F4826" s="294" t="s">
        <v>244</v>
      </c>
      <c r="G4826" s="297" t="s">
        <v>245</v>
      </c>
      <c r="J4826" s="639">
        <f t="shared" si="145"/>
        <v>0</v>
      </c>
    </row>
    <row r="4827" spans="5:10" hidden="1">
      <c r="F4827" s="294" t="s">
        <v>246</v>
      </c>
      <c r="G4827" s="683" t="s">
        <v>5121</v>
      </c>
      <c r="J4827" s="639">
        <f t="shared" si="145"/>
        <v>0</v>
      </c>
    </row>
    <row r="4828" spans="5:10" hidden="1">
      <c r="F4828" s="294" t="s">
        <v>247</v>
      </c>
      <c r="G4828" s="683" t="s">
        <v>5120</v>
      </c>
      <c r="J4828" s="639">
        <f t="shared" si="145"/>
        <v>0</v>
      </c>
    </row>
    <row r="4829" spans="5:10" hidden="1">
      <c r="F4829" s="294" t="s">
        <v>248</v>
      </c>
      <c r="G4829" s="297" t="s">
        <v>57</v>
      </c>
      <c r="J4829" s="639">
        <f t="shared" si="145"/>
        <v>0</v>
      </c>
    </row>
    <row r="4830" spans="5:10" hidden="1">
      <c r="F4830" s="294" t="s">
        <v>249</v>
      </c>
      <c r="G4830" s="297" t="s">
        <v>250</v>
      </c>
      <c r="J4830" s="639">
        <f t="shared" si="145"/>
        <v>0</v>
      </c>
    </row>
    <row r="4831" spans="5:10" hidden="1">
      <c r="F4831" s="294" t="s">
        <v>251</v>
      </c>
      <c r="G4831" s="297" t="s">
        <v>252</v>
      </c>
      <c r="J4831" s="639">
        <f t="shared" si="145"/>
        <v>0</v>
      </c>
    </row>
    <row r="4832" spans="5:10" hidden="1">
      <c r="F4832" s="294" t="s">
        <v>253</v>
      </c>
      <c r="G4832" s="297" t="s">
        <v>254</v>
      </c>
      <c r="J4832" s="639">
        <f t="shared" si="145"/>
        <v>0</v>
      </c>
    </row>
    <row r="4833" spans="3:10" hidden="1">
      <c r="F4833" s="294" t="s">
        <v>255</v>
      </c>
      <c r="G4833" s="297" t="s">
        <v>256</v>
      </c>
      <c r="J4833" s="639">
        <f t="shared" si="145"/>
        <v>0</v>
      </c>
    </row>
    <row r="4834" spans="3:10" hidden="1">
      <c r="F4834" s="294" t="s">
        <v>257</v>
      </c>
      <c r="G4834" s="297" t="s">
        <v>258</v>
      </c>
      <c r="J4834" s="639">
        <f t="shared" si="145"/>
        <v>0</v>
      </c>
    </row>
    <row r="4835" spans="3:10" hidden="1">
      <c r="F4835" s="294" t="s">
        <v>259</v>
      </c>
      <c r="G4835" s="297" t="s">
        <v>260</v>
      </c>
      <c r="J4835" s="639">
        <f t="shared" si="145"/>
        <v>0</v>
      </c>
    </row>
    <row r="4836" spans="3:10" hidden="1">
      <c r="F4836" s="294" t="s">
        <v>261</v>
      </c>
      <c r="G4836" s="297" t="s">
        <v>262</v>
      </c>
      <c r="H4836" s="638"/>
      <c r="I4836" s="639"/>
      <c r="J4836" s="639">
        <f t="shared" si="145"/>
        <v>0</v>
      </c>
    </row>
    <row r="4837" spans="3:10" ht="15.75" hidden="1" collapsed="1" thickBot="1">
      <c r="G4837" s="274" t="s">
        <v>4214</v>
      </c>
      <c r="H4837" s="640">
        <f>SUM(H4821:H4836)</f>
        <v>0</v>
      </c>
      <c r="I4837" s="641">
        <f>SUM(I4822:I4836)</f>
        <v>0</v>
      </c>
      <c r="J4837" s="641">
        <f>SUM(J4821:J4836)</f>
        <v>0</v>
      </c>
    </row>
    <row r="4838" spans="3:10" hidden="1"/>
    <row r="4839" spans="3:10" hidden="1">
      <c r="C4839" s="368" t="s">
        <v>4141</v>
      </c>
      <c r="D4839" s="84"/>
      <c r="E4839" s="267"/>
      <c r="F4839" s="267"/>
      <c r="G4839" s="332" t="s">
        <v>4142</v>
      </c>
    </row>
    <row r="4840" spans="3:10" hidden="1">
      <c r="D4840" s="357">
        <v>170</v>
      </c>
      <c r="E4840" s="357"/>
      <c r="F4840" s="357"/>
      <c r="G4840" s="383" t="s">
        <v>4142</v>
      </c>
    </row>
    <row r="4841" spans="3:10" hidden="1">
      <c r="F4841" s="308">
        <v>411</v>
      </c>
      <c r="G4841" s="340" t="s">
        <v>4173</v>
      </c>
      <c r="J4841" s="635">
        <f>SUM(H4841:I4841)</f>
        <v>0</v>
      </c>
    </row>
    <row r="4842" spans="3:10" hidden="1">
      <c r="F4842" s="308">
        <v>412</v>
      </c>
      <c r="G4842" s="337" t="s">
        <v>3770</v>
      </c>
      <c r="J4842" s="635">
        <f t="shared" ref="J4842:J4900" si="146">SUM(H4842:I4842)</f>
        <v>0</v>
      </c>
    </row>
    <row r="4843" spans="3:10" hidden="1">
      <c r="F4843" s="308">
        <v>413</v>
      </c>
      <c r="G4843" s="340" t="s">
        <v>4174</v>
      </c>
      <c r="J4843" s="635">
        <f t="shared" si="146"/>
        <v>0</v>
      </c>
    </row>
    <row r="4844" spans="3:10" hidden="1">
      <c r="F4844" s="308">
        <v>414</v>
      </c>
      <c r="G4844" s="340" t="s">
        <v>3773</v>
      </c>
      <c r="J4844" s="635">
        <f t="shared" si="146"/>
        <v>0</v>
      </c>
    </row>
    <row r="4845" spans="3:10" hidden="1">
      <c r="F4845" s="308">
        <v>415</v>
      </c>
      <c r="G4845" s="340" t="s">
        <v>4183</v>
      </c>
      <c r="J4845" s="635">
        <f t="shared" si="146"/>
        <v>0</v>
      </c>
    </row>
    <row r="4846" spans="3:10" hidden="1">
      <c r="F4846" s="308">
        <v>416</v>
      </c>
      <c r="G4846" s="340" t="s">
        <v>4184</v>
      </c>
      <c r="J4846" s="635">
        <f t="shared" si="146"/>
        <v>0</v>
      </c>
    </row>
    <row r="4847" spans="3:10" hidden="1">
      <c r="F4847" s="308">
        <v>417</v>
      </c>
      <c r="G4847" s="340" t="s">
        <v>4185</v>
      </c>
      <c r="J4847" s="635">
        <f t="shared" si="146"/>
        <v>0</v>
      </c>
    </row>
    <row r="4848" spans="3:10" hidden="1">
      <c r="F4848" s="308">
        <v>418</v>
      </c>
      <c r="G4848" s="340" t="s">
        <v>3779</v>
      </c>
      <c r="J4848" s="635">
        <f t="shared" si="146"/>
        <v>0</v>
      </c>
    </row>
    <row r="4849" spans="6:10" hidden="1">
      <c r="F4849" s="308">
        <v>421</v>
      </c>
      <c r="G4849" s="340" t="s">
        <v>3783</v>
      </c>
      <c r="J4849" s="635">
        <f t="shared" si="146"/>
        <v>0</v>
      </c>
    </row>
    <row r="4850" spans="6:10" hidden="1">
      <c r="F4850" s="308">
        <v>422</v>
      </c>
      <c r="G4850" s="340" t="s">
        <v>3784</v>
      </c>
      <c r="J4850" s="635">
        <f t="shared" si="146"/>
        <v>0</v>
      </c>
    </row>
    <row r="4851" spans="6:10" hidden="1">
      <c r="F4851" s="308">
        <v>423</v>
      </c>
      <c r="G4851" s="340" t="s">
        <v>3785</v>
      </c>
      <c r="J4851" s="635">
        <f t="shared" si="146"/>
        <v>0</v>
      </c>
    </row>
    <row r="4852" spans="6:10" hidden="1">
      <c r="F4852" s="308">
        <v>424</v>
      </c>
      <c r="G4852" s="340" t="s">
        <v>3787</v>
      </c>
      <c r="J4852" s="635">
        <f t="shared" si="146"/>
        <v>0</v>
      </c>
    </row>
    <row r="4853" spans="6:10" hidden="1">
      <c r="F4853" s="308">
        <v>425</v>
      </c>
      <c r="G4853" s="340" t="s">
        <v>4186</v>
      </c>
      <c r="J4853" s="635">
        <f t="shared" si="146"/>
        <v>0</v>
      </c>
    </row>
    <row r="4854" spans="6:10" hidden="1">
      <c r="F4854" s="308">
        <v>426</v>
      </c>
      <c r="G4854" s="340" t="s">
        <v>3791</v>
      </c>
      <c r="J4854" s="635">
        <f t="shared" si="146"/>
        <v>0</v>
      </c>
    </row>
    <row r="4855" spans="6:10" hidden="1">
      <c r="F4855" s="308">
        <v>431</v>
      </c>
      <c r="G4855" s="340" t="s">
        <v>4187</v>
      </c>
      <c r="J4855" s="635">
        <f t="shared" si="146"/>
        <v>0</v>
      </c>
    </row>
    <row r="4856" spans="6:10" hidden="1">
      <c r="F4856" s="308">
        <v>432</v>
      </c>
      <c r="G4856" s="340" t="s">
        <v>4188</v>
      </c>
      <c r="J4856" s="635">
        <f t="shared" si="146"/>
        <v>0</v>
      </c>
    </row>
    <row r="4857" spans="6:10" hidden="1">
      <c r="F4857" s="308">
        <v>433</v>
      </c>
      <c r="G4857" s="340" t="s">
        <v>4189</v>
      </c>
      <c r="J4857" s="635">
        <f t="shared" si="146"/>
        <v>0</v>
      </c>
    </row>
    <row r="4858" spans="6:10" hidden="1">
      <c r="F4858" s="308">
        <v>434</v>
      </c>
      <c r="G4858" s="340" t="s">
        <v>4190</v>
      </c>
      <c r="J4858" s="635">
        <f t="shared" si="146"/>
        <v>0</v>
      </c>
    </row>
    <row r="4859" spans="6:10" hidden="1">
      <c r="F4859" s="308">
        <v>435</v>
      </c>
      <c r="G4859" s="340" t="s">
        <v>3798</v>
      </c>
      <c r="J4859" s="635">
        <f t="shared" si="146"/>
        <v>0</v>
      </c>
    </row>
    <row r="4860" spans="6:10" hidden="1">
      <c r="F4860" s="308">
        <v>441</v>
      </c>
      <c r="G4860" s="340" t="s">
        <v>4191</v>
      </c>
      <c r="J4860" s="635">
        <f t="shared" si="146"/>
        <v>0</v>
      </c>
    </row>
    <row r="4861" spans="6:10" hidden="1">
      <c r="F4861" s="308">
        <v>442</v>
      </c>
      <c r="G4861" s="340" t="s">
        <v>4192</v>
      </c>
      <c r="J4861" s="635">
        <f t="shared" si="146"/>
        <v>0</v>
      </c>
    </row>
    <row r="4862" spans="6:10" hidden="1">
      <c r="F4862" s="308">
        <v>443</v>
      </c>
      <c r="G4862" s="340" t="s">
        <v>3803</v>
      </c>
      <c r="J4862" s="635">
        <f t="shared" si="146"/>
        <v>0</v>
      </c>
    </row>
    <row r="4863" spans="6:10" hidden="1">
      <c r="F4863" s="308">
        <v>444</v>
      </c>
      <c r="G4863" s="340" t="s">
        <v>3804</v>
      </c>
      <c r="J4863" s="635">
        <f t="shared" si="146"/>
        <v>0</v>
      </c>
    </row>
    <row r="4864" spans="6:10" ht="30" hidden="1">
      <c r="F4864" s="308">
        <v>4511</v>
      </c>
      <c r="G4864" s="268" t="s">
        <v>1690</v>
      </c>
      <c r="J4864" s="635">
        <f t="shared" si="146"/>
        <v>0</v>
      </c>
    </row>
    <row r="4865" spans="6:10" ht="16.5" hidden="1" customHeight="1">
      <c r="F4865" s="308">
        <v>4512</v>
      </c>
      <c r="G4865" s="268" t="s">
        <v>1699</v>
      </c>
      <c r="J4865" s="635">
        <f t="shared" si="146"/>
        <v>0</v>
      </c>
    </row>
    <row r="4866" spans="6:10" hidden="1">
      <c r="F4866" s="308">
        <v>452</v>
      </c>
      <c r="G4866" s="340" t="s">
        <v>4193</v>
      </c>
      <c r="J4866" s="635">
        <f t="shared" si="146"/>
        <v>0</v>
      </c>
    </row>
    <row r="4867" spans="6:10" hidden="1">
      <c r="F4867" s="308">
        <v>453</v>
      </c>
      <c r="G4867" s="340" t="s">
        <v>4194</v>
      </c>
      <c r="J4867" s="635">
        <f t="shared" si="146"/>
        <v>0</v>
      </c>
    </row>
    <row r="4868" spans="6:10" hidden="1">
      <c r="F4868" s="308">
        <v>454</v>
      </c>
      <c r="G4868" s="340" t="s">
        <v>3809</v>
      </c>
      <c r="J4868" s="635">
        <f t="shared" si="146"/>
        <v>0</v>
      </c>
    </row>
    <row r="4869" spans="6:10" hidden="1">
      <c r="F4869" s="308">
        <v>461</v>
      </c>
      <c r="G4869" s="340" t="s">
        <v>4175</v>
      </c>
      <c r="J4869" s="635">
        <f t="shared" si="146"/>
        <v>0</v>
      </c>
    </row>
    <row r="4870" spans="6:10" hidden="1">
      <c r="F4870" s="308">
        <v>462</v>
      </c>
      <c r="G4870" s="340" t="s">
        <v>3812</v>
      </c>
      <c r="J4870" s="635">
        <f t="shared" si="146"/>
        <v>0</v>
      </c>
    </row>
    <row r="4871" spans="6:10" hidden="1">
      <c r="F4871" s="308">
        <v>4631</v>
      </c>
      <c r="G4871" s="340" t="s">
        <v>3813</v>
      </c>
      <c r="J4871" s="635">
        <f t="shared" si="146"/>
        <v>0</v>
      </c>
    </row>
    <row r="4872" spans="6:10" hidden="1">
      <c r="F4872" s="308">
        <v>4632</v>
      </c>
      <c r="G4872" s="340" t="s">
        <v>3814</v>
      </c>
      <c r="J4872" s="635">
        <f t="shared" si="146"/>
        <v>0</v>
      </c>
    </row>
    <row r="4873" spans="6:10" hidden="1">
      <c r="F4873" s="308">
        <v>464</v>
      </c>
      <c r="G4873" s="340" t="s">
        <v>3815</v>
      </c>
      <c r="J4873" s="635">
        <f t="shared" si="146"/>
        <v>0</v>
      </c>
    </row>
    <row r="4874" spans="6:10" hidden="1">
      <c r="F4874" s="308">
        <v>465</v>
      </c>
      <c r="G4874" s="340" t="s">
        <v>4176</v>
      </c>
      <c r="J4874" s="635">
        <f t="shared" si="146"/>
        <v>0</v>
      </c>
    </row>
    <row r="4875" spans="6:10" hidden="1">
      <c r="F4875" s="308">
        <v>472</v>
      </c>
      <c r="G4875" s="340" t="s">
        <v>3819</v>
      </c>
      <c r="J4875" s="635">
        <f t="shared" si="146"/>
        <v>0</v>
      </c>
    </row>
    <row r="4876" spans="6:10" hidden="1">
      <c r="F4876" s="308">
        <v>481</v>
      </c>
      <c r="G4876" s="340" t="s">
        <v>4195</v>
      </c>
      <c r="J4876" s="635">
        <f t="shared" si="146"/>
        <v>0</v>
      </c>
    </row>
    <row r="4877" spans="6:10" hidden="1">
      <c r="F4877" s="308">
        <v>482</v>
      </c>
      <c r="G4877" s="340" t="s">
        <v>4196</v>
      </c>
      <c r="J4877" s="635">
        <f t="shared" si="146"/>
        <v>0</v>
      </c>
    </row>
    <row r="4878" spans="6:10" hidden="1">
      <c r="F4878" s="308">
        <v>483</v>
      </c>
      <c r="G4878" s="343" t="s">
        <v>4197</v>
      </c>
      <c r="J4878" s="635">
        <f t="shared" si="146"/>
        <v>0</v>
      </c>
    </row>
    <row r="4879" spans="6:10" ht="30" hidden="1">
      <c r="F4879" s="308">
        <v>484</v>
      </c>
      <c r="G4879" s="340" t="s">
        <v>4198</v>
      </c>
      <c r="J4879" s="635">
        <f t="shared" si="146"/>
        <v>0</v>
      </c>
    </row>
    <row r="4880" spans="6:10" ht="30" hidden="1">
      <c r="F4880" s="308">
        <v>485</v>
      </c>
      <c r="G4880" s="340" t="s">
        <v>4199</v>
      </c>
      <c r="J4880" s="635">
        <f t="shared" si="146"/>
        <v>0</v>
      </c>
    </row>
    <row r="4881" spans="6:10" ht="30" hidden="1">
      <c r="F4881" s="308">
        <v>489</v>
      </c>
      <c r="G4881" s="340" t="s">
        <v>3827</v>
      </c>
      <c r="J4881" s="635">
        <f t="shared" si="146"/>
        <v>0</v>
      </c>
    </row>
    <row r="4882" spans="6:10" hidden="1">
      <c r="F4882" s="308">
        <v>494</v>
      </c>
      <c r="G4882" s="340" t="s">
        <v>4177</v>
      </c>
      <c r="J4882" s="635">
        <f t="shared" si="146"/>
        <v>0</v>
      </c>
    </row>
    <row r="4883" spans="6:10" ht="30" hidden="1">
      <c r="F4883" s="308">
        <v>495</v>
      </c>
      <c r="G4883" s="340" t="s">
        <v>4178</v>
      </c>
      <c r="J4883" s="635">
        <f t="shared" si="146"/>
        <v>0</v>
      </c>
    </row>
    <row r="4884" spans="6:10" ht="30" hidden="1">
      <c r="F4884" s="308">
        <v>496</v>
      </c>
      <c r="G4884" s="340" t="s">
        <v>4179</v>
      </c>
      <c r="J4884" s="635">
        <f t="shared" si="146"/>
        <v>0</v>
      </c>
    </row>
    <row r="4885" spans="6:10" hidden="1">
      <c r="F4885" s="308">
        <v>499</v>
      </c>
      <c r="G4885" s="340" t="s">
        <v>4180</v>
      </c>
      <c r="J4885" s="635">
        <f t="shared" si="146"/>
        <v>0</v>
      </c>
    </row>
    <row r="4886" spans="6:10" hidden="1">
      <c r="F4886" s="308">
        <v>511</v>
      </c>
      <c r="G4886" s="343" t="s">
        <v>4200</v>
      </c>
      <c r="J4886" s="635">
        <f t="shared" si="146"/>
        <v>0</v>
      </c>
    </row>
    <row r="4887" spans="6:10" hidden="1">
      <c r="F4887" s="308">
        <v>512</v>
      </c>
      <c r="G4887" s="343" t="s">
        <v>4201</v>
      </c>
      <c r="J4887" s="635">
        <f t="shared" si="146"/>
        <v>0</v>
      </c>
    </row>
    <row r="4888" spans="6:10" hidden="1">
      <c r="F4888" s="308">
        <v>513</v>
      </c>
      <c r="G4888" s="343" t="s">
        <v>4202</v>
      </c>
      <c r="J4888" s="635">
        <f t="shared" si="146"/>
        <v>0</v>
      </c>
    </row>
    <row r="4889" spans="6:10" hidden="1">
      <c r="F4889" s="308">
        <v>514</v>
      </c>
      <c r="G4889" s="340" t="s">
        <v>4203</v>
      </c>
      <c r="J4889" s="635">
        <f t="shared" si="146"/>
        <v>0</v>
      </c>
    </row>
    <row r="4890" spans="6:10" hidden="1">
      <c r="F4890" s="308">
        <v>515</v>
      </c>
      <c r="G4890" s="340" t="s">
        <v>3838</v>
      </c>
      <c r="J4890" s="635">
        <f t="shared" si="146"/>
        <v>0</v>
      </c>
    </row>
    <row r="4891" spans="6:10" hidden="1">
      <c r="F4891" s="308">
        <v>521</v>
      </c>
      <c r="G4891" s="340" t="s">
        <v>4204</v>
      </c>
      <c r="J4891" s="635">
        <f t="shared" si="146"/>
        <v>0</v>
      </c>
    </row>
    <row r="4892" spans="6:10" hidden="1">
      <c r="F4892" s="308">
        <v>522</v>
      </c>
      <c r="G4892" s="340" t="s">
        <v>4205</v>
      </c>
      <c r="J4892" s="635">
        <f t="shared" si="146"/>
        <v>0</v>
      </c>
    </row>
    <row r="4893" spans="6:10" hidden="1">
      <c r="F4893" s="308">
        <v>523</v>
      </c>
      <c r="G4893" s="340" t="s">
        <v>3843</v>
      </c>
      <c r="J4893" s="635">
        <f t="shared" si="146"/>
        <v>0</v>
      </c>
    </row>
    <row r="4894" spans="6:10" hidden="1">
      <c r="F4894" s="308">
        <v>531</v>
      </c>
      <c r="G4894" s="337" t="s">
        <v>4181</v>
      </c>
      <c r="J4894" s="635">
        <f t="shared" si="146"/>
        <v>0</v>
      </c>
    </row>
    <row r="4895" spans="6:10" hidden="1">
      <c r="F4895" s="308">
        <v>541</v>
      </c>
      <c r="G4895" s="340" t="s">
        <v>4206</v>
      </c>
      <c r="J4895" s="635">
        <f t="shared" si="146"/>
        <v>0</v>
      </c>
    </row>
    <row r="4896" spans="6:10" hidden="1">
      <c r="F4896" s="308">
        <v>542</v>
      </c>
      <c r="G4896" s="340" t="s">
        <v>4207</v>
      </c>
      <c r="J4896" s="635">
        <f t="shared" si="146"/>
        <v>0</v>
      </c>
    </row>
    <row r="4897" spans="5:10" hidden="1">
      <c r="F4897" s="308">
        <v>543</v>
      </c>
      <c r="G4897" s="340" t="s">
        <v>3848</v>
      </c>
      <c r="J4897" s="635">
        <f t="shared" si="146"/>
        <v>0</v>
      </c>
    </row>
    <row r="4898" spans="5:10" ht="30" hidden="1">
      <c r="F4898" s="308">
        <v>551</v>
      </c>
      <c r="G4898" s="340" t="s">
        <v>4182</v>
      </c>
      <c r="J4898" s="635">
        <f t="shared" si="146"/>
        <v>0</v>
      </c>
    </row>
    <row r="4899" spans="5:10" hidden="1">
      <c r="F4899" s="309">
        <v>611</v>
      </c>
      <c r="G4899" s="344" t="s">
        <v>3854</v>
      </c>
      <c r="J4899" s="635">
        <f t="shared" si="146"/>
        <v>0</v>
      </c>
    </row>
    <row r="4900" spans="5:10" hidden="1">
      <c r="F4900" s="309">
        <v>620</v>
      </c>
      <c r="G4900" s="344" t="s">
        <v>88</v>
      </c>
      <c r="J4900" s="635">
        <f t="shared" si="146"/>
        <v>0</v>
      </c>
    </row>
    <row r="4901" spans="5:10" hidden="1">
      <c r="E4901" s="338"/>
      <c r="F4901" s="346"/>
      <c r="G4901" s="371" t="s">
        <v>4383</v>
      </c>
      <c r="H4901" s="636"/>
      <c r="I4901" s="662"/>
      <c r="J4901" s="637"/>
    </row>
    <row r="4902" spans="5:10" hidden="1">
      <c r="E4902" s="267"/>
      <c r="F4902" s="294" t="s">
        <v>234</v>
      </c>
      <c r="G4902" s="297" t="s">
        <v>235</v>
      </c>
      <c r="H4902" s="638">
        <f>SUM(H4841:H4900)</f>
        <v>0</v>
      </c>
      <c r="I4902" s="639"/>
      <c r="J4902" s="639">
        <f>SUM(H4902:I4902)</f>
        <v>0</v>
      </c>
    </row>
    <row r="4903" spans="5:10" hidden="1">
      <c r="F4903" s="294" t="s">
        <v>236</v>
      </c>
      <c r="G4903" s="297" t="s">
        <v>237</v>
      </c>
      <c r="J4903" s="639">
        <f t="shared" ref="J4903:J4917" si="147">SUM(H4903:I4903)</f>
        <v>0</v>
      </c>
    </row>
    <row r="4904" spans="5:10" hidden="1">
      <c r="F4904" s="294" t="s">
        <v>238</v>
      </c>
      <c r="G4904" s="297" t="s">
        <v>239</v>
      </c>
      <c r="J4904" s="639">
        <f t="shared" si="147"/>
        <v>0</v>
      </c>
    </row>
    <row r="4905" spans="5:10" hidden="1">
      <c r="F4905" s="294" t="s">
        <v>240</v>
      </c>
      <c r="G4905" s="297" t="s">
        <v>241</v>
      </c>
      <c r="J4905" s="639">
        <f t="shared" si="147"/>
        <v>0</v>
      </c>
    </row>
    <row r="4906" spans="5:10" hidden="1">
      <c r="F4906" s="294" t="s">
        <v>242</v>
      </c>
      <c r="G4906" s="297" t="s">
        <v>243</v>
      </c>
      <c r="J4906" s="639">
        <f t="shared" si="147"/>
        <v>0</v>
      </c>
    </row>
    <row r="4907" spans="5:10" hidden="1">
      <c r="F4907" s="294" t="s">
        <v>244</v>
      </c>
      <c r="G4907" s="297" t="s">
        <v>245</v>
      </c>
      <c r="J4907" s="639">
        <f t="shared" si="147"/>
        <v>0</v>
      </c>
    </row>
    <row r="4908" spans="5:10" hidden="1">
      <c r="F4908" s="294" t="s">
        <v>246</v>
      </c>
      <c r="G4908" s="683" t="s">
        <v>5121</v>
      </c>
      <c r="J4908" s="639">
        <f t="shared" si="147"/>
        <v>0</v>
      </c>
    </row>
    <row r="4909" spans="5:10" hidden="1">
      <c r="F4909" s="294" t="s">
        <v>247</v>
      </c>
      <c r="G4909" s="683" t="s">
        <v>5120</v>
      </c>
      <c r="J4909" s="639">
        <f t="shared" si="147"/>
        <v>0</v>
      </c>
    </row>
    <row r="4910" spans="5:10" hidden="1">
      <c r="F4910" s="294" t="s">
        <v>248</v>
      </c>
      <c r="G4910" s="297" t="s">
        <v>57</v>
      </c>
      <c r="J4910" s="639">
        <f t="shared" si="147"/>
        <v>0</v>
      </c>
    </row>
    <row r="4911" spans="5:10" hidden="1">
      <c r="F4911" s="294" t="s">
        <v>249</v>
      </c>
      <c r="G4911" s="297" t="s">
        <v>250</v>
      </c>
      <c r="J4911" s="639">
        <f t="shared" si="147"/>
        <v>0</v>
      </c>
    </row>
    <row r="4912" spans="5:10" hidden="1">
      <c r="F4912" s="294" t="s">
        <v>251</v>
      </c>
      <c r="G4912" s="297" t="s">
        <v>252</v>
      </c>
      <c r="J4912" s="639">
        <f t="shared" si="147"/>
        <v>0</v>
      </c>
    </row>
    <row r="4913" spans="5:10" hidden="1">
      <c r="F4913" s="294" t="s">
        <v>253</v>
      </c>
      <c r="G4913" s="297" t="s">
        <v>254</v>
      </c>
      <c r="J4913" s="639">
        <f t="shared" si="147"/>
        <v>0</v>
      </c>
    </row>
    <row r="4914" spans="5:10" hidden="1">
      <c r="F4914" s="294" t="s">
        <v>255</v>
      </c>
      <c r="G4914" s="297" t="s">
        <v>256</v>
      </c>
      <c r="J4914" s="639">
        <f t="shared" si="147"/>
        <v>0</v>
      </c>
    </row>
    <row r="4915" spans="5:10" hidden="1">
      <c r="F4915" s="294" t="s">
        <v>257</v>
      </c>
      <c r="G4915" s="297" t="s">
        <v>258</v>
      </c>
      <c r="J4915" s="639">
        <f t="shared" si="147"/>
        <v>0</v>
      </c>
    </row>
    <row r="4916" spans="5:10" hidden="1">
      <c r="F4916" s="294" t="s">
        <v>259</v>
      </c>
      <c r="G4916" s="297" t="s">
        <v>260</v>
      </c>
      <c r="J4916" s="639">
        <f t="shared" si="147"/>
        <v>0</v>
      </c>
    </row>
    <row r="4917" spans="5:10" hidden="1">
      <c r="F4917" s="294" t="s">
        <v>261</v>
      </c>
      <c r="G4917" s="297" t="s">
        <v>262</v>
      </c>
      <c r="H4917" s="638"/>
      <c r="I4917" s="639"/>
      <c r="J4917" s="639">
        <f t="shared" si="147"/>
        <v>0</v>
      </c>
    </row>
    <row r="4918" spans="5:10" ht="15.75" hidden="1" thickBot="1">
      <c r="G4918" s="274" t="s">
        <v>4384</v>
      </c>
      <c r="H4918" s="640">
        <f>SUM(H4902:H4917)</f>
        <v>0</v>
      </c>
      <c r="I4918" s="641">
        <f>SUM(I4903:I4917)</f>
        <v>0</v>
      </c>
      <c r="J4918" s="641">
        <f>SUM(J4902:J4917)</f>
        <v>0</v>
      </c>
    </row>
    <row r="4919" spans="5:10" hidden="1">
      <c r="E4919" s="305"/>
      <c r="F4919" s="309"/>
      <c r="G4919" s="276" t="s">
        <v>4385</v>
      </c>
      <c r="H4919" s="642"/>
      <c r="I4919" s="663"/>
      <c r="J4919" s="643"/>
    </row>
    <row r="4920" spans="5:10" hidden="1">
      <c r="E4920" s="267"/>
      <c r="F4920" s="294" t="s">
        <v>234</v>
      </c>
      <c r="G4920" s="297" t="s">
        <v>235</v>
      </c>
      <c r="H4920" s="638">
        <f>SUM(H4841:H4900)</f>
        <v>0</v>
      </c>
      <c r="I4920" s="639"/>
      <c r="J4920" s="639">
        <f>SUM(H4920:I4920)</f>
        <v>0</v>
      </c>
    </row>
    <row r="4921" spans="5:10" hidden="1">
      <c r="F4921" s="294" t="s">
        <v>236</v>
      </c>
      <c r="G4921" s="297" t="s">
        <v>237</v>
      </c>
      <c r="J4921" s="639">
        <f t="shared" ref="J4921:J4935" si="148">SUM(H4921:I4921)</f>
        <v>0</v>
      </c>
    </row>
    <row r="4922" spans="5:10" hidden="1">
      <c r="F4922" s="294" t="s">
        <v>238</v>
      </c>
      <c r="G4922" s="297" t="s">
        <v>239</v>
      </c>
      <c r="J4922" s="639">
        <f t="shared" si="148"/>
        <v>0</v>
      </c>
    </row>
    <row r="4923" spans="5:10" hidden="1">
      <c r="F4923" s="294" t="s">
        <v>240</v>
      </c>
      <c r="G4923" s="297" t="s">
        <v>241</v>
      </c>
      <c r="J4923" s="639">
        <f t="shared" si="148"/>
        <v>0</v>
      </c>
    </row>
    <row r="4924" spans="5:10" hidden="1">
      <c r="F4924" s="294" t="s">
        <v>242</v>
      </c>
      <c r="G4924" s="297" t="s">
        <v>243</v>
      </c>
      <c r="J4924" s="639">
        <f t="shared" si="148"/>
        <v>0</v>
      </c>
    </row>
    <row r="4925" spans="5:10" hidden="1">
      <c r="F4925" s="294" t="s">
        <v>244</v>
      </c>
      <c r="G4925" s="297" t="s">
        <v>245</v>
      </c>
      <c r="J4925" s="639">
        <f t="shared" si="148"/>
        <v>0</v>
      </c>
    </row>
    <row r="4926" spans="5:10" hidden="1">
      <c r="F4926" s="294" t="s">
        <v>246</v>
      </c>
      <c r="G4926" s="683" t="s">
        <v>5121</v>
      </c>
      <c r="J4926" s="639">
        <f t="shared" si="148"/>
        <v>0</v>
      </c>
    </row>
    <row r="4927" spans="5:10" hidden="1">
      <c r="F4927" s="294" t="s">
        <v>247</v>
      </c>
      <c r="G4927" s="683" t="s">
        <v>5120</v>
      </c>
      <c r="J4927" s="639">
        <f t="shared" si="148"/>
        <v>0</v>
      </c>
    </row>
    <row r="4928" spans="5:10" hidden="1">
      <c r="F4928" s="294" t="s">
        <v>248</v>
      </c>
      <c r="G4928" s="297" t="s">
        <v>57</v>
      </c>
      <c r="J4928" s="639">
        <f t="shared" si="148"/>
        <v>0</v>
      </c>
    </row>
    <row r="4929" spans="1:25" ht="15.75" hidden="1" thickBot="1">
      <c r="F4929" s="294" t="s">
        <v>249</v>
      </c>
      <c r="G4929" s="297" t="s">
        <v>250</v>
      </c>
      <c r="J4929" s="639">
        <f t="shared" si="148"/>
        <v>0</v>
      </c>
    </row>
    <row r="4930" spans="1:25" ht="15.75" hidden="1" thickBot="1">
      <c r="F4930" s="294" t="s">
        <v>251</v>
      </c>
      <c r="G4930" s="297" t="s">
        <v>252</v>
      </c>
      <c r="J4930" s="639">
        <f t="shared" si="148"/>
        <v>0</v>
      </c>
    </row>
    <row r="4931" spans="1:25" ht="15.75" hidden="1" thickBot="1">
      <c r="F4931" s="294" t="s">
        <v>253</v>
      </c>
      <c r="G4931" s="297" t="s">
        <v>254</v>
      </c>
      <c r="J4931" s="639">
        <f t="shared" si="148"/>
        <v>0</v>
      </c>
    </row>
    <row r="4932" spans="1:25" ht="15.75" hidden="1" thickBot="1">
      <c r="F4932" s="294" t="s">
        <v>255</v>
      </c>
      <c r="G4932" s="297" t="s">
        <v>256</v>
      </c>
      <c r="J4932" s="639">
        <f t="shared" si="148"/>
        <v>0</v>
      </c>
    </row>
    <row r="4933" spans="1:25" ht="15.75" hidden="1" thickBot="1">
      <c r="F4933" s="294" t="s">
        <v>257</v>
      </c>
      <c r="G4933" s="297" t="s">
        <v>258</v>
      </c>
      <c r="J4933" s="639">
        <f t="shared" si="148"/>
        <v>0</v>
      </c>
    </row>
    <row r="4934" spans="1:25" ht="15.75" hidden="1" thickBot="1">
      <c r="F4934" s="294" t="s">
        <v>259</v>
      </c>
      <c r="G4934" s="297" t="s">
        <v>260</v>
      </c>
      <c r="J4934" s="639">
        <f t="shared" si="148"/>
        <v>0</v>
      </c>
    </row>
    <row r="4935" spans="1:25" ht="15.75" hidden="1" thickBot="1">
      <c r="F4935" s="294" t="s">
        <v>261</v>
      </c>
      <c r="G4935" s="297" t="s">
        <v>262</v>
      </c>
      <c r="H4935" s="638"/>
      <c r="I4935" s="639"/>
      <c r="J4935" s="639">
        <f t="shared" si="148"/>
        <v>0</v>
      </c>
    </row>
    <row r="4936" spans="1:25" ht="15.75" hidden="1" thickBot="1">
      <c r="G4936" s="274" t="s">
        <v>4222</v>
      </c>
      <c r="H4936" s="640">
        <f>SUM(H4920:H4935)</f>
        <v>0</v>
      </c>
      <c r="I4936" s="641">
        <f>SUM(I4921:I4935)</f>
        <v>0</v>
      </c>
      <c r="J4936" s="641">
        <f>SUM(J4920:J4935)</f>
        <v>0</v>
      </c>
    </row>
    <row r="4937" spans="1:25" hidden="1">
      <c r="C4937" s="365"/>
      <c r="D4937" s="84"/>
      <c r="E4937" s="84"/>
      <c r="F4937" s="84"/>
      <c r="G4937" s="262"/>
    </row>
    <row r="4938" spans="1:25" hidden="1">
      <c r="C4938" s="368" t="s">
        <v>4146</v>
      </c>
      <c r="D4938" s="86"/>
      <c r="E4938" s="319"/>
      <c r="F4938" s="264"/>
      <c r="G4938" s="332" t="s">
        <v>4147</v>
      </c>
      <c r="H4938" s="651"/>
      <c r="I4938" s="652"/>
      <c r="J4938" s="652"/>
    </row>
    <row r="4939" spans="1:25" s="384" customFormat="1" hidden="1">
      <c r="A4939" s="350"/>
      <c r="B4939" s="350"/>
      <c r="C4939" s="386"/>
      <c r="D4939" s="387">
        <v>830</v>
      </c>
      <c r="E4939" s="385"/>
      <c r="F4939" s="385"/>
      <c r="G4939" s="369" t="s">
        <v>4386</v>
      </c>
      <c r="H4939" s="653"/>
      <c r="I4939" s="654"/>
      <c r="J4939" s="654"/>
      <c r="K4939" s="579"/>
      <c r="L4939" s="579"/>
      <c r="M4939" s="579"/>
      <c r="N4939" s="579"/>
      <c r="O4939" s="579"/>
      <c r="P4939" s="579"/>
      <c r="Q4939" s="579"/>
      <c r="R4939" s="579"/>
      <c r="S4939" s="579"/>
      <c r="T4939" s="579"/>
      <c r="U4939" s="579"/>
      <c r="V4939" s="579"/>
      <c r="W4939" s="579"/>
      <c r="X4939" s="579"/>
      <c r="Y4939" s="579"/>
    </row>
    <row r="4940" spans="1:25" hidden="1">
      <c r="C4940" s="365"/>
      <c r="D4940" s="84"/>
      <c r="E4940" s="84"/>
      <c r="F4940" s="308">
        <v>423</v>
      </c>
      <c r="G4940" s="340" t="s">
        <v>3785</v>
      </c>
      <c r="J4940" s="635">
        <f t="shared" ref="J4940:J4967" si="149">SUM(H4940:I4940)</f>
        <v>0</v>
      </c>
    </row>
    <row r="4941" spans="1:25" hidden="1">
      <c r="C4941" s="365"/>
      <c r="D4941" s="84"/>
      <c r="E4941" s="84"/>
      <c r="F4941" s="308">
        <v>424</v>
      </c>
      <c r="G4941" s="340" t="s">
        <v>3787</v>
      </c>
      <c r="J4941" s="635">
        <f t="shared" si="149"/>
        <v>0</v>
      </c>
    </row>
    <row r="4942" spans="1:25" ht="30" hidden="1">
      <c r="C4942" s="365"/>
      <c r="D4942" s="84"/>
      <c r="E4942" s="84"/>
      <c r="F4942" s="308">
        <v>4511</v>
      </c>
      <c r="G4942" s="268" t="s">
        <v>1690</v>
      </c>
      <c r="J4942" s="635">
        <f t="shared" si="149"/>
        <v>0</v>
      </c>
    </row>
    <row r="4943" spans="1:25" ht="17.25" hidden="1" customHeight="1">
      <c r="C4943" s="365"/>
      <c r="D4943" s="84"/>
      <c r="E4943" s="84"/>
      <c r="F4943" s="308">
        <v>4512</v>
      </c>
      <c r="G4943" s="268" t="s">
        <v>1699</v>
      </c>
      <c r="J4943" s="635">
        <f t="shared" si="149"/>
        <v>0</v>
      </c>
    </row>
    <row r="4944" spans="1:25" hidden="1">
      <c r="C4944" s="365"/>
      <c r="D4944" s="84"/>
      <c r="E4944" s="84"/>
      <c r="F4944" s="308">
        <v>452</v>
      </c>
      <c r="G4944" s="340" t="s">
        <v>4193</v>
      </c>
      <c r="J4944" s="635">
        <f t="shared" si="149"/>
        <v>0</v>
      </c>
    </row>
    <row r="4945" spans="3:14" hidden="1">
      <c r="C4945" s="365"/>
      <c r="D4945" s="84"/>
      <c r="E4945" s="84"/>
      <c r="F4945" s="308">
        <v>453</v>
      </c>
      <c r="G4945" s="340" t="s">
        <v>4194</v>
      </c>
      <c r="J4945" s="635">
        <f t="shared" si="149"/>
        <v>0</v>
      </c>
      <c r="L4945" s="267"/>
      <c r="M4945" s="267"/>
      <c r="N4945" s="318"/>
    </row>
    <row r="4946" spans="3:14" hidden="1">
      <c r="C4946" s="365"/>
      <c r="D4946" s="84"/>
      <c r="E4946" s="84"/>
      <c r="F4946" s="308">
        <v>454</v>
      </c>
      <c r="G4946" s="340" t="s">
        <v>3809</v>
      </c>
      <c r="J4946" s="635">
        <f t="shared" si="149"/>
        <v>0</v>
      </c>
    </row>
    <row r="4947" spans="3:14" ht="15.75" hidden="1" thickBot="1">
      <c r="F4947" s="308">
        <v>481</v>
      </c>
      <c r="G4947" s="340" t="s">
        <v>4195</v>
      </c>
      <c r="J4947" s="635">
        <f t="shared" si="149"/>
        <v>0</v>
      </c>
    </row>
    <row r="4948" spans="3:14" hidden="1">
      <c r="E4948" s="338"/>
      <c r="F4948" s="346"/>
      <c r="G4948" s="372" t="s">
        <v>4387</v>
      </c>
      <c r="H4948" s="636"/>
      <c r="I4948" s="662"/>
      <c r="J4948" s="637"/>
    </row>
    <row r="4949" spans="3:14" ht="15.75" hidden="1" thickBot="1">
      <c r="E4949" s="267"/>
      <c r="F4949" s="294" t="s">
        <v>234</v>
      </c>
      <c r="G4949" s="297" t="s">
        <v>235</v>
      </c>
      <c r="H4949" s="638">
        <f>SUM(H4940:H4947)</f>
        <v>0</v>
      </c>
      <c r="I4949" s="639"/>
      <c r="J4949" s="639">
        <f t="shared" ref="J4949:J4964" si="150">SUM(H4949:I4949)</f>
        <v>0</v>
      </c>
    </row>
    <row r="4950" spans="3:14" ht="15.75" hidden="1" thickBot="1">
      <c r="F4950" s="294" t="s">
        <v>236</v>
      </c>
      <c r="G4950" s="297" t="s">
        <v>237</v>
      </c>
      <c r="J4950" s="639">
        <f t="shared" si="150"/>
        <v>0</v>
      </c>
    </row>
    <row r="4951" spans="3:14" ht="15.75" hidden="1" thickBot="1">
      <c r="F4951" s="294" t="s">
        <v>238</v>
      </c>
      <c r="G4951" s="297" t="s">
        <v>239</v>
      </c>
      <c r="J4951" s="639">
        <f t="shared" si="150"/>
        <v>0</v>
      </c>
    </row>
    <row r="4952" spans="3:14" ht="15.75" hidden="1" thickBot="1">
      <c r="F4952" s="294" t="s">
        <v>240</v>
      </c>
      <c r="G4952" s="297" t="s">
        <v>241</v>
      </c>
      <c r="J4952" s="639">
        <f t="shared" si="150"/>
        <v>0</v>
      </c>
    </row>
    <row r="4953" spans="3:14" ht="15.75" hidden="1" thickBot="1">
      <c r="F4953" s="294" t="s">
        <v>242</v>
      </c>
      <c r="G4953" s="297" t="s">
        <v>243</v>
      </c>
      <c r="J4953" s="639">
        <f t="shared" si="150"/>
        <v>0</v>
      </c>
    </row>
    <row r="4954" spans="3:14" ht="15.75" hidden="1" thickBot="1">
      <c r="F4954" s="294" t="s">
        <v>244</v>
      </c>
      <c r="G4954" s="297" t="s">
        <v>245</v>
      </c>
      <c r="J4954" s="639">
        <f t="shared" si="150"/>
        <v>0</v>
      </c>
    </row>
    <row r="4955" spans="3:14" ht="15.75" hidden="1" thickBot="1">
      <c r="F4955" s="294" t="s">
        <v>246</v>
      </c>
      <c r="G4955" s="683" t="s">
        <v>5121</v>
      </c>
      <c r="J4955" s="639">
        <f t="shared" si="150"/>
        <v>0</v>
      </c>
    </row>
    <row r="4956" spans="3:14" ht="15.75" hidden="1" thickBot="1">
      <c r="F4956" s="294" t="s">
        <v>247</v>
      </c>
      <c r="G4956" s="683" t="s">
        <v>5120</v>
      </c>
      <c r="J4956" s="639">
        <f t="shared" si="150"/>
        <v>0</v>
      </c>
    </row>
    <row r="4957" spans="3:14" ht="15.75" hidden="1" thickBot="1">
      <c r="F4957" s="294" t="s">
        <v>248</v>
      </c>
      <c r="G4957" s="297" t="s">
        <v>57</v>
      </c>
      <c r="J4957" s="639">
        <f t="shared" si="150"/>
        <v>0</v>
      </c>
    </row>
    <row r="4958" spans="3:14" ht="15.75" hidden="1" thickBot="1">
      <c r="F4958" s="294" t="s">
        <v>249</v>
      </c>
      <c r="G4958" s="297" t="s">
        <v>250</v>
      </c>
      <c r="J4958" s="639">
        <f t="shared" si="150"/>
        <v>0</v>
      </c>
    </row>
    <row r="4959" spans="3:14" ht="15.75" hidden="1" thickBot="1">
      <c r="F4959" s="294" t="s">
        <v>251</v>
      </c>
      <c r="G4959" s="297" t="s">
        <v>252</v>
      </c>
      <c r="J4959" s="639">
        <f t="shared" si="150"/>
        <v>0</v>
      </c>
    </row>
    <row r="4960" spans="3:14" ht="15.75" hidden="1" thickBot="1">
      <c r="F4960" s="294" t="s">
        <v>253</v>
      </c>
      <c r="G4960" s="297" t="s">
        <v>254</v>
      </c>
      <c r="J4960" s="639">
        <f t="shared" si="150"/>
        <v>0</v>
      </c>
    </row>
    <row r="4961" spans="3:10" ht="15.75" hidden="1" thickBot="1">
      <c r="F4961" s="294" t="s">
        <v>255</v>
      </c>
      <c r="G4961" s="297" t="s">
        <v>256</v>
      </c>
      <c r="J4961" s="639">
        <f t="shared" si="150"/>
        <v>0</v>
      </c>
    </row>
    <row r="4962" spans="3:10" ht="15.75" hidden="1" thickBot="1">
      <c r="F4962" s="294" t="s">
        <v>257</v>
      </c>
      <c r="G4962" s="297" t="s">
        <v>258</v>
      </c>
      <c r="J4962" s="639">
        <f t="shared" si="150"/>
        <v>0</v>
      </c>
    </row>
    <row r="4963" spans="3:10" ht="15.75" hidden="1" thickBot="1">
      <c r="F4963" s="294" t="s">
        <v>259</v>
      </c>
      <c r="G4963" s="297" t="s">
        <v>260</v>
      </c>
      <c r="J4963" s="639">
        <f t="shared" si="150"/>
        <v>0</v>
      </c>
    </row>
    <row r="4964" spans="3:10" ht="15.75" hidden="1" thickBot="1">
      <c r="F4964" s="294" t="s">
        <v>261</v>
      </c>
      <c r="G4964" s="297" t="s">
        <v>262</v>
      </c>
      <c r="H4964" s="638"/>
      <c r="I4964" s="639"/>
      <c r="J4964" s="639">
        <f t="shared" si="150"/>
        <v>0</v>
      </c>
    </row>
    <row r="4965" spans="3:10" ht="15.75" hidden="1" thickBot="1">
      <c r="G4965" s="274" t="s">
        <v>4388</v>
      </c>
      <c r="H4965" s="640">
        <f>SUM(H4949:H4964)</f>
        <v>0</v>
      </c>
      <c r="I4965" s="641">
        <f>SUM(I4950:I4964)</f>
        <v>0</v>
      </c>
      <c r="J4965" s="641">
        <f>SUM(J4949:J4964)</f>
        <v>0</v>
      </c>
    </row>
    <row r="4966" spans="3:10" hidden="1">
      <c r="F4966" s="309"/>
      <c r="G4966" s="276" t="s">
        <v>4274</v>
      </c>
      <c r="H4966" s="642"/>
      <c r="I4966" s="663"/>
      <c r="J4966" s="643"/>
    </row>
    <row r="4967" spans="3:10" ht="15.75" hidden="1" thickBot="1">
      <c r="C4967" s="365"/>
      <c r="D4967" s="318"/>
      <c r="E4967" s="267"/>
      <c r="F4967" s="294" t="s">
        <v>234</v>
      </c>
      <c r="G4967" s="297" t="s">
        <v>235</v>
      </c>
      <c r="H4967" s="638">
        <f>SUM(H4940:H4947)</f>
        <v>0</v>
      </c>
      <c r="I4967" s="639"/>
      <c r="J4967" s="635">
        <f t="shared" si="149"/>
        <v>0</v>
      </c>
    </row>
    <row r="4968" spans="3:10" ht="15.75" hidden="1" thickBot="1">
      <c r="C4968" s="366"/>
      <c r="D4968" s="318"/>
      <c r="E4968" s="267"/>
      <c r="F4968" s="294" t="s">
        <v>236</v>
      </c>
      <c r="G4968" s="297" t="s">
        <v>237</v>
      </c>
      <c r="J4968" s="639">
        <f t="shared" ref="J4968:J4982" si="151">SUM(H4968:I4968)</f>
        <v>0</v>
      </c>
    </row>
    <row r="4969" spans="3:10" ht="15.75" hidden="1" thickBot="1">
      <c r="C4969" s="365"/>
      <c r="D4969" s="84"/>
      <c r="E4969" s="84"/>
      <c r="F4969" s="294" t="s">
        <v>238</v>
      </c>
      <c r="G4969" s="297" t="s">
        <v>239</v>
      </c>
      <c r="J4969" s="639">
        <f t="shared" si="151"/>
        <v>0</v>
      </c>
    </row>
    <row r="4970" spans="3:10" ht="15.75" hidden="1" thickBot="1">
      <c r="C4970" s="366"/>
      <c r="D4970" s="318"/>
      <c r="E4970" s="267"/>
      <c r="F4970" s="294" t="s">
        <v>240</v>
      </c>
      <c r="G4970" s="297" t="s">
        <v>241</v>
      </c>
      <c r="J4970" s="639">
        <f t="shared" si="151"/>
        <v>0</v>
      </c>
    </row>
    <row r="4971" spans="3:10" ht="15.75" hidden="1" thickBot="1">
      <c r="C4971" s="366"/>
      <c r="D4971" s="318"/>
      <c r="E4971" s="267"/>
      <c r="F4971" s="294" t="s">
        <v>242</v>
      </c>
      <c r="G4971" s="297" t="s">
        <v>243</v>
      </c>
      <c r="J4971" s="639">
        <f t="shared" si="151"/>
        <v>0</v>
      </c>
    </row>
    <row r="4972" spans="3:10" ht="15.75" hidden="1" thickBot="1">
      <c r="C4972" s="365"/>
      <c r="D4972" s="84"/>
      <c r="E4972" s="84"/>
      <c r="F4972" s="294" t="s">
        <v>244</v>
      </c>
      <c r="G4972" s="297" t="s">
        <v>245</v>
      </c>
      <c r="J4972" s="639">
        <f t="shared" si="151"/>
        <v>0</v>
      </c>
    </row>
    <row r="4973" spans="3:10" ht="15.75" hidden="1" thickBot="1">
      <c r="C4973" s="365"/>
      <c r="D4973" s="84"/>
      <c r="E4973" s="84"/>
      <c r="F4973" s="294" t="s">
        <v>246</v>
      </c>
      <c r="G4973" s="683" t="s">
        <v>5121</v>
      </c>
      <c r="J4973" s="639">
        <f t="shared" si="151"/>
        <v>0</v>
      </c>
    </row>
    <row r="4974" spans="3:10" ht="15.75" hidden="1" thickBot="1">
      <c r="C4974" s="365"/>
      <c r="D4974" s="84"/>
      <c r="E4974" s="84"/>
      <c r="F4974" s="294" t="s">
        <v>247</v>
      </c>
      <c r="G4974" s="683" t="s">
        <v>5120</v>
      </c>
      <c r="J4974" s="639">
        <f t="shared" si="151"/>
        <v>0</v>
      </c>
    </row>
    <row r="4975" spans="3:10" ht="15.75" hidden="1" thickBot="1">
      <c r="C4975" s="365"/>
      <c r="D4975" s="84"/>
      <c r="E4975" s="84"/>
      <c r="F4975" s="294" t="s">
        <v>248</v>
      </c>
      <c r="G4975" s="297" t="s">
        <v>57</v>
      </c>
      <c r="J4975" s="639">
        <f t="shared" si="151"/>
        <v>0</v>
      </c>
    </row>
    <row r="4976" spans="3:10" ht="15.75" hidden="1" thickBot="1">
      <c r="C4976" s="365"/>
      <c r="D4976" s="84"/>
      <c r="E4976" s="84"/>
      <c r="F4976" s="294" t="s">
        <v>249</v>
      </c>
      <c r="G4976" s="297" t="s">
        <v>250</v>
      </c>
      <c r="J4976" s="639">
        <f t="shared" si="151"/>
        <v>0</v>
      </c>
    </row>
    <row r="4977" spans="3:10" ht="15.75" hidden="1" thickBot="1">
      <c r="F4977" s="294" t="s">
        <v>251</v>
      </c>
      <c r="G4977" s="297" t="s">
        <v>252</v>
      </c>
      <c r="J4977" s="639">
        <f t="shared" si="151"/>
        <v>0</v>
      </c>
    </row>
    <row r="4978" spans="3:10" ht="15.75" hidden="1" thickBot="1">
      <c r="F4978" s="294" t="s">
        <v>253</v>
      </c>
      <c r="G4978" s="297" t="s">
        <v>254</v>
      </c>
      <c r="J4978" s="639">
        <f t="shared" si="151"/>
        <v>0</v>
      </c>
    </row>
    <row r="4979" spans="3:10" ht="15.75" hidden="1" thickBot="1">
      <c r="F4979" s="294" t="s">
        <v>255</v>
      </c>
      <c r="G4979" s="297" t="s">
        <v>256</v>
      </c>
      <c r="J4979" s="639">
        <f t="shared" si="151"/>
        <v>0</v>
      </c>
    </row>
    <row r="4980" spans="3:10" ht="15.75" hidden="1" thickBot="1">
      <c r="F4980" s="294" t="s">
        <v>257</v>
      </c>
      <c r="G4980" s="297" t="s">
        <v>258</v>
      </c>
      <c r="J4980" s="639">
        <f t="shared" si="151"/>
        <v>0</v>
      </c>
    </row>
    <row r="4981" spans="3:10" ht="15.75" hidden="1" thickBot="1">
      <c r="F4981" s="294" t="s">
        <v>259</v>
      </c>
      <c r="G4981" s="297" t="s">
        <v>260</v>
      </c>
      <c r="J4981" s="639">
        <f t="shared" si="151"/>
        <v>0</v>
      </c>
    </row>
    <row r="4982" spans="3:10" ht="15.75" hidden="1" thickBot="1">
      <c r="F4982" s="294" t="s">
        <v>261</v>
      </c>
      <c r="G4982" s="297" t="s">
        <v>262</v>
      </c>
      <c r="H4982" s="638"/>
      <c r="I4982" s="639"/>
      <c r="J4982" s="639">
        <f t="shared" si="151"/>
        <v>0</v>
      </c>
    </row>
    <row r="4983" spans="3:10" ht="15.75" hidden="1" thickBot="1">
      <c r="G4983" s="274" t="s">
        <v>4223</v>
      </c>
      <c r="H4983" s="640">
        <f>SUM(H4967:H4982)</f>
        <v>0</v>
      </c>
      <c r="I4983" s="641">
        <f>SUM(I4968:I4982)</f>
        <v>0</v>
      </c>
      <c r="J4983" s="641">
        <f>SUM(J4967:J4982)</f>
        <v>0</v>
      </c>
    </row>
    <row r="4984" spans="3:10" hidden="1"/>
    <row r="4985" spans="3:10" hidden="1">
      <c r="C4985" s="368" t="s">
        <v>4149</v>
      </c>
      <c r="D4985" s="84"/>
      <c r="E4985" s="267"/>
      <c r="G4985" s="332" t="s">
        <v>4221</v>
      </c>
    </row>
    <row r="4986" spans="3:10" hidden="1">
      <c r="D4986" s="388" t="s">
        <v>3892</v>
      </c>
      <c r="E4986" s="357"/>
      <c r="F4986" s="357"/>
      <c r="G4986" s="383" t="s">
        <v>103</v>
      </c>
    </row>
    <row r="4987" spans="3:10" hidden="1">
      <c r="F4987" s="308">
        <v>422</v>
      </c>
      <c r="G4987" s="340" t="s">
        <v>3784</v>
      </c>
      <c r="J4987" s="635">
        <f t="shared" ref="J4987:J5012" si="152">SUM(H4987:I4987)</f>
        <v>0</v>
      </c>
    </row>
    <row r="4988" spans="3:10" hidden="1">
      <c r="F4988" s="308">
        <v>423</v>
      </c>
      <c r="G4988" s="340" t="s">
        <v>3785</v>
      </c>
      <c r="J4988" s="635">
        <f t="shared" si="152"/>
        <v>0</v>
      </c>
    </row>
    <row r="4989" spans="3:10" hidden="1">
      <c r="F4989" s="308">
        <v>424</v>
      </c>
      <c r="G4989" s="340" t="s">
        <v>3787</v>
      </c>
      <c r="J4989" s="635">
        <f t="shared" si="152"/>
        <v>0</v>
      </c>
    </row>
    <row r="4990" spans="3:10" hidden="1">
      <c r="F4990" s="308">
        <v>426</v>
      </c>
      <c r="G4990" s="340" t="s">
        <v>3791</v>
      </c>
      <c r="J4990" s="635">
        <f t="shared" si="152"/>
        <v>0</v>
      </c>
    </row>
    <row r="4991" spans="3:10" hidden="1">
      <c r="F4991" s="308">
        <v>472</v>
      </c>
      <c r="G4991" s="340" t="s">
        <v>3819</v>
      </c>
      <c r="J4991" s="635">
        <f t="shared" si="152"/>
        <v>0</v>
      </c>
    </row>
    <row r="4992" spans="3:10" ht="15.75" hidden="1" thickBot="1">
      <c r="F4992" s="308">
        <v>481</v>
      </c>
      <c r="G4992" s="340" t="s">
        <v>4195</v>
      </c>
      <c r="J4992" s="635">
        <f t="shared" si="152"/>
        <v>0</v>
      </c>
    </row>
    <row r="4993" spans="5:10" hidden="1">
      <c r="E4993" s="338"/>
      <c r="F4993" s="346"/>
      <c r="G4993" s="372" t="s">
        <v>4370</v>
      </c>
      <c r="H4993" s="636"/>
      <c r="I4993" s="662"/>
      <c r="J4993" s="637"/>
    </row>
    <row r="4994" spans="5:10" ht="15.75" hidden="1" thickBot="1">
      <c r="E4994" s="267"/>
      <c r="F4994" s="294" t="s">
        <v>234</v>
      </c>
      <c r="G4994" s="297" t="s">
        <v>235</v>
      </c>
      <c r="H4994" s="638">
        <f>SUM(H4987:H4992)</f>
        <v>0</v>
      </c>
      <c r="I4994" s="639"/>
      <c r="J4994" s="639">
        <f t="shared" ref="J4994:J5009" si="153">SUM(H4994:I4994)</f>
        <v>0</v>
      </c>
    </row>
    <row r="4995" spans="5:10" ht="15.75" hidden="1" thickBot="1">
      <c r="F4995" s="294" t="s">
        <v>236</v>
      </c>
      <c r="G4995" s="297" t="s">
        <v>237</v>
      </c>
      <c r="J4995" s="639">
        <f t="shared" si="153"/>
        <v>0</v>
      </c>
    </row>
    <row r="4996" spans="5:10" ht="15.75" hidden="1" thickBot="1">
      <c r="F4996" s="294" t="s">
        <v>238</v>
      </c>
      <c r="G4996" s="297" t="s">
        <v>239</v>
      </c>
      <c r="J4996" s="639">
        <f t="shared" si="153"/>
        <v>0</v>
      </c>
    </row>
    <row r="4997" spans="5:10" ht="15.75" hidden="1" thickBot="1">
      <c r="F4997" s="294" t="s">
        <v>240</v>
      </c>
      <c r="G4997" s="297" t="s">
        <v>241</v>
      </c>
      <c r="J4997" s="639">
        <f t="shared" si="153"/>
        <v>0</v>
      </c>
    </row>
    <row r="4998" spans="5:10" ht="15.75" hidden="1" thickBot="1">
      <c r="F4998" s="294" t="s">
        <v>242</v>
      </c>
      <c r="G4998" s="297" t="s">
        <v>243</v>
      </c>
      <c r="J4998" s="639">
        <f t="shared" si="153"/>
        <v>0</v>
      </c>
    </row>
    <row r="4999" spans="5:10" ht="15.75" hidden="1" thickBot="1">
      <c r="F4999" s="294" t="s">
        <v>244</v>
      </c>
      <c r="G4999" s="297" t="s">
        <v>245</v>
      </c>
      <c r="J4999" s="639">
        <f t="shared" si="153"/>
        <v>0</v>
      </c>
    </row>
    <row r="5000" spans="5:10" ht="15.75" hidden="1" thickBot="1">
      <c r="F5000" s="294" t="s">
        <v>246</v>
      </c>
      <c r="G5000" s="683" t="s">
        <v>5121</v>
      </c>
      <c r="J5000" s="639">
        <f t="shared" si="153"/>
        <v>0</v>
      </c>
    </row>
    <row r="5001" spans="5:10" ht="15.75" hidden="1" thickBot="1">
      <c r="F5001" s="294" t="s">
        <v>247</v>
      </c>
      <c r="G5001" s="683" t="s">
        <v>5120</v>
      </c>
      <c r="J5001" s="639">
        <f t="shared" si="153"/>
        <v>0</v>
      </c>
    </row>
    <row r="5002" spans="5:10" ht="15.75" hidden="1" thickBot="1">
      <c r="F5002" s="294" t="s">
        <v>248</v>
      </c>
      <c r="G5002" s="297" t="s">
        <v>57</v>
      </c>
      <c r="J5002" s="639">
        <f t="shared" si="153"/>
        <v>0</v>
      </c>
    </row>
    <row r="5003" spans="5:10" ht="15.75" hidden="1" thickBot="1">
      <c r="F5003" s="294" t="s">
        <v>249</v>
      </c>
      <c r="G5003" s="297" t="s">
        <v>250</v>
      </c>
      <c r="J5003" s="639">
        <f t="shared" si="153"/>
        <v>0</v>
      </c>
    </row>
    <row r="5004" spans="5:10" ht="15.75" hidden="1" thickBot="1">
      <c r="F5004" s="294" t="s">
        <v>251</v>
      </c>
      <c r="G5004" s="297" t="s">
        <v>252</v>
      </c>
      <c r="J5004" s="639">
        <f t="shared" si="153"/>
        <v>0</v>
      </c>
    </row>
    <row r="5005" spans="5:10" ht="15.75" hidden="1" thickBot="1">
      <c r="F5005" s="294" t="s">
        <v>253</v>
      </c>
      <c r="G5005" s="297" t="s">
        <v>254</v>
      </c>
      <c r="J5005" s="639">
        <f t="shared" si="153"/>
        <v>0</v>
      </c>
    </row>
    <row r="5006" spans="5:10" ht="15.75" hidden="1" thickBot="1">
      <c r="F5006" s="294" t="s">
        <v>255</v>
      </c>
      <c r="G5006" s="297" t="s">
        <v>256</v>
      </c>
      <c r="J5006" s="639">
        <f t="shared" si="153"/>
        <v>0</v>
      </c>
    </row>
    <row r="5007" spans="5:10" ht="15.75" hidden="1" thickBot="1">
      <c r="F5007" s="294" t="s">
        <v>257</v>
      </c>
      <c r="G5007" s="297" t="s">
        <v>258</v>
      </c>
      <c r="J5007" s="639">
        <f t="shared" si="153"/>
        <v>0</v>
      </c>
    </row>
    <row r="5008" spans="5:10" ht="15.75" hidden="1" thickBot="1">
      <c r="F5008" s="294" t="s">
        <v>259</v>
      </c>
      <c r="G5008" s="297" t="s">
        <v>260</v>
      </c>
      <c r="J5008" s="639">
        <f t="shared" si="153"/>
        <v>0</v>
      </c>
    </row>
    <row r="5009" spans="6:10" ht="15.75" hidden="1" thickBot="1">
      <c r="F5009" s="294" t="s">
        <v>261</v>
      </c>
      <c r="G5009" s="297" t="s">
        <v>262</v>
      </c>
      <c r="H5009" s="638"/>
      <c r="I5009" s="639"/>
      <c r="J5009" s="639">
        <f t="shared" si="153"/>
        <v>0</v>
      </c>
    </row>
    <row r="5010" spans="6:10" ht="15.75" hidden="1" thickBot="1">
      <c r="G5010" s="274" t="s">
        <v>4371</v>
      </c>
      <c r="H5010" s="640">
        <f>SUM(H4994:H5009)</f>
        <v>0</v>
      </c>
      <c r="I5010" s="641">
        <f>SUM(I4995:I5009)</f>
        <v>0</v>
      </c>
      <c r="J5010" s="641">
        <f>SUM(J4994:J5009)</f>
        <v>0</v>
      </c>
    </row>
    <row r="5011" spans="6:10" hidden="1">
      <c r="F5011" s="309"/>
      <c r="G5011" s="276" t="s">
        <v>4226</v>
      </c>
      <c r="H5011" s="642"/>
      <c r="I5011" s="663"/>
      <c r="J5011" s="643"/>
    </row>
    <row r="5012" spans="6:10" ht="15.75" hidden="1" thickBot="1">
      <c r="F5012" s="294" t="s">
        <v>234</v>
      </c>
      <c r="G5012" s="297" t="s">
        <v>235</v>
      </c>
      <c r="H5012" s="638">
        <f>SUM(H4987:H4992)</f>
        <v>0</v>
      </c>
      <c r="I5012" s="639"/>
      <c r="J5012" s="635">
        <f t="shared" si="152"/>
        <v>0</v>
      </c>
    </row>
    <row r="5013" spans="6:10" ht="15.75" hidden="1" thickBot="1">
      <c r="F5013" s="294" t="s">
        <v>236</v>
      </c>
      <c r="G5013" s="297" t="s">
        <v>237</v>
      </c>
      <c r="J5013" s="639">
        <f t="shared" ref="J5013:J5027" si="154">SUM(H5013:I5013)</f>
        <v>0</v>
      </c>
    </row>
    <row r="5014" spans="6:10" ht="15.75" hidden="1" thickBot="1">
      <c r="F5014" s="294" t="s">
        <v>238</v>
      </c>
      <c r="G5014" s="297" t="s">
        <v>239</v>
      </c>
      <c r="J5014" s="639">
        <f t="shared" si="154"/>
        <v>0</v>
      </c>
    </row>
    <row r="5015" spans="6:10" ht="15.75" hidden="1" thickBot="1">
      <c r="F5015" s="294" t="s">
        <v>240</v>
      </c>
      <c r="G5015" s="297" t="s">
        <v>241</v>
      </c>
      <c r="J5015" s="639">
        <f t="shared" si="154"/>
        <v>0</v>
      </c>
    </row>
    <row r="5016" spans="6:10" ht="15.75" hidden="1" thickBot="1">
      <c r="F5016" s="294" t="s">
        <v>242</v>
      </c>
      <c r="G5016" s="297" t="s">
        <v>243</v>
      </c>
      <c r="J5016" s="639">
        <f t="shared" si="154"/>
        <v>0</v>
      </c>
    </row>
    <row r="5017" spans="6:10" ht="15.75" hidden="1" thickBot="1">
      <c r="F5017" s="294" t="s">
        <v>244</v>
      </c>
      <c r="G5017" s="297" t="s">
        <v>245</v>
      </c>
      <c r="J5017" s="639">
        <f t="shared" si="154"/>
        <v>0</v>
      </c>
    </row>
    <row r="5018" spans="6:10" ht="15.75" hidden="1" thickBot="1">
      <c r="F5018" s="294" t="s">
        <v>246</v>
      </c>
      <c r="G5018" s="683" t="s">
        <v>5121</v>
      </c>
      <c r="J5018" s="639">
        <f t="shared" si="154"/>
        <v>0</v>
      </c>
    </row>
    <row r="5019" spans="6:10" ht="15.75" hidden="1" thickBot="1">
      <c r="F5019" s="294" t="s">
        <v>247</v>
      </c>
      <c r="G5019" s="683" t="s">
        <v>5120</v>
      </c>
      <c r="J5019" s="639">
        <f t="shared" si="154"/>
        <v>0</v>
      </c>
    </row>
    <row r="5020" spans="6:10" ht="15.75" hidden="1" thickBot="1">
      <c r="F5020" s="294" t="s">
        <v>248</v>
      </c>
      <c r="G5020" s="297" t="s">
        <v>57</v>
      </c>
      <c r="J5020" s="639">
        <f t="shared" si="154"/>
        <v>0</v>
      </c>
    </row>
    <row r="5021" spans="6:10" ht="15.75" hidden="1" thickBot="1">
      <c r="F5021" s="294" t="s">
        <v>249</v>
      </c>
      <c r="G5021" s="297" t="s">
        <v>250</v>
      </c>
      <c r="J5021" s="639">
        <f t="shared" si="154"/>
        <v>0</v>
      </c>
    </row>
    <row r="5022" spans="6:10" ht="15.75" hidden="1" thickBot="1">
      <c r="F5022" s="294" t="s">
        <v>251</v>
      </c>
      <c r="G5022" s="297" t="s">
        <v>252</v>
      </c>
      <c r="J5022" s="639">
        <f t="shared" si="154"/>
        <v>0</v>
      </c>
    </row>
    <row r="5023" spans="6:10" ht="15.75" hidden="1" thickBot="1">
      <c r="F5023" s="294" t="s">
        <v>253</v>
      </c>
      <c r="G5023" s="297" t="s">
        <v>254</v>
      </c>
      <c r="J5023" s="639">
        <f t="shared" si="154"/>
        <v>0</v>
      </c>
    </row>
    <row r="5024" spans="6:10" ht="15.75" hidden="1" thickBot="1">
      <c r="F5024" s="294" t="s">
        <v>255</v>
      </c>
      <c r="G5024" s="297" t="s">
        <v>256</v>
      </c>
      <c r="J5024" s="639">
        <f t="shared" si="154"/>
        <v>0</v>
      </c>
    </row>
    <row r="5025" spans="3:10" ht="15.75" hidden="1" thickBot="1">
      <c r="F5025" s="294" t="s">
        <v>257</v>
      </c>
      <c r="G5025" s="297" t="s">
        <v>258</v>
      </c>
      <c r="J5025" s="639">
        <f t="shared" si="154"/>
        <v>0</v>
      </c>
    </row>
    <row r="5026" spans="3:10" ht="15.75" hidden="1" thickBot="1">
      <c r="F5026" s="294" t="s">
        <v>259</v>
      </c>
      <c r="G5026" s="297" t="s">
        <v>260</v>
      </c>
      <c r="J5026" s="639">
        <f t="shared" si="154"/>
        <v>0</v>
      </c>
    </row>
    <row r="5027" spans="3:10" ht="15.75" hidden="1" thickBot="1">
      <c r="F5027" s="294" t="s">
        <v>261</v>
      </c>
      <c r="G5027" s="297" t="s">
        <v>262</v>
      </c>
      <c r="H5027" s="638"/>
      <c r="I5027" s="639"/>
      <c r="J5027" s="639">
        <f t="shared" si="154"/>
        <v>0</v>
      </c>
    </row>
    <row r="5028" spans="3:10" ht="15.75" hidden="1" thickBot="1">
      <c r="G5028" s="274" t="s">
        <v>4225</v>
      </c>
      <c r="H5028" s="640">
        <f>SUM(H5012:H5027)</f>
        <v>0</v>
      </c>
      <c r="I5028" s="641">
        <f>SUM(I5013:I5027)</f>
        <v>0</v>
      </c>
      <c r="J5028" s="641">
        <f>SUM(J5012:J5027)</f>
        <v>0</v>
      </c>
    </row>
    <row r="5029" spans="3:10" hidden="1">
      <c r="F5029" s="308"/>
      <c r="G5029" s="340"/>
    </row>
    <row r="5030" spans="3:10" hidden="1">
      <c r="C5030" s="368" t="s">
        <v>4151</v>
      </c>
      <c r="F5030" s="308"/>
      <c r="G5030" s="332" t="s">
        <v>4227</v>
      </c>
    </row>
    <row r="5031" spans="3:10" hidden="1">
      <c r="D5031" s="357">
        <v>330</v>
      </c>
      <c r="E5031" s="357"/>
      <c r="F5031" s="357"/>
      <c r="G5031" s="383" t="s">
        <v>130</v>
      </c>
    </row>
    <row r="5032" spans="3:10" hidden="1">
      <c r="D5032" s="357"/>
      <c r="E5032" s="357"/>
      <c r="F5032" s="263">
        <v>411</v>
      </c>
      <c r="G5032" s="562" t="s">
        <v>4173</v>
      </c>
      <c r="J5032" s="635">
        <f t="shared" ref="J5032:J5057" si="155">SUM(H5032:I5032)</f>
        <v>0</v>
      </c>
    </row>
    <row r="5033" spans="3:10" hidden="1">
      <c r="D5033" s="357"/>
      <c r="E5033" s="357"/>
      <c r="F5033" s="263">
        <v>412</v>
      </c>
      <c r="G5033" s="558" t="s">
        <v>3770</v>
      </c>
      <c r="J5033" s="635">
        <f t="shared" si="155"/>
        <v>0</v>
      </c>
    </row>
    <row r="5034" spans="3:10" hidden="1">
      <c r="F5034" s="308">
        <v>422</v>
      </c>
      <c r="G5034" s="340" t="s">
        <v>3784</v>
      </c>
      <c r="J5034" s="635">
        <f t="shared" si="155"/>
        <v>0</v>
      </c>
    </row>
    <row r="5035" spans="3:10" hidden="1">
      <c r="F5035" s="308">
        <v>423</v>
      </c>
      <c r="G5035" s="340" t="s">
        <v>3785</v>
      </c>
      <c r="J5035" s="635">
        <f>SUM(H5035:I5035)</f>
        <v>0</v>
      </c>
    </row>
    <row r="5036" spans="3:10" hidden="1">
      <c r="F5036" s="308">
        <v>424</v>
      </c>
      <c r="G5036" s="340" t="s">
        <v>3787</v>
      </c>
      <c r="J5036" s="635">
        <f t="shared" si="155"/>
        <v>0</v>
      </c>
    </row>
    <row r="5037" spans="3:10" ht="15.75" hidden="1" thickBot="1">
      <c r="F5037" s="308">
        <v>426</v>
      </c>
      <c r="G5037" s="340" t="s">
        <v>3791</v>
      </c>
      <c r="J5037" s="635">
        <f t="shared" si="155"/>
        <v>0</v>
      </c>
    </row>
    <row r="5038" spans="3:10" hidden="1">
      <c r="E5038" s="338"/>
      <c r="F5038" s="346"/>
      <c r="G5038" s="372" t="s">
        <v>4349</v>
      </c>
      <c r="H5038" s="636"/>
      <c r="I5038" s="662"/>
      <c r="J5038" s="637"/>
    </row>
    <row r="5039" spans="3:10" ht="15.75" hidden="1" thickBot="1">
      <c r="E5039" s="267"/>
      <c r="F5039" s="294" t="s">
        <v>234</v>
      </c>
      <c r="G5039" s="297" t="s">
        <v>235</v>
      </c>
      <c r="H5039" s="638">
        <f>SUM(H5032:H5037)</f>
        <v>0</v>
      </c>
      <c r="I5039" s="639"/>
      <c r="J5039" s="639">
        <f t="shared" ref="J5039:J5054" si="156">SUM(H5039:I5039)</f>
        <v>0</v>
      </c>
    </row>
    <row r="5040" spans="3:10" ht="15.75" hidden="1" thickBot="1">
      <c r="F5040" s="294" t="s">
        <v>236</v>
      </c>
      <c r="G5040" s="297" t="s">
        <v>237</v>
      </c>
      <c r="J5040" s="639">
        <f t="shared" si="156"/>
        <v>0</v>
      </c>
    </row>
    <row r="5041" spans="6:10" ht="15.75" hidden="1" thickBot="1">
      <c r="F5041" s="294" t="s">
        <v>238</v>
      </c>
      <c r="G5041" s="297" t="s">
        <v>239</v>
      </c>
      <c r="J5041" s="639">
        <f t="shared" si="156"/>
        <v>0</v>
      </c>
    </row>
    <row r="5042" spans="6:10" ht="15.75" hidden="1" thickBot="1">
      <c r="F5042" s="294" t="s">
        <v>240</v>
      </c>
      <c r="G5042" s="297" t="s">
        <v>241</v>
      </c>
      <c r="J5042" s="639">
        <f t="shared" si="156"/>
        <v>0</v>
      </c>
    </row>
    <row r="5043" spans="6:10" ht="15.75" hidden="1" thickBot="1">
      <c r="F5043" s="294" t="s">
        <v>242</v>
      </c>
      <c r="G5043" s="297" t="s">
        <v>243</v>
      </c>
      <c r="J5043" s="639">
        <f t="shared" si="156"/>
        <v>0</v>
      </c>
    </row>
    <row r="5044" spans="6:10" ht="15.75" hidden="1" thickBot="1">
      <c r="F5044" s="294" t="s">
        <v>244</v>
      </c>
      <c r="G5044" s="297" t="s">
        <v>245</v>
      </c>
      <c r="J5044" s="639">
        <f t="shared" si="156"/>
        <v>0</v>
      </c>
    </row>
    <row r="5045" spans="6:10" ht="15.75" hidden="1" thickBot="1">
      <c r="F5045" s="294" t="s">
        <v>246</v>
      </c>
      <c r="G5045" s="683" t="s">
        <v>5121</v>
      </c>
      <c r="J5045" s="639">
        <f t="shared" si="156"/>
        <v>0</v>
      </c>
    </row>
    <row r="5046" spans="6:10" ht="15.75" hidden="1" thickBot="1">
      <c r="F5046" s="294" t="s">
        <v>247</v>
      </c>
      <c r="G5046" s="683" t="s">
        <v>5120</v>
      </c>
      <c r="J5046" s="639">
        <f t="shared" si="156"/>
        <v>0</v>
      </c>
    </row>
    <row r="5047" spans="6:10" ht="15.75" hidden="1" thickBot="1">
      <c r="F5047" s="294" t="s">
        <v>248</v>
      </c>
      <c r="G5047" s="297" t="s">
        <v>57</v>
      </c>
      <c r="J5047" s="639">
        <f t="shared" si="156"/>
        <v>0</v>
      </c>
    </row>
    <row r="5048" spans="6:10" ht="15.75" hidden="1" thickBot="1">
      <c r="F5048" s="294" t="s">
        <v>249</v>
      </c>
      <c r="G5048" s="297" t="s">
        <v>250</v>
      </c>
      <c r="J5048" s="639">
        <f t="shared" si="156"/>
        <v>0</v>
      </c>
    </row>
    <row r="5049" spans="6:10" ht="15.75" hidden="1" thickBot="1">
      <c r="F5049" s="294" t="s">
        <v>251</v>
      </c>
      <c r="G5049" s="297" t="s">
        <v>252</v>
      </c>
      <c r="J5049" s="639">
        <f t="shared" si="156"/>
        <v>0</v>
      </c>
    </row>
    <row r="5050" spans="6:10" ht="15.75" hidden="1" thickBot="1">
      <c r="F5050" s="294" t="s">
        <v>253</v>
      </c>
      <c r="G5050" s="297" t="s">
        <v>254</v>
      </c>
      <c r="J5050" s="639">
        <f t="shared" si="156"/>
        <v>0</v>
      </c>
    </row>
    <row r="5051" spans="6:10" ht="15.75" hidden="1" thickBot="1">
      <c r="F5051" s="294" t="s">
        <v>255</v>
      </c>
      <c r="G5051" s="297" t="s">
        <v>256</v>
      </c>
      <c r="J5051" s="639">
        <f t="shared" si="156"/>
        <v>0</v>
      </c>
    </row>
    <row r="5052" spans="6:10" ht="15.75" hidden="1" thickBot="1">
      <c r="F5052" s="294" t="s">
        <v>257</v>
      </c>
      <c r="G5052" s="297" t="s">
        <v>258</v>
      </c>
      <c r="J5052" s="639">
        <f t="shared" si="156"/>
        <v>0</v>
      </c>
    </row>
    <row r="5053" spans="6:10" ht="15.75" hidden="1" thickBot="1">
      <c r="F5053" s="294" t="s">
        <v>259</v>
      </c>
      <c r="G5053" s="297" t="s">
        <v>260</v>
      </c>
      <c r="J5053" s="639">
        <f t="shared" si="156"/>
        <v>0</v>
      </c>
    </row>
    <row r="5054" spans="6:10" ht="15.75" hidden="1" thickBot="1">
      <c r="F5054" s="294" t="s">
        <v>261</v>
      </c>
      <c r="G5054" s="297" t="s">
        <v>262</v>
      </c>
      <c r="H5054" s="638"/>
      <c r="I5054" s="639"/>
      <c r="J5054" s="639">
        <f t="shared" si="156"/>
        <v>0</v>
      </c>
    </row>
    <row r="5055" spans="6:10" ht="15.75" hidden="1" thickBot="1">
      <c r="G5055" s="274" t="s">
        <v>4290</v>
      </c>
      <c r="H5055" s="640">
        <f>SUM(H5039:H5054)</f>
        <v>0</v>
      </c>
      <c r="I5055" s="641">
        <f>SUM(I5040:I5054)</f>
        <v>0</v>
      </c>
      <c r="J5055" s="641">
        <f>SUM(J5039:J5054)</f>
        <v>0</v>
      </c>
    </row>
    <row r="5056" spans="6:10" hidden="1">
      <c r="F5056" s="309"/>
      <c r="G5056" s="276" t="s">
        <v>4231</v>
      </c>
      <c r="H5056" s="642"/>
      <c r="I5056" s="663"/>
      <c r="J5056" s="643"/>
    </row>
    <row r="5057" spans="6:14" ht="15.75" hidden="1" thickBot="1">
      <c r="F5057" s="294" t="s">
        <v>234</v>
      </c>
      <c r="G5057" s="297" t="s">
        <v>235</v>
      </c>
      <c r="H5057" s="638">
        <f>SUM(H5034:H5037)</f>
        <v>0</v>
      </c>
      <c r="I5057" s="639"/>
      <c r="J5057" s="635">
        <f t="shared" si="155"/>
        <v>0</v>
      </c>
    </row>
    <row r="5058" spans="6:14" ht="15.75" hidden="1" thickBot="1">
      <c r="F5058" s="294" t="s">
        <v>236</v>
      </c>
      <c r="G5058" s="297" t="s">
        <v>237</v>
      </c>
      <c r="J5058" s="639">
        <f t="shared" ref="J5058:J5072" si="157">SUM(H5058:I5058)</f>
        <v>0</v>
      </c>
    </row>
    <row r="5059" spans="6:14" ht="15.75" hidden="1" thickBot="1">
      <c r="F5059" s="294" t="s">
        <v>238</v>
      </c>
      <c r="G5059" s="297" t="s">
        <v>239</v>
      </c>
      <c r="J5059" s="639">
        <f t="shared" si="157"/>
        <v>0</v>
      </c>
      <c r="K5059" s="267"/>
      <c r="L5059" s="267"/>
      <c r="M5059" s="267"/>
      <c r="N5059" s="580"/>
    </row>
    <row r="5060" spans="6:14" ht="15.75" hidden="1" thickBot="1">
      <c r="F5060" s="294" t="s">
        <v>240</v>
      </c>
      <c r="G5060" s="297" t="s">
        <v>241</v>
      </c>
      <c r="J5060" s="639">
        <f t="shared" si="157"/>
        <v>0</v>
      </c>
      <c r="K5060" s="293"/>
      <c r="L5060" s="267"/>
      <c r="M5060" s="293"/>
      <c r="N5060" s="312"/>
    </row>
    <row r="5061" spans="6:14" ht="15.75" hidden="1" thickBot="1">
      <c r="F5061" s="294" t="s">
        <v>242</v>
      </c>
      <c r="G5061" s="297" t="s">
        <v>243</v>
      </c>
      <c r="J5061" s="639">
        <f t="shared" si="157"/>
        <v>0</v>
      </c>
      <c r="K5061" s="293"/>
      <c r="L5061" s="267"/>
      <c r="M5061" s="293"/>
      <c r="N5061" s="312"/>
    </row>
    <row r="5062" spans="6:14" ht="15.75" hidden="1" thickBot="1">
      <c r="F5062" s="294" t="s">
        <v>244</v>
      </c>
      <c r="G5062" s="297" t="s">
        <v>245</v>
      </c>
      <c r="J5062" s="639">
        <f t="shared" si="157"/>
        <v>0</v>
      </c>
      <c r="K5062" s="310"/>
      <c r="L5062" s="267"/>
      <c r="M5062" s="293"/>
      <c r="N5062" s="313"/>
    </row>
    <row r="5063" spans="6:14" ht="15.75" hidden="1" thickBot="1">
      <c r="F5063" s="294" t="s">
        <v>246</v>
      </c>
      <c r="G5063" s="683" t="s">
        <v>5121</v>
      </c>
      <c r="J5063" s="639">
        <f t="shared" si="157"/>
        <v>0</v>
      </c>
      <c r="K5063" s="293"/>
      <c r="L5063" s="267"/>
      <c r="M5063" s="293"/>
      <c r="N5063" s="314"/>
    </row>
    <row r="5064" spans="6:14" ht="15.75" hidden="1" thickBot="1">
      <c r="F5064" s="294" t="s">
        <v>247</v>
      </c>
      <c r="G5064" s="683" t="s">
        <v>5120</v>
      </c>
      <c r="J5064" s="639">
        <f t="shared" si="157"/>
        <v>0</v>
      </c>
      <c r="K5064" s="293"/>
      <c r="L5064" s="267"/>
      <c r="M5064" s="293"/>
      <c r="N5064" s="312"/>
    </row>
    <row r="5065" spans="6:14" ht="15.75" hidden="1" thickBot="1">
      <c r="F5065" s="294" t="s">
        <v>248</v>
      </c>
      <c r="G5065" s="297" t="s">
        <v>57</v>
      </c>
      <c r="J5065" s="639">
        <f t="shared" si="157"/>
        <v>0</v>
      </c>
      <c r="K5065" s="267"/>
      <c r="L5065" s="267"/>
      <c r="M5065" s="267"/>
      <c r="N5065" s="580"/>
    </row>
    <row r="5066" spans="6:14" ht="15.75" hidden="1" thickBot="1">
      <c r="F5066" s="294" t="s">
        <v>249</v>
      </c>
      <c r="G5066" s="297" t="s">
        <v>250</v>
      </c>
      <c r="J5066" s="639">
        <f t="shared" si="157"/>
        <v>0</v>
      </c>
      <c r="K5066" s="310"/>
      <c r="L5066" s="293"/>
      <c r="M5066" s="293"/>
      <c r="N5066" s="313"/>
    </row>
    <row r="5067" spans="6:14" ht="15.75" hidden="1" thickBot="1">
      <c r="F5067" s="294" t="s">
        <v>251</v>
      </c>
      <c r="G5067" s="297" t="s">
        <v>252</v>
      </c>
      <c r="J5067" s="639">
        <f t="shared" si="157"/>
        <v>0</v>
      </c>
      <c r="K5067" s="293"/>
      <c r="L5067" s="293"/>
      <c r="M5067" s="293"/>
      <c r="N5067" s="315"/>
    </row>
    <row r="5068" spans="6:14" ht="15.75" hidden="1" thickBot="1">
      <c r="F5068" s="294" t="s">
        <v>253</v>
      </c>
      <c r="G5068" s="297" t="s">
        <v>254</v>
      </c>
      <c r="J5068" s="639">
        <f t="shared" si="157"/>
        <v>0</v>
      </c>
      <c r="K5068" s="293"/>
      <c r="L5068" s="293"/>
      <c r="M5068" s="293"/>
      <c r="N5068" s="315"/>
    </row>
    <row r="5069" spans="6:14" ht="15.75" hidden="1" thickBot="1">
      <c r="F5069" s="294" t="s">
        <v>255</v>
      </c>
      <c r="G5069" s="297" t="s">
        <v>256</v>
      </c>
      <c r="J5069" s="639">
        <f t="shared" si="157"/>
        <v>0</v>
      </c>
      <c r="K5069" s="293"/>
      <c r="L5069" s="293"/>
      <c r="M5069" s="293"/>
      <c r="N5069" s="315"/>
    </row>
    <row r="5070" spans="6:14" ht="15.75" hidden="1" thickBot="1">
      <c r="F5070" s="294" t="s">
        <v>257</v>
      </c>
      <c r="G5070" s="297" t="s">
        <v>258</v>
      </c>
      <c r="J5070" s="639">
        <f t="shared" si="157"/>
        <v>0</v>
      </c>
      <c r="K5070" s="293"/>
      <c r="L5070" s="293"/>
      <c r="M5070" s="293"/>
      <c r="N5070" s="315"/>
    </row>
    <row r="5071" spans="6:14" ht="15.75" hidden="1" thickBot="1">
      <c r="F5071" s="294" t="s">
        <v>259</v>
      </c>
      <c r="G5071" s="297" t="s">
        <v>260</v>
      </c>
      <c r="J5071" s="639">
        <f t="shared" si="157"/>
        <v>0</v>
      </c>
      <c r="K5071" s="293"/>
      <c r="L5071" s="293"/>
      <c r="M5071" s="293"/>
      <c r="N5071" s="315"/>
    </row>
    <row r="5072" spans="6:14" ht="15.75" hidden="1" thickBot="1">
      <c r="F5072" s="294" t="s">
        <v>261</v>
      </c>
      <c r="G5072" s="297" t="s">
        <v>262</v>
      </c>
      <c r="H5072" s="638"/>
      <c r="I5072" s="639"/>
      <c r="J5072" s="639">
        <f t="shared" si="157"/>
        <v>0</v>
      </c>
      <c r="K5072" s="267"/>
      <c r="L5072" s="267"/>
      <c r="M5072" s="267"/>
      <c r="N5072" s="580"/>
    </row>
    <row r="5073" spans="3:14" ht="15.75" hidden="1" thickBot="1">
      <c r="G5073" s="274" t="s">
        <v>4228</v>
      </c>
      <c r="H5073" s="640">
        <f>SUM(H5057:H5072)</f>
        <v>0</v>
      </c>
      <c r="I5073" s="641">
        <f>SUM(I5058:I5072)</f>
        <v>0</v>
      </c>
      <c r="J5073" s="641">
        <f>SUM(J5057:J5072)</f>
        <v>0</v>
      </c>
      <c r="K5073" s="267"/>
      <c r="L5073" s="267"/>
      <c r="M5073" s="267"/>
      <c r="N5073" s="580"/>
    </row>
    <row r="5074" spans="3:14" hidden="1"/>
    <row r="5075" spans="3:14" hidden="1">
      <c r="C5075" s="368" t="s">
        <v>4153</v>
      </c>
      <c r="D5075" s="264"/>
      <c r="E5075" s="264"/>
      <c r="F5075" s="264"/>
      <c r="G5075" s="332" t="s">
        <v>4229</v>
      </c>
    </row>
    <row r="5076" spans="3:14" hidden="1">
      <c r="C5076" s="365"/>
      <c r="D5076" s="387">
        <v>112</v>
      </c>
      <c r="E5076" s="385"/>
      <c r="F5076" s="385"/>
      <c r="G5076" s="358" t="s">
        <v>107</v>
      </c>
    </row>
    <row r="5077" spans="3:14" hidden="1">
      <c r="F5077" s="308">
        <v>49911</v>
      </c>
      <c r="G5077" s="340" t="s">
        <v>3829</v>
      </c>
      <c r="J5077" s="635">
        <f t="shared" ref="J5077:J5078" si="158">SUM(H5077:I5077)</f>
        <v>0</v>
      </c>
    </row>
    <row r="5078" spans="3:14" hidden="1">
      <c r="F5078" s="263">
        <v>49912</v>
      </c>
      <c r="G5078" s="275" t="s">
        <v>3831</v>
      </c>
      <c r="J5078" s="635">
        <f t="shared" si="158"/>
        <v>0</v>
      </c>
    </row>
    <row r="5079" spans="3:14" hidden="1">
      <c r="E5079" s="338"/>
      <c r="F5079" s="346"/>
      <c r="G5079" s="372" t="s">
        <v>4389</v>
      </c>
      <c r="H5079" s="636"/>
      <c r="I5079" s="662"/>
      <c r="J5079" s="637"/>
    </row>
    <row r="5080" spans="3:14" hidden="1">
      <c r="E5080" s="267"/>
      <c r="F5080" s="294" t="s">
        <v>234</v>
      </c>
      <c r="G5080" s="297" t="s">
        <v>235</v>
      </c>
      <c r="H5080" s="638">
        <f>SUM(H5077:H5078)</f>
        <v>0</v>
      </c>
      <c r="I5080" s="639"/>
      <c r="J5080" s="639">
        <f t="shared" ref="J5080:J5095" si="159">SUM(H5080:I5080)</f>
        <v>0</v>
      </c>
    </row>
    <row r="5081" spans="3:14" hidden="1">
      <c r="F5081" s="294" t="s">
        <v>236</v>
      </c>
      <c r="G5081" s="297" t="s">
        <v>237</v>
      </c>
      <c r="J5081" s="639">
        <f t="shared" si="159"/>
        <v>0</v>
      </c>
    </row>
    <row r="5082" spans="3:14" hidden="1">
      <c r="F5082" s="294" t="s">
        <v>238</v>
      </c>
      <c r="G5082" s="297" t="s">
        <v>239</v>
      </c>
      <c r="J5082" s="639">
        <f t="shared" si="159"/>
        <v>0</v>
      </c>
    </row>
    <row r="5083" spans="3:14" hidden="1">
      <c r="F5083" s="294" t="s">
        <v>240</v>
      </c>
      <c r="G5083" s="297" t="s">
        <v>241</v>
      </c>
      <c r="J5083" s="639">
        <f t="shared" si="159"/>
        <v>0</v>
      </c>
    </row>
    <row r="5084" spans="3:14" hidden="1">
      <c r="F5084" s="294" t="s">
        <v>242</v>
      </c>
      <c r="G5084" s="297" t="s">
        <v>243</v>
      </c>
      <c r="J5084" s="639">
        <f t="shared" si="159"/>
        <v>0</v>
      </c>
    </row>
    <row r="5085" spans="3:14" hidden="1">
      <c r="F5085" s="294" t="s">
        <v>244</v>
      </c>
      <c r="G5085" s="297" t="s">
        <v>245</v>
      </c>
      <c r="J5085" s="639">
        <f t="shared" si="159"/>
        <v>0</v>
      </c>
    </row>
    <row r="5086" spans="3:14" hidden="1">
      <c r="F5086" s="294" t="s">
        <v>246</v>
      </c>
      <c r="G5086" s="683" t="s">
        <v>5121</v>
      </c>
      <c r="J5086" s="639">
        <f t="shared" si="159"/>
        <v>0</v>
      </c>
    </row>
    <row r="5087" spans="3:14" hidden="1">
      <c r="F5087" s="294" t="s">
        <v>247</v>
      </c>
      <c r="G5087" s="683" t="s">
        <v>5120</v>
      </c>
      <c r="J5087" s="639">
        <f t="shared" si="159"/>
        <v>0</v>
      </c>
    </row>
    <row r="5088" spans="3:14" hidden="1">
      <c r="F5088" s="294" t="s">
        <v>248</v>
      </c>
      <c r="G5088" s="297" t="s">
        <v>57</v>
      </c>
      <c r="J5088" s="639">
        <f t="shared" si="159"/>
        <v>0</v>
      </c>
    </row>
    <row r="5089" spans="6:10" hidden="1">
      <c r="F5089" s="294" t="s">
        <v>249</v>
      </c>
      <c r="G5089" s="297" t="s">
        <v>250</v>
      </c>
      <c r="J5089" s="639">
        <f t="shared" si="159"/>
        <v>0</v>
      </c>
    </row>
    <row r="5090" spans="6:10" hidden="1">
      <c r="F5090" s="294" t="s">
        <v>251</v>
      </c>
      <c r="G5090" s="297" t="s">
        <v>252</v>
      </c>
      <c r="J5090" s="639">
        <f t="shared" si="159"/>
        <v>0</v>
      </c>
    </row>
    <row r="5091" spans="6:10" hidden="1">
      <c r="F5091" s="294" t="s">
        <v>253</v>
      </c>
      <c r="G5091" s="297" t="s">
        <v>254</v>
      </c>
      <c r="J5091" s="639">
        <f t="shared" si="159"/>
        <v>0</v>
      </c>
    </row>
    <row r="5092" spans="6:10" hidden="1">
      <c r="F5092" s="294" t="s">
        <v>255</v>
      </c>
      <c r="G5092" s="297" t="s">
        <v>256</v>
      </c>
      <c r="J5092" s="639">
        <f t="shared" si="159"/>
        <v>0</v>
      </c>
    </row>
    <row r="5093" spans="6:10" hidden="1">
      <c r="F5093" s="294" t="s">
        <v>257</v>
      </c>
      <c r="G5093" s="297" t="s">
        <v>258</v>
      </c>
      <c r="J5093" s="639">
        <f t="shared" si="159"/>
        <v>0</v>
      </c>
    </row>
    <row r="5094" spans="6:10" hidden="1">
      <c r="F5094" s="294" t="s">
        <v>259</v>
      </c>
      <c r="G5094" s="297" t="s">
        <v>260</v>
      </c>
      <c r="J5094" s="639">
        <f t="shared" si="159"/>
        <v>0</v>
      </c>
    </row>
    <row r="5095" spans="6:10" hidden="1">
      <c r="F5095" s="294" t="s">
        <v>261</v>
      </c>
      <c r="G5095" s="297" t="s">
        <v>262</v>
      </c>
      <c r="H5095" s="638"/>
      <c r="I5095" s="639"/>
      <c r="J5095" s="639">
        <f t="shared" si="159"/>
        <v>0</v>
      </c>
    </row>
    <row r="5096" spans="6:10" ht="15.75" hidden="1" thickBot="1">
      <c r="G5096" s="274" t="s">
        <v>4390</v>
      </c>
      <c r="H5096" s="640">
        <f>SUM(H5080:H5095)</f>
        <v>0</v>
      </c>
      <c r="I5096" s="641">
        <f>SUM(I5081:I5095)</f>
        <v>0</v>
      </c>
      <c r="J5096" s="641">
        <f>SUM(J5080:J5095)</f>
        <v>0</v>
      </c>
    </row>
    <row r="5097" spans="6:10" hidden="1">
      <c r="F5097" s="309"/>
      <c r="G5097" s="276" t="s">
        <v>4230</v>
      </c>
      <c r="H5097" s="642"/>
      <c r="I5097" s="663"/>
      <c r="J5097" s="643"/>
    </row>
    <row r="5098" spans="6:10" hidden="1">
      <c r="F5098" s="294" t="s">
        <v>234</v>
      </c>
      <c r="G5098" s="297" t="s">
        <v>235</v>
      </c>
      <c r="H5098" s="638">
        <f>SUM(H5077:H5078)</f>
        <v>0</v>
      </c>
      <c r="I5098" s="639"/>
      <c r="J5098" s="639">
        <f>SUM(H5098:I5098)</f>
        <v>0</v>
      </c>
    </row>
    <row r="5099" spans="6:10" hidden="1">
      <c r="F5099" s="294" t="s">
        <v>236</v>
      </c>
      <c r="G5099" s="297" t="s">
        <v>237</v>
      </c>
      <c r="J5099" s="639">
        <f t="shared" ref="J5099:J5113" si="160">SUM(H5099:I5099)</f>
        <v>0</v>
      </c>
    </row>
    <row r="5100" spans="6:10" hidden="1">
      <c r="F5100" s="294" t="s">
        <v>238</v>
      </c>
      <c r="G5100" s="297" t="s">
        <v>239</v>
      </c>
      <c r="J5100" s="639">
        <f t="shared" si="160"/>
        <v>0</v>
      </c>
    </row>
    <row r="5101" spans="6:10" hidden="1">
      <c r="F5101" s="294" t="s">
        <v>240</v>
      </c>
      <c r="G5101" s="297" t="s">
        <v>241</v>
      </c>
      <c r="J5101" s="639">
        <f t="shared" si="160"/>
        <v>0</v>
      </c>
    </row>
    <row r="5102" spans="6:10" hidden="1">
      <c r="F5102" s="294" t="s">
        <v>242</v>
      </c>
      <c r="G5102" s="297" t="s">
        <v>243</v>
      </c>
      <c r="J5102" s="639">
        <f t="shared" si="160"/>
        <v>0</v>
      </c>
    </row>
    <row r="5103" spans="6:10" hidden="1">
      <c r="F5103" s="294" t="s">
        <v>244</v>
      </c>
      <c r="G5103" s="297" t="s">
        <v>245</v>
      </c>
      <c r="J5103" s="639">
        <f t="shared" si="160"/>
        <v>0</v>
      </c>
    </row>
    <row r="5104" spans="6:10" hidden="1">
      <c r="F5104" s="294" t="s">
        <v>246</v>
      </c>
      <c r="G5104" s="683" t="s">
        <v>5121</v>
      </c>
      <c r="J5104" s="639">
        <f t="shared" si="160"/>
        <v>0</v>
      </c>
    </row>
    <row r="5105" spans="2:10" hidden="1">
      <c r="F5105" s="294" t="s">
        <v>247</v>
      </c>
      <c r="G5105" s="683" t="s">
        <v>5120</v>
      </c>
      <c r="J5105" s="639">
        <f t="shared" si="160"/>
        <v>0</v>
      </c>
    </row>
    <row r="5106" spans="2:10" hidden="1">
      <c r="F5106" s="294" t="s">
        <v>248</v>
      </c>
      <c r="G5106" s="297" t="s">
        <v>57</v>
      </c>
      <c r="J5106" s="639">
        <f t="shared" si="160"/>
        <v>0</v>
      </c>
    </row>
    <row r="5107" spans="2:10" hidden="1">
      <c r="F5107" s="294" t="s">
        <v>249</v>
      </c>
      <c r="G5107" s="297" t="s">
        <v>250</v>
      </c>
      <c r="J5107" s="639">
        <f t="shared" si="160"/>
        <v>0</v>
      </c>
    </row>
    <row r="5108" spans="2:10" hidden="1">
      <c r="F5108" s="294" t="s">
        <v>251</v>
      </c>
      <c r="G5108" s="297" t="s">
        <v>252</v>
      </c>
      <c r="J5108" s="639">
        <f t="shared" si="160"/>
        <v>0</v>
      </c>
    </row>
    <row r="5109" spans="2:10" hidden="1">
      <c r="F5109" s="294" t="s">
        <v>253</v>
      </c>
      <c r="G5109" s="297" t="s">
        <v>254</v>
      </c>
      <c r="J5109" s="639">
        <f t="shared" si="160"/>
        <v>0</v>
      </c>
    </row>
    <row r="5110" spans="2:10" hidden="1">
      <c r="F5110" s="294" t="s">
        <v>255</v>
      </c>
      <c r="G5110" s="297" t="s">
        <v>256</v>
      </c>
      <c r="J5110" s="639">
        <f t="shared" si="160"/>
        <v>0</v>
      </c>
    </row>
    <row r="5111" spans="2:10" hidden="1">
      <c r="F5111" s="294" t="s">
        <v>257</v>
      </c>
      <c r="G5111" s="297" t="s">
        <v>258</v>
      </c>
      <c r="J5111" s="639">
        <f t="shared" si="160"/>
        <v>0</v>
      </c>
    </row>
    <row r="5112" spans="2:10" hidden="1">
      <c r="F5112" s="294" t="s">
        <v>259</v>
      </c>
      <c r="G5112" s="297" t="s">
        <v>260</v>
      </c>
      <c r="J5112" s="639">
        <f t="shared" si="160"/>
        <v>0</v>
      </c>
    </row>
    <row r="5113" spans="2:10" hidden="1">
      <c r="F5113" s="294" t="s">
        <v>261</v>
      </c>
      <c r="G5113" s="297" t="s">
        <v>262</v>
      </c>
      <c r="H5113" s="638"/>
      <c r="I5113" s="639"/>
      <c r="J5113" s="639">
        <f t="shared" si="160"/>
        <v>0</v>
      </c>
    </row>
    <row r="5114" spans="2:10" ht="15.75" hidden="1" thickBot="1">
      <c r="G5114" s="274" t="s">
        <v>4275</v>
      </c>
      <c r="H5114" s="640">
        <f>SUM(H5098:H5113)</f>
        <v>0</v>
      </c>
      <c r="I5114" s="641">
        <f>SUM(I5099:I5113)</f>
        <v>0</v>
      </c>
      <c r="J5114" s="641">
        <f>SUM(J5098:J5113)</f>
        <v>0</v>
      </c>
    </row>
    <row r="5115" spans="2:10" hidden="1"/>
    <row r="5116" spans="2:10" hidden="1">
      <c r="B5116" s="310"/>
      <c r="F5116" s="309"/>
      <c r="G5116" s="295" t="s">
        <v>4209</v>
      </c>
      <c r="H5116" s="646"/>
      <c r="I5116" s="664"/>
      <c r="J5116" s="647"/>
    </row>
    <row r="5117" spans="2:10" ht="15.75" hidden="1" thickBot="1">
      <c r="B5117" s="293"/>
      <c r="F5117" s="294" t="s">
        <v>234</v>
      </c>
      <c r="G5117" s="297" t="s">
        <v>235</v>
      </c>
      <c r="H5117" s="638">
        <f>SUM(H5098,H5057,H5012,H4967,H4920,H4821)</f>
        <v>0</v>
      </c>
      <c r="I5117" s="639"/>
      <c r="J5117" s="639">
        <f>SUM(H5117:I5117)</f>
        <v>0</v>
      </c>
    </row>
    <row r="5118" spans="2:10" ht="15.75" hidden="1" thickBot="1">
      <c r="F5118" s="294" t="s">
        <v>236</v>
      </c>
      <c r="G5118" s="297" t="s">
        <v>237</v>
      </c>
      <c r="J5118" s="639">
        <f t="shared" ref="J5118:J5132" si="161">SUM(H5118:I5118)</f>
        <v>0</v>
      </c>
    </row>
    <row r="5119" spans="2:10" ht="15.75" hidden="1" thickBot="1">
      <c r="F5119" s="294" t="s">
        <v>238</v>
      </c>
      <c r="G5119" s="297" t="s">
        <v>239</v>
      </c>
      <c r="J5119" s="639">
        <f t="shared" si="161"/>
        <v>0</v>
      </c>
    </row>
    <row r="5120" spans="2:10" ht="15.75" hidden="1" thickBot="1">
      <c r="F5120" s="294" t="s">
        <v>240</v>
      </c>
      <c r="G5120" s="297" t="s">
        <v>241</v>
      </c>
      <c r="J5120" s="639">
        <f t="shared" si="161"/>
        <v>0</v>
      </c>
    </row>
    <row r="5121" spans="1:25" ht="15.75" hidden="1" thickBot="1">
      <c r="F5121" s="294" t="s">
        <v>242</v>
      </c>
      <c r="G5121" s="297" t="s">
        <v>243</v>
      </c>
      <c r="J5121" s="639">
        <f t="shared" si="161"/>
        <v>0</v>
      </c>
    </row>
    <row r="5122" spans="1:25" ht="15.75" hidden="1" thickBot="1">
      <c r="F5122" s="294" t="s">
        <v>244</v>
      </c>
      <c r="G5122" s="297" t="s">
        <v>245</v>
      </c>
      <c r="J5122" s="639">
        <f t="shared" si="161"/>
        <v>0</v>
      </c>
    </row>
    <row r="5123" spans="1:25" ht="15.75" hidden="1" thickBot="1">
      <c r="F5123" s="294" t="s">
        <v>246</v>
      </c>
      <c r="G5123" s="683" t="s">
        <v>5121</v>
      </c>
      <c r="J5123" s="639">
        <f t="shared" si="161"/>
        <v>0</v>
      </c>
    </row>
    <row r="5124" spans="1:25" ht="15.75" hidden="1" thickBot="1">
      <c r="F5124" s="294" t="s">
        <v>247</v>
      </c>
      <c r="G5124" s="683" t="s">
        <v>5120</v>
      </c>
      <c r="J5124" s="639">
        <f t="shared" si="161"/>
        <v>0</v>
      </c>
    </row>
    <row r="5125" spans="1:25" ht="15.75" hidden="1" thickBot="1">
      <c r="F5125" s="294" t="s">
        <v>248</v>
      </c>
      <c r="G5125" s="297" t="s">
        <v>57</v>
      </c>
      <c r="J5125" s="639">
        <f t="shared" si="161"/>
        <v>0</v>
      </c>
    </row>
    <row r="5126" spans="1:25" ht="15.75" hidden="1" thickBot="1">
      <c r="F5126" s="294" t="s">
        <v>249</v>
      </c>
      <c r="G5126" s="297" t="s">
        <v>250</v>
      </c>
      <c r="J5126" s="639">
        <f t="shared" si="161"/>
        <v>0</v>
      </c>
    </row>
    <row r="5127" spans="1:25" ht="15.75" hidden="1" thickBot="1">
      <c r="F5127" s="294" t="s">
        <v>251</v>
      </c>
      <c r="G5127" s="297" t="s">
        <v>252</v>
      </c>
      <c r="J5127" s="639">
        <f t="shared" si="161"/>
        <v>0</v>
      </c>
    </row>
    <row r="5128" spans="1:25" ht="15.75" hidden="1" thickBot="1">
      <c r="F5128" s="294" t="s">
        <v>253</v>
      </c>
      <c r="G5128" s="297" t="s">
        <v>254</v>
      </c>
      <c r="J5128" s="639">
        <f t="shared" si="161"/>
        <v>0</v>
      </c>
    </row>
    <row r="5129" spans="1:25" ht="15.75" hidden="1" thickBot="1">
      <c r="F5129" s="294" t="s">
        <v>255</v>
      </c>
      <c r="G5129" s="297" t="s">
        <v>256</v>
      </c>
      <c r="J5129" s="639">
        <f t="shared" si="161"/>
        <v>0</v>
      </c>
    </row>
    <row r="5130" spans="1:25" ht="15.75" hidden="1" thickBot="1">
      <c r="F5130" s="294" t="s">
        <v>257</v>
      </c>
      <c r="G5130" s="297" t="s">
        <v>258</v>
      </c>
      <c r="J5130" s="639">
        <f t="shared" si="161"/>
        <v>0</v>
      </c>
    </row>
    <row r="5131" spans="1:25" ht="15.75" hidden="1" thickBot="1">
      <c r="F5131" s="294" t="s">
        <v>259</v>
      </c>
      <c r="G5131" s="297" t="s">
        <v>260</v>
      </c>
      <c r="J5131" s="639">
        <f t="shared" si="161"/>
        <v>0</v>
      </c>
    </row>
    <row r="5132" spans="1:25" ht="15.75" hidden="1" thickBot="1">
      <c r="F5132" s="294" t="s">
        <v>261</v>
      </c>
      <c r="G5132" s="297" t="s">
        <v>262</v>
      </c>
      <c r="H5132" s="638"/>
      <c r="I5132" s="639"/>
      <c r="J5132" s="639">
        <f t="shared" si="161"/>
        <v>0</v>
      </c>
    </row>
    <row r="5133" spans="1:25" ht="15.75" hidden="1" thickBot="1">
      <c r="G5133" s="274" t="s">
        <v>4210</v>
      </c>
      <c r="H5133" s="640">
        <f>SUM(H5117:H5132)</f>
        <v>0</v>
      </c>
      <c r="I5133" s="641">
        <f>SUM(I5118:I5132)</f>
        <v>0</v>
      </c>
      <c r="J5133" s="641">
        <f>SUM(J5117:J5132)</f>
        <v>0</v>
      </c>
    </row>
    <row r="5134" spans="1:25" hidden="1"/>
    <row r="5135" spans="1:25" s="88" customFormat="1" hidden="1">
      <c r="A5135" s="306"/>
      <c r="B5135" s="301"/>
      <c r="C5135" s="361"/>
      <c r="D5135" s="296"/>
      <c r="E5135" s="296"/>
      <c r="F5135" s="309"/>
      <c r="G5135" s="295" t="s">
        <v>4212</v>
      </c>
      <c r="H5135" s="646"/>
      <c r="I5135" s="664"/>
      <c r="J5135" s="647"/>
      <c r="K5135" s="575"/>
      <c r="L5135" s="575"/>
      <c r="M5135" s="575"/>
      <c r="N5135" s="575"/>
      <c r="O5135" s="575"/>
      <c r="P5135" s="575"/>
      <c r="Q5135" s="575"/>
      <c r="R5135" s="575"/>
      <c r="S5135" s="575"/>
      <c r="T5135" s="575"/>
      <c r="U5135" s="575"/>
      <c r="V5135" s="575"/>
      <c r="W5135" s="575"/>
      <c r="X5135" s="575"/>
      <c r="Y5135" s="575"/>
    </row>
    <row r="5136" spans="1:25" s="88" customFormat="1" ht="15.75" hidden="1" thickBot="1">
      <c r="A5136" s="306"/>
      <c r="B5136" s="301"/>
      <c r="C5136" s="361"/>
      <c r="D5136" s="296"/>
      <c r="E5136" s="296"/>
      <c r="F5136" s="294" t="s">
        <v>234</v>
      </c>
      <c r="G5136" s="297" t="s">
        <v>235</v>
      </c>
      <c r="H5136" s="638">
        <f>SUM(H5117,H3611,H3293,H3074,H2434,H1001)</f>
        <v>266682153</v>
      </c>
      <c r="I5136" s="639"/>
      <c r="J5136" s="639">
        <f>SUM(H5136:I5136)</f>
        <v>266682153</v>
      </c>
      <c r="K5136" s="575"/>
      <c r="L5136" s="575"/>
      <c r="M5136" s="575"/>
      <c r="N5136" s="575"/>
      <c r="O5136" s="575"/>
      <c r="P5136" s="575"/>
      <c r="Q5136" s="575"/>
      <c r="R5136" s="575"/>
      <c r="S5136" s="575"/>
      <c r="T5136" s="575"/>
      <c r="U5136" s="575"/>
      <c r="V5136" s="575"/>
      <c r="W5136" s="575"/>
      <c r="X5136" s="575"/>
      <c r="Y5136" s="575"/>
    </row>
    <row r="5137" spans="1:25" s="88" customFormat="1" ht="15.75" hidden="1" thickBot="1">
      <c r="A5137" s="306"/>
      <c r="B5137" s="301"/>
      <c r="C5137" s="361"/>
      <c r="D5137" s="296"/>
      <c r="E5137" s="296"/>
      <c r="F5137" s="294" t="s">
        <v>236</v>
      </c>
      <c r="G5137" s="297" t="s">
        <v>237</v>
      </c>
      <c r="H5137" s="634"/>
      <c r="I5137" s="635"/>
      <c r="J5137" s="639">
        <f t="shared" ref="J5137:J5151" si="162">SUM(H5137:I5137)</f>
        <v>0</v>
      </c>
      <c r="K5137" s="575"/>
      <c r="L5137" s="575"/>
      <c r="M5137" s="575"/>
      <c r="N5137" s="575"/>
      <c r="O5137" s="575"/>
      <c r="P5137" s="575"/>
      <c r="Q5137" s="575"/>
      <c r="R5137" s="575"/>
      <c r="S5137" s="575"/>
      <c r="T5137" s="575"/>
      <c r="U5137" s="575"/>
      <c r="V5137" s="575"/>
      <c r="W5137" s="575"/>
      <c r="X5137" s="575"/>
      <c r="Y5137" s="575"/>
    </row>
    <row r="5138" spans="1:25" s="88" customFormat="1" ht="15.75" hidden="1" thickBot="1">
      <c r="A5138" s="306"/>
      <c r="B5138" s="301"/>
      <c r="C5138" s="361"/>
      <c r="D5138" s="296"/>
      <c r="E5138" s="296"/>
      <c r="F5138" s="294" t="s">
        <v>238</v>
      </c>
      <c r="G5138" s="297" t="s">
        <v>239</v>
      </c>
      <c r="H5138" s="634"/>
      <c r="I5138" s="635"/>
      <c r="J5138" s="639">
        <f t="shared" si="162"/>
        <v>0</v>
      </c>
      <c r="K5138" s="575"/>
      <c r="L5138" s="575"/>
      <c r="M5138" s="575"/>
      <c r="N5138" s="575"/>
      <c r="O5138" s="575"/>
      <c r="P5138" s="575"/>
      <c r="Q5138" s="575"/>
      <c r="R5138" s="575"/>
      <c r="S5138" s="575"/>
      <c r="T5138" s="575"/>
      <c r="U5138" s="575"/>
      <c r="V5138" s="575"/>
      <c r="W5138" s="575"/>
      <c r="X5138" s="575"/>
      <c r="Y5138" s="575"/>
    </row>
    <row r="5139" spans="1:25" s="88" customFormat="1" ht="15.75" hidden="1" thickBot="1">
      <c r="A5139" s="306"/>
      <c r="B5139" s="301"/>
      <c r="C5139" s="361"/>
      <c r="D5139" s="296"/>
      <c r="E5139" s="296"/>
      <c r="F5139" s="294" t="s">
        <v>240</v>
      </c>
      <c r="G5139" s="297" t="s">
        <v>241</v>
      </c>
      <c r="H5139" s="634"/>
      <c r="I5139" s="635"/>
      <c r="J5139" s="639">
        <f t="shared" si="162"/>
        <v>0</v>
      </c>
      <c r="K5139" s="575"/>
      <c r="L5139" s="575"/>
      <c r="M5139" s="575"/>
      <c r="N5139" s="575"/>
      <c r="O5139" s="575"/>
      <c r="P5139" s="575"/>
      <c r="Q5139" s="575"/>
      <c r="R5139" s="575"/>
      <c r="S5139" s="575"/>
      <c r="T5139" s="575"/>
      <c r="U5139" s="575"/>
      <c r="V5139" s="575"/>
      <c r="W5139" s="575"/>
      <c r="X5139" s="575"/>
      <c r="Y5139" s="575"/>
    </row>
    <row r="5140" spans="1:25" s="88" customFormat="1" ht="15.75" hidden="1" thickBot="1">
      <c r="A5140" s="306"/>
      <c r="B5140" s="301"/>
      <c r="C5140" s="361"/>
      <c r="D5140" s="296"/>
      <c r="E5140" s="296"/>
      <c r="F5140" s="294" t="s">
        <v>242</v>
      </c>
      <c r="G5140" s="297" t="s">
        <v>243</v>
      </c>
      <c r="H5140" s="634"/>
      <c r="I5140" s="635"/>
      <c r="J5140" s="639">
        <f t="shared" si="162"/>
        <v>0</v>
      </c>
      <c r="K5140" s="575"/>
      <c r="L5140" s="575"/>
      <c r="M5140" s="575"/>
      <c r="N5140" s="575"/>
      <c r="O5140" s="575"/>
      <c r="P5140" s="575"/>
      <c r="Q5140" s="575"/>
      <c r="R5140" s="575"/>
      <c r="S5140" s="575"/>
      <c r="T5140" s="575"/>
      <c r="U5140" s="575"/>
      <c r="V5140" s="575"/>
      <c r="W5140" s="575"/>
      <c r="X5140" s="575"/>
      <c r="Y5140" s="575"/>
    </row>
    <row r="5141" spans="1:25" s="88" customFormat="1" ht="15.75" hidden="1" thickBot="1">
      <c r="A5141" s="306"/>
      <c r="B5141" s="301"/>
      <c r="C5141" s="361"/>
      <c r="D5141" s="296"/>
      <c r="E5141" s="296"/>
      <c r="F5141" s="294" t="s">
        <v>244</v>
      </c>
      <c r="G5141" s="297" t="s">
        <v>245</v>
      </c>
      <c r="H5141" s="634"/>
      <c r="I5141" s="635"/>
      <c r="J5141" s="639">
        <f t="shared" si="162"/>
        <v>0</v>
      </c>
      <c r="K5141" s="575"/>
      <c r="L5141" s="575"/>
      <c r="M5141" s="575"/>
      <c r="N5141" s="575"/>
      <c r="O5141" s="575"/>
      <c r="P5141" s="575"/>
      <c r="Q5141" s="575"/>
      <c r="R5141" s="575"/>
      <c r="S5141" s="575"/>
      <c r="T5141" s="575"/>
      <c r="U5141" s="575"/>
      <c r="V5141" s="575"/>
      <c r="W5141" s="575"/>
      <c r="X5141" s="575"/>
      <c r="Y5141" s="575"/>
    </row>
    <row r="5142" spans="1:25" s="88" customFormat="1" ht="15.75" hidden="1" thickBot="1">
      <c r="A5142" s="306"/>
      <c r="B5142" s="301"/>
      <c r="C5142" s="361"/>
      <c r="D5142" s="296"/>
      <c r="E5142" s="296"/>
      <c r="F5142" s="294" t="s">
        <v>246</v>
      </c>
      <c r="G5142" s="683" t="s">
        <v>5121</v>
      </c>
      <c r="H5142" s="634"/>
      <c r="I5142" s="635"/>
      <c r="J5142" s="639">
        <f t="shared" si="162"/>
        <v>0</v>
      </c>
      <c r="K5142" s="575"/>
      <c r="L5142" s="575"/>
      <c r="M5142" s="575"/>
      <c r="N5142" s="575"/>
      <c r="O5142" s="575"/>
      <c r="P5142" s="575"/>
      <c r="Q5142" s="575"/>
      <c r="R5142" s="575"/>
      <c r="S5142" s="575"/>
      <c r="T5142" s="575"/>
      <c r="U5142" s="575"/>
      <c r="V5142" s="575"/>
      <c r="W5142" s="575"/>
      <c r="X5142" s="575"/>
      <c r="Y5142" s="575"/>
    </row>
    <row r="5143" spans="1:25" s="88" customFormat="1" ht="15.75" hidden="1" thickBot="1">
      <c r="A5143" s="306"/>
      <c r="B5143" s="301"/>
      <c r="C5143" s="361"/>
      <c r="D5143" s="296"/>
      <c r="E5143" s="296"/>
      <c r="F5143" s="294" t="s">
        <v>247</v>
      </c>
      <c r="G5143" s="683" t="s">
        <v>5120</v>
      </c>
      <c r="H5143" s="634"/>
      <c r="I5143" s="635"/>
      <c r="J5143" s="639">
        <f t="shared" si="162"/>
        <v>0</v>
      </c>
      <c r="K5143" s="575"/>
      <c r="L5143" s="575"/>
      <c r="M5143" s="575"/>
      <c r="N5143" s="575"/>
      <c r="O5143" s="575"/>
      <c r="P5143" s="575"/>
      <c r="Q5143" s="575"/>
      <c r="R5143" s="575"/>
      <c r="S5143" s="575"/>
      <c r="T5143" s="575"/>
      <c r="U5143" s="575"/>
      <c r="V5143" s="575"/>
      <c r="W5143" s="575"/>
      <c r="X5143" s="575"/>
      <c r="Y5143" s="575"/>
    </row>
    <row r="5144" spans="1:25" s="88" customFormat="1" ht="15.75" hidden="1" thickBot="1">
      <c r="A5144" s="306"/>
      <c r="B5144" s="301"/>
      <c r="C5144" s="361"/>
      <c r="D5144" s="296"/>
      <c r="E5144" s="296"/>
      <c r="F5144" s="294" t="s">
        <v>248</v>
      </c>
      <c r="G5144" s="297" t="s">
        <v>57</v>
      </c>
      <c r="H5144" s="634"/>
      <c r="I5144" s="635"/>
      <c r="J5144" s="639">
        <f t="shared" si="162"/>
        <v>0</v>
      </c>
      <c r="K5144" s="575"/>
      <c r="L5144" s="575"/>
      <c r="M5144" s="575"/>
      <c r="N5144" s="575"/>
      <c r="O5144" s="575"/>
      <c r="P5144" s="575"/>
      <c r="Q5144" s="575"/>
      <c r="R5144" s="575"/>
      <c r="S5144" s="575"/>
      <c r="T5144" s="575"/>
      <c r="U5144" s="575"/>
      <c r="V5144" s="575"/>
      <c r="W5144" s="575"/>
      <c r="X5144" s="575"/>
      <c r="Y5144" s="575"/>
    </row>
    <row r="5145" spans="1:25" s="88" customFormat="1" ht="15.75" hidden="1" thickBot="1">
      <c r="A5145" s="306"/>
      <c r="B5145" s="301"/>
      <c r="C5145" s="361"/>
      <c r="D5145" s="296"/>
      <c r="E5145" s="296"/>
      <c r="F5145" s="294" t="s">
        <v>249</v>
      </c>
      <c r="G5145" s="297" t="s">
        <v>250</v>
      </c>
      <c r="H5145" s="634"/>
      <c r="I5145" s="635"/>
      <c r="J5145" s="639">
        <f t="shared" si="162"/>
        <v>0</v>
      </c>
      <c r="K5145" s="575"/>
      <c r="L5145" s="575"/>
      <c r="M5145" s="575"/>
      <c r="N5145" s="575"/>
      <c r="O5145" s="575"/>
      <c r="P5145" s="575"/>
      <c r="Q5145" s="575"/>
      <c r="R5145" s="575"/>
      <c r="S5145" s="575"/>
      <c r="T5145" s="575"/>
      <c r="U5145" s="575"/>
      <c r="V5145" s="575"/>
      <c r="W5145" s="575"/>
      <c r="X5145" s="575"/>
      <c r="Y5145" s="575"/>
    </row>
    <row r="5146" spans="1:25" s="88" customFormat="1" ht="15.75" hidden="1" thickBot="1">
      <c r="A5146" s="306"/>
      <c r="B5146" s="301"/>
      <c r="C5146" s="361"/>
      <c r="D5146" s="296"/>
      <c r="E5146" s="296"/>
      <c r="F5146" s="294" t="s">
        <v>251</v>
      </c>
      <c r="G5146" s="297" t="s">
        <v>252</v>
      </c>
      <c r="H5146" s="634"/>
      <c r="I5146" s="635"/>
      <c r="J5146" s="639">
        <f t="shared" si="162"/>
        <v>0</v>
      </c>
      <c r="K5146" s="575"/>
      <c r="L5146" s="575"/>
      <c r="M5146" s="575"/>
      <c r="N5146" s="575"/>
      <c r="O5146" s="575"/>
      <c r="P5146" s="575"/>
      <c r="Q5146" s="575"/>
      <c r="R5146" s="575"/>
      <c r="S5146" s="575"/>
      <c r="T5146" s="575"/>
      <c r="U5146" s="575"/>
      <c r="V5146" s="575"/>
      <c r="W5146" s="575"/>
      <c r="X5146" s="575"/>
      <c r="Y5146" s="575"/>
    </row>
    <row r="5147" spans="1:25" s="88" customFormat="1" ht="15.75" hidden="1" thickBot="1">
      <c r="A5147" s="306"/>
      <c r="B5147" s="301"/>
      <c r="C5147" s="361"/>
      <c r="D5147" s="296"/>
      <c r="E5147" s="296"/>
      <c r="F5147" s="294" t="s">
        <v>253</v>
      </c>
      <c r="G5147" s="297" t="s">
        <v>254</v>
      </c>
      <c r="H5147" s="634"/>
      <c r="I5147" s="635"/>
      <c r="J5147" s="639">
        <f t="shared" si="162"/>
        <v>0</v>
      </c>
      <c r="K5147" s="575"/>
      <c r="L5147" s="575"/>
      <c r="M5147" s="575"/>
      <c r="N5147" s="575"/>
      <c r="O5147" s="575"/>
      <c r="P5147" s="575"/>
      <c r="Q5147" s="575"/>
      <c r="R5147" s="575"/>
      <c r="S5147" s="575"/>
      <c r="T5147" s="575"/>
      <c r="U5147" s="575"/>
      <c r="V5147" s="575"/>
      <c r="W5147" s="575"/>
      <c r="X5147" s="575"/>
      <c r="Y5147" s="575"/>
    </row>
    <row r="5148" spans="1:25" s="88" customFormat="1" ht="15.75" hidden="1" thickBot="1">
      <c r="A5148" s="306"/>
      <c r="B5148" s="301"/>
      <c r="C5148" s="361"/>
      <c r="D5148" s="296"/>
      <c r="E5148" s="296"/>
      <c r="F5148" s="294" t="s">
        <v>255</v>
      </c>
      <c r="G5148" s="297" t="s">
        <v>256</v>
      </c>
      <c r="H5148" s="634"/>
      <c r="I5148" s="635"/>
      <c r="J5148" s="639">
        <f t="shared" si="162"/>
        <v>0</v>
      </c>
      <c r="K5148" s="575"/>
      <c r="L5148" s="575"/>
      <c r="M5148" s="575"/>
      <c r="N5148" s="575"/>
      <c r="O5148" s="575"/>
      <c r="P5148" s="575"/>
      <c r="Q5148" s="575"/>
      <c r="R5148" s="575"/>
      <c r="S5148" s="575"/>
      <c r="T5148" s="575"/>
      <c r="U5148" s="575"/>
      <c r="V5148" s="575"/>
      <c r="W5148" s="575"/>
      <c r="X5148" s="575"/>
      <c r="Y5148" s="575"/>
    </row>
    <row r="5149" spans="1:25" s="88" customFormat="1" ht="15.75" hidden="1" thickBot="1">
      <c r="A5149" s="306"/>
      <c r="B5149" s="301"/>
      <c r="C5149" s="361"/>
      <c r="D5149" s="296"/>
      <c r="E5149" s="296"/>
      <c r="F5149" s="294" t="s">
        <v>257</v>
      </c>
      <c r="G5149" s="297" t="s">
        <v>258</v>
      </c>
      <c r="H5149" s="634"/>
      <c r="I5149" s="635"/>
      <c r="J5149" s="639">
        <f t="shared" si="162"/>
        <v>0</v>
      </c>
      <c r="K5149" s="575"/>
      <c r="L5149" s="575"/>
      <c r="M5149" s="575"/>
      <c r="N5149" s="575"/>
      <c r="O5149" s="575"/>
      <c r="P5149" s="575"/>
      <c r="Q5149" s="575"/>
      <c r="R5149" s="575"/>
      <c r="S5149" s="575"/>
      <c r="T5149" s="575"/>
      <c r="U5149" s="575"/>
      <c r="V5149" s="575"/>
      <c r="W5149" s="575"/>
      <c r="X5149" s="575"/>
      <c r="Y5149" s="575"/>
    </row>
    <row r="5150" spans="1:25" s="88" customFormat="1" ht="15.75" hidden="1" thickBot="1">
      <c r="A5150" s="306"/>
      <c r="B5150" s="301"/>
      <c r="C5150" s="361"/>
      <c r="D5150" s="296"/>
      <c r="E5150" s="296"/>
      <c r="F5150" s="294" t="s">
        <v>259</v>
      </c>
      <c r="G5150" s="297" t="s">
        <v>260</v>
      </c>
      <c r="H5150" s="634"/>
      <c r="I5150" s="635"/>
      <c r="J5150" s="639">
        <f t="shared" si="162"/>
        <v>0</v>
      </c>
      <c r="K5150" s="575"/>
      <c r="L5150" s="575"/>
      <c r="M5150" s="575"/>
      <c r="N5150" s="575"/>
      <c r="O5150" s="575"/>
      <c r="P5150" s="575"/>
      <c r="Q5150" s="575"/>
      <c r="R5150" s="575"/>
      <c r="S5150" s="575"/>
      <c r="T5150" s="575"/>
      <c r="U5150" s="575"/>
      <c r="V5150" s="575"/>
      <c r="W5150" s="575"/>
      <c r="X5150" s="575"/>
      <c r="Y5150" s="575"/>
    </row>
    <row r="5151" spans="1:25" s="88" customFormat="1" ht="15.75" hidden="1" thickBot="1">
      <c r="A5151" s="306"/>
      <c r="B5151" s="301"/>
      <c r="C5151" s="361"/>
      <c r="D5151" s="296"/>
      <c r="E5151" s="296"/>
      <c r="F5151" s="294" t="s">
        <v>261</v>
      </c>
      <c r="G5151" s="297" t="s">
        <v>262</v>
      </c>
      <c r="H5151" s="638"/>
      <c r="I5151" s="639"/>
      <c r="J5151" s="639">
        <f t="shared" si="162"/>
        <v>0</v>
      </c>
      <c r="K5151" s="575"/>
      <c r="L5151" s="575"/>
      <c r="M5151" s="575"/>
      <c r="N5151" s="575"/>
      <c r="O5151" s="575"/>
      <c r="P5151" s="575"/>
      <c r="Q5151" s="575"/>
      <c r="R5151" s="575"/>
      <c r="S5151" s="575"/>
      <c r="T5151" s="575"/>
      <c r="U5151" s="575"/>
      <c r="V5151" s="575"/>
      <c r="W5151" s="575"/>
      <c r="X5151" s="575"/>
      <c r="Y5151" s="575"/>
    </row>
    <row r="5152" spans="1:25" s="88" customFormat="1" ht="15.75" hidden="1" thickBot="1">
      <c r="A5152" s="306"/>
      <c r="B5152" s="301"/>
      <c r="C5152" s="361"/>
      <c r="D5152" s="296"/>
      <c r="E5152" s="296"/>
      <c r="F5152" s="263"/>
      <c r="G5152" s="274" t="s">
        <v>4213</v>
      </c>
      <c r="H5152" s="640">
        <f>SUM(H5136:H5151)</f>
        <v>266682153</v>
      </c>
      <c r="I5152" s="641">
        <f>SUM(I5137:I5151)</f>
        <v>0</v>
      </c>
      <c r="J5152" s="641">
        <f>SUM(J5136:J5151)</f>
        <v>266682153</v>
      </c>
      <c r="K5152" s="575"/>
      <c r="L5152" s="575"/>
      <c r="M5152" s="575"/>
      <c r="N5152" s="575"/>
      <c r="O5152" s="575"/>
      <c r="P5152" s="575"/>
      <c r="Q5152" s="575"/>
      <c r="R5152" s="575"/>
      <c r="S5152" s="575"/>
      <c r="T5152" s="575"/>
      <c r="U5152" s="575"/>
      <c r="V5152" s="575"/>
      <c r="W5152" s="575"/>
      <c r="X5152" s="575"/>
      <c r="Y5152" s="575"/>
    </row>
    <row r="5153" spans="1:25" hidden="1"/>
    <row r="5154" spans="1:25" s="88" customFormat="1" hidden="1">
      <c r="C5154" s="363"/>
      <c r="G5154" s="320"/>
      <c r="H5154" s="655"/>
      <c r="I5154" s="656"/>
      <c r="J5154" s="656"/>
      <c r="K5154" s="575"/>
      <c r="L5154" s="575"/>
      <c r="M5154" s="575"/>
      <c r="N5154" s="575"/>
      <c r="O5154" s="575"/>
      <c r="P5154" s="575"/>
      <c r="Q5154" s="575"/>
      <c r="R5154" s="575"/>
      <c r="S5154" s="575"/>
      <c r="T5154" s="575"/>
      <c r="U5154" s="575"/>
      <c r="V5154" s="575"/>
      <c r="W5154" s="575"/>
      <c r="X5154" s="575"/>
      <c r="Y5154" s="575"/>
    </row>
    <row r="5155" spans="1:25" s="88" customFormat="1" hidden="1">
      <c r="A5155" s="324">
        <v>4</v>
      </c>
      <c r="B5155" s="325">
        <v>2</v>
      </c>
      <c r="C5155" s="367"/>
      <c r="D5155" s="326"/>
      <c r="E5155" s="327"/>
      <c r="F5155" s="327"/>
      <c r="G5155" s="328" t="s">
        <v>4273</v>
      </c>
      <c r="H5155" s="669"/>
      <c r="I5155" s="670"/>
      <c r="J5155" s="657"/>
      <c r="K5155" s="575"/>
      <c r="L5155" s="575"/>
      <c r="M5155" s="575"/>
      <c r="N5155" s="575"/>
      <c r="O5155" s="575"/>
      <c r="P5155" s="575"/>
      <c r="Q5155" s="575"/>
      <c r="R5155" s="575"/>
      <c r="S5155" s="575"/>
      <c r="T5155" s="575"/>
      <c r="U5155" s="575"/>
      <c r="V5155" s="575"/>
      <c r="W5155" s="575"/>
      <c r="X5155" s="575"/>
      <c r="Y5155" s="575"/>
    </row>
    <row r="5156" spans="1:25" hidden="1">
      <c r="C5156" s="273" t="s">
        <v>3600</v>
      </c>
      <c r="G5156" s="339" t="s">
        <v>4172</v>
      </c>
    </row>
    <row r="5157" spans="1:25" hidden="1">
      <c r="C5157" s="368" t="s">
        <v>4138</v>
      </c>
      <c r="G5157" s="339" t="s">
        <v>4139</v>
      </c>
    </row>
    <row r="5158" spans="1:25" hidden="1">
      <c r="C5158" s="273"/>
      <c r="D5158" s="357">
        <v>160</v>
      </c>
      <c r="E5158" s="357"/>
      <c r="F5158" s="357"/>
      <c r="G5158" s="359" t="s">
        <v>3913</v>
      </c>
    </row>
    <row r="5159" spans="1:25" hidden="1">
      <c r="F5159" s="263">
        <v>4631</v>
      </c>
      <c r="G5159" s="275" t="s">
        <v>3813</v>
      </c>
    </row>
    <row r="5160" spans="1:25" ht="15.75" hidden="1" thickBot="1">
      <c r="F5160" s="263">
        <v>4632</v>
      </c>
      <c r="G5160" s="275" t="s">
        <v>3814</v>
      </c>
    </row>
    <row r="5161" spans="1:25" hidden="1">
      <c r="E5161" s="338"/>
      <c r="F5161" s="346"/>
      <c r="G5161" s="372" t="s">
        <v>4391</v>
      </c>
      <c r="H5161" s="636"/>
      <c r="I5161" s="662"/>
      <c r="J5161" s="637"/>
    </row>
    <row r="5162" spans="1:25" ht="15.75" hidden="1" thickBot="1">
      <c r="E5162" s="267"/>
      <c r="F5162" s="294" t="s">
        <v>234</v>
      </c>
      <c r="G5162" s="297" t="s">
        <v>235</v>
      </c>
      <c r="H5162" s="638">
        <f>SUM(H5159:H5160)</f>
        <v>0</v>
      </c>
      <c r="I5162" s="639"/>
      <c r="J5162" s="639">
        <f t="shared" ref="J5162:J5177" si="163">SUM(H5162:I5162)</f>
        <v>0</v>
      </c>
    </row>
    <row r="5163" spans="1:25" ht="15.75" hidden="1" thickBot="1">
      <c r="F5163" s="294" t="s">
        <v>236</v>
      </c>
      <c r="G5163" s="297" t="s">
        <v>237</v>
      </c>
      <c r="J5163" s="639">
        <f t="shared" si="163"/>
        <v>0</v>
      </c>
    </row>
    <row r="5164" spans="1:25" ht="15.75" hidden="1" thickBot="1">
      <c r="F5164" s="294" t="s">
        <v>238</v>
      </c>
      <c r="G5164" s="297" t="s">
        <v>239</v>
      </c>
      <c r="J5164" s="639">
        <f t="shared" si="163"/>
        <v>0</v>
      </c>
    </row>
    <row r="5165" spans="1:25" ht="15.75" hidden="1" thickBot="1">
      <c r="F5165" s="294" t="s">
        <v>240</v>
      </c>
      <c r="G5165" s="297" t="s">
        <v>241</v>
      </c>
      <c r="J5165" s="639">
        <f t="shared" si="163"/>
        <v>0</v>
      </c>
    </row>
    <row r="5166" spans="1:25" ht="15.75" hidden="1" thickBot="1">
      <c r="F5166" s="294" t="s">
        <v>242</v>
      </c>
      <c r="G5166" s="297" t="s">
        <v>243</v>
      </c>
      <c r="J5166" s="639">
        <f t="shared" si="163"/>
        <v>0</v>
      </c>
    </row>
    <row r="5167" spans="1:25" ht="15.75" hidden="1" thickBot="1">
      <c r="F5167" s="294" t="s">
        <v>244</v>
      </c>
      <c r="G5167" s="297" t="s">
        <v>245</v>
      </c>
      <c r="J5167" s="639">
        <f t="shared" si="163"/>
        <v>0</v>
      </c>
    </row>
    <row r="5168" spans="1:25" ht="15.75" hidden="1" thickBot="1">
      <c r="F5168" s="294" t="s">
        <v>246</v>
      </c>
      <c r="G5168" s="683" t="s">
        <v>5121</v>
      </c>
      <c r="J5168" s="639">
        <f t="shared" si="163"/>
        <v>0</v>
      </c>
    </row>
    <row r="5169" spans="6:10" ht="15.75" hidden="1" thickBot="1">
      <c r="F5169" s="294" t="s">
        <v>247</v>
      </c>
      <c r="G5169" s="683" t="s">
        <v>5120</v>
      </c>
      <c r="J5169" s="639">
        <f t="shared" si="163"/>
        <v>0</v>
      </c>
    </row>
    <row r="5170" spans="6:10" ht="15.75" hidden="1" thickBot="1">
      <c r="F5170" s="294" t="s">
        <v>248</v>
      </c>
      <c r="G5170" s="297" t="s">
        <v>57</v>
      </c>
      <c r="J5170" s="639">
        <f t="shared" si="163"/>
        <v>0</v>
      </c>
    </row>
    <row r="5171" spans="6:10" ht="15.75" hidden="1" thickBot="1">
      <c r="F5171" s="294" t="s">
        <v>249</v>
      </c>
      <c r="G5171" s="297" t="s">
        <v>250</v>
      </c>
      <c r="J5171" s="639">
        <f t="shared" si="163"/>
        <v>0</v>
      </c>
    </row>
    <row r="5172" spans="6:10" ht="15.75" hidden="1" thickBot="1">
      <c r="F5172" s="294" t="s">
        <v>251</v>
      </c>
      <c r="G5172" s="297" t="s">
        <v>252</v>
      </c>
      <c r="J5172" s="639">
        <f t="shared" si="163"/>
        <v>0</v>
      </c>
    </row>
    <row r="5173" spans="6:10" ht="15.75" hidden="1" thickBot="1">
      <c r="F5173" s="294" t="s">
        <v>253</v>
      </c>
      <c r="G5173" s="297" t="s">
        <v>254</v>
      </c>
      <c r="J5173" s="639">
        <f t="shared" si="163"/>
        <v>0</v>
      </c>
    </row>
    <row r="5174" spans="6:10" ht="15.75" hidden="1" thickBot="1">
      <c r="F5174" s="294" t="s">
        <v>255</v>
      </c>
      <c r="G5174" s="297" t="s">
        <v>256</v>
      </c>
      <c r="J5174" s="639">
        <f t="shared" si="163"/>
        <v>0</v>
      </c>
    </row>
    <row r="5175" spans="6:10" ht="15.75" hidden="1" thickBot="1">
      <c r="F5175" s="294" t="s">
        <v>257</v>
      </c>
      <c r="G5175" s="297" t="s">
        <v>258</v>
      </c>
      <c r="J5175" s="639">
        <f t="shared" si="163"/>
        <v>0</v>
      </c>
    </row>
    <row r="5176" spans="6:10" ht="15.75" hidden="1" thickBot="1">
      <c r="F5176" s="294" t="s">
        <v>259</v>
      </c>
      <c r="G5176" s="297" t="s">
        <v>260</v>
      </c>
      <c r="J5176" s="639">
        <f t="shared" si="163"/>
        <v>0</v>
      </c>
    </row>
    <row r="5177" spans="6:10" ht="15.75" hidden="1" thickBot="1">
      <c r="F5177" s="294" t="s">
        <v>261</v>
      </c>
      <c r="G5177" s="297" t="s">
        <v>262</v>
      </c>
      <c r="H5177" s="638"/>
      <c r="I5177" s="639"/>
      <c r="J5177" s="639">
        <f t="shared" si="163"/>
        <v>0</v>
      </c>
    </row>
    <row r="5178" spans="6:10" ht="15.75" hidden="1" thickBot="1">
      <c r="G5178" s="274" t="s">
        <v>4392</v>
      </c>
      <c r="H5178" s="640">
        <f>SUM(H5162:H5177)</f>
        <v>0</v>
      </c>
      <c r="I5178" s="641">
        <f>SUM(I5163:I5177)</f>
        <v>0</v>
      </c>
      <c r="J5178" s="641">
        <f>SUM(J5162:J5177)</f>
        <v>0</v>
      </c>
    </row>
    <row r="5179" spans="6:10" hidden="1">
      <c r="F5179" s="309"/>
      <c r="G5179" s="276" t="s">
        <v>4215</v>
      </c>
      <c r="H5179" s="642"/>
      <c r="I5179" s="663"/>
      <c r="J5179" s="643"/>
    </row>
    <row r="5180" spans="6:10" ht="15.75" hidden="1" thickBot="1">
      <c r="F5180" s="294" t="s">
        <v>234</v>
      </c>
      <c r="G5180" s="297" t="s">
        <v>235</v>
      </c>
      <c r="H5180" s="638">
        <f>SUM(H5159:H5160)</f>
        <v>0</v>
      </c>
      <c r="I5180" s="639"/>
      <c r="J5180" s="639">
        <f>SUM(H5180:I5180)</f>
        <v>0</v>
      </c>
    </row>
    <row r="5181" spans="6:10" ht="15.75" hidden="1" thickBot="1">
      <c r="F5181" s="294" t="s">
        <v>236</v>
      </c>
      <c r="G5181" s="297" t="s">
        <v>237</v>
      </c>
      <c r="J5181" s="639">
        <f t="shared" ref="J5181:J5195" si="164">SUM(H5181:I5181)</f>
        <v>0</v>
      </c>
    </row>
    <row r="5182" spans="6:10" ht="15.75" hidden="1" thickBot="1">
      <c r="F5182" s="294" t="s">
        <v>238</v>
      </c>
      <c r="G5182" s="297" t="s">
        <v>239</v>
      </c>
      <c r="J5182" s="639">
        <f t="shared" si="164"/>
        <v>0</v>
      </c>
    </row>
    <row r="5183" spans="6:10" ht="15.75" hidden="1" thickBot="1">
      <c r="F5183" s="294" t="s">
        <v>240</v>
      </c>
      <c r="G5183" s="297" t="s">
        <v>241</v>
      </c>
      <c r="J5183" s="639">
        <f t="shared" si="164"/>
        <v>0</v>
      </c>
    </row>
    <row r="5184" spans="6:10" ht="15.75" hidden="1" thickBot="1">
      <c r="F5184" s="294" t="s">
        <v>242</v>
      </c>
      <c r="G5184" s="297" t="s">
        <v>243</v>
      </c>
      <c r="J5184" s="639">
        <f t="shared" si="164"/>
        <v>0</v>
      </c>
    </row>
    <row r="5185" spans="5:10" ht="15.75" hidden="1" thickBot="1">
      <c r="F5185" s="294" t="s">
        <v>244</v>
      </c>
      <c r="G5185" s="297" t="s">
        <v>245</v>
      </c>
      <c r="J5185" s="639">
        <f t="shared" si="164"/>
        <v>0</v>
      </c>
    </row>
    <row r="5186" spans="5:10" ht="15.75" hidden="1" thickBot="1">
      <c r="F5186" s="294" t="s">
        <v>246</v>
      </c>
      <c r="G5186" s="683" t="s">
        <v>5121</v>
      </c>
      <c r="J5186" s="639">
        <f t="shared" si="164"/>
        <v>0</v>
      </c>
    </row>
    <row r="5187" spans="5:10" ht="15.75" hidden="1" thickBot="1">
      <c r="F5187" s="294" t="s">
        <v>247</v>
      </c>
      <c r="G5187" s="683" t="s">
        <v>5120</v>
      </c>
      <c r="J5187" s="639">
        <f t="shared" si="164"/>
        <v>0</v>
      </c>
    </row>
    <row r="5188" spans="5:10" ht="15.75" hidden="1" thickBot="1">
      <c r="F5188" s="294" t="s">
        <v>248</v>
      </c>
      <c r="G5188" s="297" t="s">
        <v>57</v>
      </c>
      <c r="J5188" s="639">
        <f t="shared" si="164"/>
        <v>0</v>
      </c>
    </row>
    <row r="5189" spans="5:10" ht="15.75" hidden="1" thickBot="1">
      <c r="F5189" s="294" t="s">
        <v>249</v>
      </c>
      <c r="G5189" s="297" t="s">
        <v>250</v>
      </c>
      <c r="J5189" s="639">
        <f t="shared" si="164"/>
        <v>0</v>
      </c>
    </row>
    <row r="5190" spans="5:10" ht="15.75" hidden="1" thickBot="1">
      <c r="F5190" s="294" t="s">
        <v>251</v>
      </c>
      <c r="G5190" s="297" t="s">
        <v>252</v>
      </c>
      <c r="J5190" s="639">
        <f t="shared" si="164"/>
        <v>0</v>
      </c>
    </row>
    <row r="5191" spans="5:10" ht="15.75" hidden="1" thickBot="1">
      <c r="F5191" s="294" t="s">
        <v>253</v>
      </c>
      <c r="G5191" s="297" t="s">
        <v>254</v>
      </c>
      <c r="J5191" s="639">
        <f t="shared" si="164"/>
        <v>0</v>
      </c>
    </row>
    <row r="5192" spans="5:10" ht="15.75" hidden="1" thickBot="1">
      <c r="F5192" s="294" t="s">
        <v>255</v>
      </c>
      <c r="G5192" s="297" t="s">
        <v>256</v>
      </c>
      <c r="J5192" s="639">
        <f t="shared" si="164"/>
        <v>0</v>
      </c>
    </row>
    <row r="5193" spans="5:10" ht="15.75" hidden="1" thickBot="1">
      <c r="F5193" s="294" t="s">
        <v>257</v>
      </c>
      <c r="G5193" s="297" t="s">
        <v>258</v>
      </c>
      <c r="J5193" s="639">
        <f t="shared" si="164"/>
        <v>0</v>
      </c>
    </row>
    <row r="5194" spans="5:10" ht="15.75" hidden="1" thickBot="1">
      <c r="F5194" s="294" t="s">
        <v>259</v>
      </c>
      <c r="G5194" s="297" t="s">
        <v>260</v>
      </c>
      <c r="J5194" s="639">
        <f t="shared" si="164"/>
        <v>0</v>
      </c>
    </row>
    <row r="5195" spans="5:10" ht="15.75" hidden="1" thickBot="1">
      <c r="F5195" s="294" t="s">
        <v>261</v>
      </c>
      <c r="G5195" s="297" t="s">
        <v>262</v>
      </c>
      <c r="H5195" s="638"/>
      <c r="I5195" s="639"/>
      <c r="J5195" s="639">
        <f t="shared" si="164"/>
        <v>0</v>
      </c>
    </row>
    <row r="5196" spans="5:10" ht="15.75" hidden="1" thickBot="1">
      <c r="G5196" s="274" t="s">
        <v>4214</v>
      </c>
      <c r="H5196" s="640">
        <f>SUM(H5180:H5195)</f>
        <v>0</v>
      </c>
      <c r="I5196" s="641">
        <f>SUM(I5181:I5195)</f>
        <v>0</v>
      </c>
      <c r="J5196" s="641">
        <f>SUM(J5180:J5195)</f>
        <v>0</v>
      </c>
    </row>
    <row r="5197" spans="5:10" hidden="1"/>
    <row r="5198" spans="5:10" hidden="1">
      <c r="E5198" s="338"/>
      <c r="F5198" s="346"/>
      <c r="G5198" s="295" t="s">
        <v>4209</v>
      </c>
      <c r="H5198" s="646"/>
      <c r="I5198" s="664"/>
      <c r="J5198" s="647"/>
    </row>
    <row r="5199" spans="5:10" ht="15.75" hidden="1" thickBot="1">
      <c r="E5199" s="267"/>
      <c r="F5199" s="294" t="s">
        <v>234</v>
      </c>
      <c r="G5199" s="297" t="s">
        <v>235</v>
      </c>
      <c r="H5199" s="638">
        <f>SUM(H5180)</f>
        <v>0</v>
      </c>
      <c r="I5199" s="639"/>
      <c r="J5199" s="639">
        <f>SUM(H5199:I5199)</f>
        <v>0</v>
      </c>
    </row>
    <row r="5200" spans="5:10" ht="15.75" hidden="1" thickBot="1">
      <c r="F5200" s="294" t="s">
        <v>236</v>
      </c>
      <c r="G5200" s="297" t="s">
        <v>237</v>
      </c>
      <c r="J5200" s="639">
        <f t="shared" ref="J5200:J5214" si="165">SUM(H5200:I5200)</f>
        <v>0</v>
      </c>
    </row>
    <row r="5201" spans="6:10" ht="15.75" hidden="1" thickBot="1">
      <c r="F5201" s="294" t="s">
        <v>238</v>
      </c>
      <c r="G5201" s="297" t="s">
        <v>239</v>
      </c>
      <c r="J5201" s="639">
        <f t="shared" si="165"/>
        <v>0</v>
      </c>
    </row>
    <row r="5202" spans="6:10" ht="15.75" hidden="1" thickBot="1">
      <c r="F5202" s="294" t="s">
        <v>240</v>
      </c>
      <c r="G5202" s="297" t="s">
        <v>241</v>
      </c>
      <c r="J5202" s="639">
        <f t="shared" si="165"/>
        <v>0</v>
      </c>
    </row>
    <row r="5203" spans="6:10" ht="15.75" hidden="1" thickBot="1">
      <c r="F5203" s="294" t="s">
        <v>242</v>
      </c>
      <c r="G5203" s="297" t="s">
        <v>243</v>
      </c>
      <c r="J5203" s="639">
        <f t="shared" si="165"/>
        <v>0</v>
      </c>
    </row>
    <row r="5204" spans="6:10" ht="15.75" hidden="1" thickBot="1">
      <c r="F5204" s="294" t="s">
        <v>244</v>
      </c>
      <c r="G5204" s="297" t="s">
        <v>245</v>
      </c>
      <c r="J5204" s="639">
        <f t="shared" si="165"/>
        <v>0</v>
      </c>
    </row>
    <row r="5205" spans="6:10" ht="15.75" hidden="1" thickBot="1">
      <c r="F5205" s="294" t="s">
        <v>246</v>
      </c>
      <c r="G5205" s="683" t="s">
        <v>5121</v>
      </c>
      <c r="J5205" s="639">
        <f t="shared" si="165"/>
        <v>0</v>
      </c>
    </row>
    <row r="5206" spans="6:10" ht="15.75" hidden="1" thickBot="1">
      <c r="F5206" s="294" t="s">
        <v>247</v>
      </c>
      <c r="G5206" s="683" t="s">
        <v>5120</v>
      </c>
      <c r="J5206" s="639">
        <f t="shared" si="165"/>
        <v>0</v>
      </c>
    </row>
    <row r="5207" spans="6:10" ht="15.75" hidden="1" thickBot="1">
      <c r="F5207" s="294" t="s">
        <v>248</v>
      </c>
      <c r="G5207" s="297" t="s">
        <v>57</v>
      </c>
      <c r="J5207" s="639">
        <f t="shared" si="165"/>
        <v>0</v>
      </c>
    </row>
    <row r="5208" spans="6:10" ht="15.75" hidden="1" thickBot="1">
      <c r="F5208" s="294" t="s">
        <v>249</v>
      </c>
      <c r="G5208" s="297" t="s">
        <v>250</v>
      </c>
      <c r="J5208" s="639">
        <f t="shared" si="165"/>
        <v>0</v>
      </c>
    </row>
    <row r="5209" spans="6:10" ht="15.75" hidden="1" thickBot="1">
      <c r="F5209" s="294" t="s">
        <v>251</v>
      </c>
      <c r="G5209" s="297" t="s">
        <v>252</v>
      </c>
      <c r="J5209" s="639">
        <f t="shared" si="165"/>
        <v>0</v>
      </c>
    </row>
    <row r="5210" spans="6:10" ht="15.75" hidden="1" thickBot="1">
      <c r="F5210" s="294" t="s">
        <v>253</v>
      </c>
      <c r="G5210" s="297" t="s">
        <v>254</v>
      </c>
      <c r="J5210" s="639">
        <f t="shared" si="165"/>
        <v>0</v>
      </c>
    </row>
    <row r="5211" spans="6:10" ht="15.75" hidden="1" thickBot="1">
      <c r="F5211" s="294" t="s">
        <v>255</v>
      </c>
      <c r="G5211" s="297" t="s">
        <v>256</v>
      </c>
      <c r="J5211" s="639">
        <f t="shared" si="165"/>
        <v>0</v>
      </c>
    </row>
    <row r="5212" spans="6:10" ht="15.75" hidden="1" thickBot="1">
      <c r="F5212" s="294" t="s">
        <v>257</v>
      </c>
      <c r="G5212" s="297" t="s">
        <v>258</v>
      </c>
      <c r="J5212" s="639">
        <f t="shared" si="165"/>
        <v>0</v>
      </c>
    </row>
    <row r="5213" spans="6:10" ht="15.75" hidden="1" thickBot="1">
      <c r="F5213" s="294" t="s">
        <v>259</v>
      </c>
      <c r="G5213" s="297" t="s">
        <v>260</v>
      </c>
      <c r="J5213" s="639">
        <f t="shared" si="165"/>
        <v>0</v>
      </c>
    </row>
    <row r="5214" spans="6:10" ht="15.75" hidden="1" thickBot="1">
      <c r="F5214" s="294" t="s">
        <v>261</v>
      </c>
      <c r="G5214" s="297" t="s">
        <v>262</v>
      </c>
      <c r="H5214" s="638"/>
      <c r="I5214" s="639"/>
      <c r="J5214" s="639">
        <f t="shared" si="165"/>
        <v>0</v>
      </c>
    </row>
    <row r="5215" spans="6:10" ht="15.75" hidden="1" thickBot="1">
      <c r="G5215" s="274" t="s">
        <v>4210</v>
      </c>
      <c r="H5215" s="640">
        <f>SUM(H5199:H5214)</f>
        <v>0</v>
      </c>
      <c r="I5215" s="641">
        <f>SUM(I5200:I5214)</f>
        <v>0</v>
      </c>
      <c r="J5215" s="641">
        <f>SUM(J5199:J5214)</f>
        <v>0</v>
      </c>
    </row>
    <row r="5216" spans="6:10" hidden="1"/>
    <row r="5217" spans="1:25" s="88" customFormat="1" hidden="1">
      <c r="A5217" s="306"/>
      <c r="B5217" s="301"/>
      <c r="C5217" s="361"/>
      <c r="D5217" s="296"/>
      <c r="E5217" s="296"/>
      <c r="F5217" s="309"/>
      <c r="G5217" s="295" t="s">
        <v>4276</v>
      </c>
      <c r="H5217" s="646"/>
      <c r="I5217" s="664"/>
      <c r="J5217" s="647"/>
      <c r="K5217" s="575"/>
      <c r="L5217" s="575"/>
      <c r="M5217" s="575"/>
      <c r="N5217" s="575"/>
      <c r="O5217" s="575"/>
      <c r="P5217" s="575"/>
      <c r="Q5217" s="575"/>
      <c r="R5217" s="575"/>
      <c r="S5217" s="575"/>
      <c r="T5217" s="575"/>
      <c r="U5217" s="575"/>
      <c r="V5217" s="575"/>
      <c r="W5217" s="575"/>
      <c r="X5217" s="575"/>
      <c r="Y5217" s="575"/>
    </row>
    <row r="5218" spans="1:25" s="88" customFormat="1" ht="15.75" hidden="1" thickBot="1">
      <c r="A5218" s="306"/>
      <c r="B5218" s="301"/>
      <c r="C5218" s="361"/>
      <c r="D5218" s="296"/>
      <c r="E5218" s="296"/>
      <c r="F5218" s="294" t="s">
        <v>234</v>
      </c>
      <c r="G5218" s="297" t="s">
        <v>235</v>
      </c>
      <c r="H5218" s="638">
        <f>SUM(H5199)</f>
        <v>0</v>
      </c>
      <c r="I5218" s="639"/>
      <c r="J5218" s="639">
        <f>SUM(H5218:I5218)</f>
        <v>0</v>
      </c>
      <c r="K5218" s="575"/>
      <c r="L5218" s="575"/>
      <c r="M5218" s="575"/>
      <c r="N5218" s="575"/>
      <c r="O5218" s="575"/>
      <c r="P5218" s="575"/>
      <c r="Q5218" s="575"/>
      <c r="R5218" s="575"/>
      <c r="S5218" s="575"/>
      <c r="T5218" s="575"/>
      <c r="U5218" s="575"/>
      <c r="V5218" s="575"/>
      <c r="W5218" s="575"/>
      <c r="X5218" s="575"/>
      <c r="Y5218" s="575"/>
    </row>
    <row r="5219" spans="1:25" s="88" customFormat="1" ht="15.75" hidden="1" thickBot="1">
      <c r="A5219" s="306"/>
      <c r="B5219" s="301"/>
      <c r="C5219" s="361"/>
      <c r="D5219" s="296"/>
      <c r="E5219" s="296"/>
      <c r="F5219" s="294" t="s">
        <v>236</v>
      </c>
      <c r="G5219" s="297" t="s">
        <v>237</v>
      </c>
      <c r="H5219" s="634"/>
      <c r="I5219" s="635"/>
      <c r="J5219" s="639">
        <f t="shared" ref="J5219:J5233" si="166">SUM(H5219:I5219)</f>
        <v>0</v>
      </c>
      <c r="K5219" s="575"/>
      <c r="L5219" s="575"/>
      <c r="M5219" s="575"/>
      <c r="N5219" s="575"/>
      <c r="O5219" s="575"/>
      <c r="P5219" s="575"/>
      <c r="Q5219" s="575"/>
      <c r="R5219" s="575"/>
      <c r="S5219" s="575"/>
      <c r="T5219" s="575"/>
      <c r="U5219" s="575"/>
      <c r="V5219" s="575"/>
      <c r="W5219" s="575"/>
      <c r="X5219" s="575"/>
      <c r="Y5219" s="575"/>
    </row>
    <row r="5220" spans="1:25" s="88" customFormat="1" ht="15.75" hidden="1" thickBot="1">
      <c r="A5220" s="306"/>
      <c r="B5220" s="301"/>
      <c r="C5220" s="361"/>
      <c r="D5220" s="296"/>
      <c r="E5220" s="296"/>
      <c r="F5220" s="294" t="s">
        <v>238</v>
      </c>
      <c r="G5220" s="297" t="s">
        <v>239</v>
      </c>
      <c r="H5220" s="634"/>
      <c r="I5220" s="635"/>
      <c r="J5220" s="639">
        <f t="shared" si="166"/>
        <v>0</v>
      </c>
      <c r="K5220" s="575"/>
      <c r="L5220" s="575"/>
      <c r="M5220" s="575"/>
      <c r="N5220" s="575"/>
      <c r="O5220" s="575"/>
      <c r="P5220" s="575"/>
      <c r="Q5220" s="575"/>
      <c r="R5220" s="575"/>
      <c r="S5220" s="575"/>
      <c r="T5220" s="575"/>
      <c r="U5220" s="575"/>
      <c r="V5220" s="575"/>
      <c r="W5220" s="575"/>
      <c r="X5220" s="575"/>
      <c r="Y5220" s="575"/>
    </row>
    <row r="5221" spans="1:25" s="88" customFormat="1" ht="15.75" hidden="1" thickBot="1">
      <c r="A5221" s="306"/>
      <c r="B5221" s="301"/>
      <c r="C5221" s="361"/>
      <c r="D5221" s="296"/>
      <c r="E5221" s="296"/>
      <c r="F5221" s="294" t="s">
        <v>240</v>
      </c>
      <c r="G5221" s="297" t="s">
        <v>241</v>
      </c>
      <c r="H5221" s="634"/>
      <c r="I5221" s="635"/>
      <c r="J5221" s="639">
        <f t="shared" si="166"/>
        <v>0</v>
      </c>
      <c r="K5221" s="575"/>
      <c r="L5221" s="575"/>
      <c r="M5221" s="575"/>
      <c r="N5221" s="575"/>
      <c r="O5221" s="575"/>
      <c r="P5221" s="575"/>
      <c r="Q5221" s="575"/>
      <c r="R5221" s="575"/>
      <c r="S5221" s="575"/>
      <c r="T5221" s="575"/>
      <c r="U5221" s="575"/>
      <c r="V5221" s="575"/>
      <c r="W5221" s="575"/>
      <c r="X5221" s="575"/>
      <c r="Y5221" s="575"/>
    </row>
    <row r="5222" spans="1:25" s="88" customFormat="1" ht="15.75" hidden="1" thickBot="1">
      <c r="A5222" s="306"/>
      <c r="B5222" s="301"/>
      <c r="C5222" s="361"/>
      <c r="D5222" s="296"/>
      <c r="E5222" s="296"/>
      <c r="F5222" s="294" t="s">
        <v>242</v>
      </c>
      <c r="G5222" s="297" t="s">
        <v>243</v>
      </c>
      <c r="H5222" s="634"/>
      <c r="I5222" s="635"/>
      <c r="J5222" s="639">
        <f t="shared" si="166"/>
        <v>0</v>
      </c>
      <c r="K5222" s="575"/>
      <c r="L5222" s="575"/>
      <c r="M5222" s="575"/>
      <c r="N5222" s="575"/>
      <c r="O5222" s="575"/>
      <c r="P5222" s="575"/>
      <c r="Q5222" s="575"/>
      <c r="R5222" s="575"/>
      <c r="S5222" s="575"/>
      <c r="T5222" s="575"/>
      <c r="U5222" s="575"/>
      <c r="V5222" s="575"/>
      <c r="W5222" s="575"/>
      <c r="X5222" s="575"/>
      <c r="Y5222" s="575"/>
    </row>
    <row r="5223" spans="1:25" s="88" customFormat="1" ht="15.75" hidden="1" thickBot="1">
      <c r="A5223" s="306"/>
      <c r="B5223" s="301"/>
      <c r="C5223" s="361"/>
      <c r="D5223" s="296"/>
      <c r="E5223" s="296"/>
      <c r="F5223" s="294" t="s">
        <v>244</v>
      </c>
      <c r="G5223" s="297" t="s">
        <v>245</v>
      </c>
      <c r="H5223" s="634"/>
      <c r="I5223" s="635"/>
      <c r="J5223" s="639">
        <f t="shared" si="166"/>
        <v>0</v>
      </c>
      <c r="K5223" s="575"/>
      <c r="L5223" s="575"/>
      <c r="M5223" s="575"/>
      <c r="N5223" s="575"/>
      <c r="O5223" s="575"/>
      <c r="P5223" s="575"/>
      <c r="Q5223" s="575"/>
      <c r="R5223" s="575"/>
      <c r="S5223" s="575"/>
      <c r="T5223" s="575"/>
      <c r="U5223" s="575"/>
      <c r="V5223" s="575"/>
      <c r="W5223" s="575"/>
      <c r="X5223" s="575"/>
      <c r="Y5223" s="575"/>
    </row>
    <row r="5224" spans="1:25" s="88" customFormat="1" ht="15.75" hidden="1" thickBot="1">
      <c r="A5224" s="306"/>
      <c r="B5224" s="301"/>
      <c r="C5224" s="361"/>
      <c r="D5224" s="296"/>
      <c r="E5224" s="296"/>
      <c r="F5224" s="294" t="s">
        <v>246</v>
      </c>
      <c r="G5224" s="683" t="s">
        <v>5121</v>
      </c>
      <c r="H5224" s="634"/>
      <c r="I5224" s="635"/>
      <c r="J5224" s="639">
        <f t="shared" si="166"/>
        <v>0</v>
      </c>
      <c r="K5224" s="575"/>
      <c r="L5224" s="575"/>
      <c r="M5224" s="575"/>
      <c r="N5224" s="575"/>
      <c r="O5224" s="575"/>
      <c r="P5224" s="575"/>
      <c r="Q5224" s="575"/>
      <c r="R5224" s="575"/>
      <c r="S5224" s="575"/>
      <c r="T5224" s="575"/>
      <c r="U5224" s="575"/>
      <c r="V5224" s="575"/>
      <c r="W5224" s="575"/>
      <c r="X5224" s="575"/>
      <c r="Y5224" s="575"/>
    </row>
    <row r="5225" spans="1:25" s="88" customFormat="1" ht="15.75" hidden="1" thickBot="1">
      <c r="A5225" s="306"/>
      <c r="B5225" s="301"/>
      <c r="C5225" s="361"/>
      <c r="D5225" s="296"/>
      <c r="E5225" s="296"/>
      <c r="F5225" s="294" t="s">
        <v>247</v>
      </c>
      <c r="G5225" s="683" t="s">
        <v>5120</v>
      </c>
      <c r="H5225" s="634"/>
      <c r="I5225" s="635"/>
      <c r="J5225" s="639">
        <f t="shared" si="166"/>
        <v>0</v>
      </c>
      <c r="K5225" s="575"/>
      <c r="L5225" s="575"/>
      <c r="M5225" s="575"/>
      <c r="N5225" s="575"/>
      <c r="O5225" s="575"/>
      <c r="P5225" s="575"/>
      <c r="Q5225" s="575"/>
      <c r="R5225" s="575"/>
      <c r="S5225" s="575"/>
      <c r="T5225" s="575"/>
      <c r="U5225" s="575"/>
      <c r="V5225" s="575"/>
      <c r="W5225" s="575"/>
      <c r="X5225" s="575"/>
      <c r="Y5225" s="575"/>
    </row>
    <row r="5226" spans="1:25" s="88" customFormat="1" ht="15.75" hidden="1" thickBot="1">
      <c r="A5226" s="306"/>
      <c r="B5226" s="301"/>
      <c r="C5226" s="361"/>
      <c r="D5226" s="296"/>
      <c r="E5226" s="296"/>
      <c r="F5226" s="294" t="s">
        <v>248</v>
      </c>
      <c r="G5226" s="297" t="s">
        <v>57</v>
      </c>
      <c r="H5226" s="634"/>
      <c r="I5226" s="635"/>
      <c r="J5226" s="639">
        <f t="shared" si="166"/>
        <v>0</v>
      </c>
      <c r="K5226" s="575"/>
      <c r="L5226" s="575"/>
      <c r="M5226" s="575"/>
      <c r="N5226" s="575"/>
      <c r="O5226" s="575"/>
      <c r="P5226" s="575"/>
      <c r="Q5226" s="575"/>
      <c r="R5226" s="575"/>
      <c r="S5226" s="575"/>
      <c r="T5226" s="575"/>
      <c r="U5226" s="575"/>
      <c r="V5226" s="575"/>
      <c r="W5226" s="575"/>
      <c r="X5226" s="575"/>
      <c r="Y5226" s="575"/>
    </row>
    <row r="5227" spans="1:25" s="88" customFormat="1" ht="15.75" hidden="1" thickBot="1">
      <c r="A5227" s="306"/>
      <c r="B5227" s="301"/>
      <c r="C5227" s="361"/>
      <c r="D5227" s="296"/>
      <c r="E5227" s="296"/>
      <c r="F5227" s="294" t="s">
        <v>249</v>
      </c>
      <c r="G5227" s="297" t="s">
        <v>250</v>
      </c>
      <c r="H5227" s="634"/>
      <c r="I5227" s="635"/>
      <c r="J5227" s="639">
        <f t="shared" si="166"/>
        <v>0</v>
      </c>
      <c r="K5227" s="575"/>
      <c r="L5227" s="575"/>
      <c r="M5227" s="575"/>
      <c r="N5227" s="575"/>
      <c r="O5227" s="575"/>
      <c r="P5227" s="575"/>
      <c r="Q5227" s="575"/>
      <c r="R5227" s="575"/>
      <c r="S5227" s="575"/>
      <c r="T5227" s="575"/>
      <c r="U5227" s="575"/>
      <c r="V5227" s="575"/>
      <c r="W5227" s="575"/>
      <c r="X5227" s="575"/>
      <c r="Y5227" s="575"/>
    </row>
    <row r="5228" spans="1:25" s="88" customFormat="1" ht="15.75" hidden="1" thickBot="1">
      <c r="A5228" s="306"/>
      <c r="B5228" s="301"/>
      <c r="C5228" s="361"/>
      <c r="D5228" s="296"/>
      <c r="E5228" s="296"/>
      <c r="F5228" s="294" t="s">
        <v>251</v>
      </c>
      <c r="G5228" s="297" t="s">
        <v>252</v>
      </c>
      <c r="H5228" s="634"/>
      <c r="I5228" s="635"/>
      <c r="J5228" s="639">
        <f t="shared" si="166"/>
        <v>0</v>
      </c>
      <c r="K5228" s="575"/>
      <c r="L5228" s="575"/>
      <c r="M5228" s="575"/>
      <c r="N5228" s="575"/>
      <c r="O5228" s="575"/>
      <c r="P5228" s="575"/>
      <c r="Q5228" s="575"/>
      <c r="R5228" s="575"/>
      <c r="S5228" s="575"/>
      <c r="T5228" s="575"/>
      <c r="U5228" s="575"/>
      <c r="V5228" s="575"/>
      <c r="W5228" s="575"/>
      <c r="X5228" s="575"/>
      <c r="Y5228" s="575"/>
    </row>
    <row r="5229" spans="1:25" s="88" customFormat="1" ht="15.75" hidden="1" thickBot="1">
      <c r="A5229" s="306"/>
      <c r="B5229" s="301"/>
      <c r="C5229" s="361"/>
      <c r="D5229" s="296"/>
      <c r="E5229" s="296"/>
      <c r="F5229" s="294" t="s">
        <v>253</v>
      </c>
      <c r="G5229" s="297" t="s">
        <v>254</v>
      </c>
      <c r="H5229" s="634"/>
      <c r="I5229" s="635"/>
      <c r="J5229" s="639">
        <f t="shared" si="166"/>
        <v>0</v>
      </c>
      <c r="K5229" s="575"/>
      <c r="L5229" s="575"/>
      <c r="M5229" s="575"/>
      <c r="N5229" s="575"/>
      <c r="O5229" s="575"/>
      <c r="P5229" s="575"/>
      <c r="Q5229" s="575"/>
      <c r="R5229" s="575"/>
      <c r="S5229" s="575"/>
      <c r="T5229" s="575"/>
      <c r="U5229" s="575"/>
      <c r="V5229" s="575"/>
      <c r="W5229" s="575"/>
      <c r="X5229" s="575"/>
      <c r="Y5229" s="575"/>
    </row>
    <row r="5230" spans="1:25" s="88" customFormat="1" ht="15.75" hidden="1" thickBot="1">
      <c r="A5230" s="306"/>
      <c r="B5230" s="301"/>
      <c r="C5230" s="361"/>
      <c r="D5230" s="296"/>
      <c r="E5230" s="296"/>
      <c r="F5230" s="294" t="s">
        <v>255</v>
      </c>
      <c r="G5230" s="297" t="s">
        <v>256</v>
      </c>
      <c r="H5230" s="634"/>
      <c r="I5230" s="635"/>
      <c r="J5230" s="639">
        <f t="shared" si="166"/>
        <v>0</v>
      </c>
      <c r="K5230" s="575"/>
      <c r="L5230" s="575"/>
      <c r="M5230" s="575"/>
      <c r="N5230" s="575"/>
      <c r="O5230" s="575"/>
      <c r="P5230" s="575"/>
      <c r="Q5230" s="575"/>
      <c r="R5230" s="575"/>
      <c r="S5230" s="575"/>
      <c r="T5230" s="575"/>
      <c r="U5230" s="575"/>
      <c r="V5230" s="575"/>
      <c r="W5230" s="575"/>
      <c r="X5230" s="575"/>
      <c r="Y5230" s="575"/>
    </row>
    <row r="5231" spans="1:25" s="88" customFormat="1" ht="15.75" hidden="1" thickBot="1">
      <c r="A5231" s="306"/>
      <c r="B5231" s="301"/>
      <c r="C5231" s="361"/>
      <c r="D5231" s="296"/>
      <c r="E5231" s="296"/>
      <c r="F5231" s="294" t="s">
        <v>257</v>
      </c>
      <c r="G5231" s="297" t="s">
        <v>258</v>
      </c>
      <c r="H5231" s="634"/>
      <c r="I5231" s="635"/>
      <c r="J5231" s="639">
        <f t="shared" si="166"/>
        <v>0</v>
      </c>
      <c r="K5231" s="575"/>
      <c r="L5231" s="575"/>
      <c r="M5231" s="575"/>
      <c r="N5231" s="575"/>
      <c r="O5231" s="575"/>
      <c r="P5231" s="575"/>
      <c r="Q5231" s="575"/>
      <c r="R5231" s="575"/>
      <c r="S5231" s="575"/>
      <c r="T5231" s="575"/>
      <c r="U5231" s="575"/>
      <c r="V5231" s="575"/>
      <c r="W5231" s="575"/>
      <c r="X5231" s="575"/>
      <c r="Y5231" s="575"/>
    </row>
    <row r="5232" spans="1:25" s="88" customFormat="1" ht="15.75" hidden="1" thickBot="1">
      <c r="A5232" s="306"/>
      <c r="B5232" s="301"/>
      <c r="C5232" s="361"/>
      <c r="D5232" s="296"/>
      <c r="E5232" s="296"/>
      <c r="F5232" s="294" t="s">
        <v>259</v>
      </c>
      <c r="G5232" s="297" t="s">
        <v>260</v>
      </c>
      <c r="H5232" s="634"/>
      <c r="I5232" s="635"/>
      <c r="J5232" s="639">
        <f t="shared" si="166"/>
        <v>0</v>
      </c>
      <c r="K5232" s="575"/>
      <c r="L5232" s="575"/>
      <c r="M5232" s="575"/>
      <c r="N5232" s="575"/>
      <c r="O5232" s="575"/>
      <c r="P5232" s="575"/>
      <c r="Q5232" s="575"/>
      <c r="R5232" s="575"/>
      <c r="S5232" s="575"/>
      <c r="T5232" s="575"/>
      <c r="U5232" s="575"/>
      <c r="V5232" s="575"/>
      <c r="W5232" s="575"/>
      <c r="X5232" s="575"/>
      <c r="Y5232" s="575"/>
    </row>
    <row r="5233" spans="1:25" s="88" customFormat="1" ht="15.75" hidden="1" thickBot="1">
      <c r="A5233" s="306"/>
      <c r="B5233" s="301"/>
      <c r="C5233" s="361"/>
      <c r="D5233" s="296"/>
      <c r="E5233" s="296"/>
      <c r="F5233" s="294" t="s">
        <v>261</v>
      </c>
      <c r="G5233" s="297" t="s">
        <v>262</v>
      </c>
      <c r="H5233" s="638"/>
      <c r="I5233" s="639"/>
      <c r="J5233" s="639">
        <f t="shared" si="166"/>
        <v>0</v>
      </c>
      <c r="K5233" s="575"/>
      <c r="L5233" s="575"/>
      <c r="M5233" s="575"/>
      <c r="N5233" s="575"/>
      <c r="O5233" s="575"/>
      <c r="P5233" s="575"/>
      <c r="Q5233" s="575"/>
      <c r="R5233" s="575"/>
      <c r="S5233" s="575"/>
      <c r="T5233" s="575"/>
      <c r="U5233" s="575"/>
      <c r="V5233" s="575"/>
      <c r="W5233" s="575"/>
      <c r="X5233" s="575"/>
      <c r="Y5233" s="575"/>
    </row>
    <row r="5234" spans="1:25" s="88" customFormat="1" ht="15.75" hidden="1" thickBot="1">
      <c r="A5234" s="306"/>
      <c r="B5234" s="301"/>
      <c r="C5234" s="361"/>
      <c r="D5234" s="296"/>
      <c r="E5234" s="296"/>
      <c r="F5234" s="263"/>
      <c r="G5234" s="274" t="s">
        <v>4278</v>
      </c>
      <c r="H5234" s="640">
        <f>SUM(H5218:H5233)</f>
        <v>0</v>
      </c>
      <c r="I5234" s="641">
        <f>SUM(I5219:I5233)</f>
        <v>0</v>
      </c>
      <c r="J5234" s="641">
        <f>SUM(J5218:J5233)</f>
        <v>0</v>
      </c>
      <c r="K5234" s="575"/>
      <c r="L5234" s="575"/>
      <c r="M5234" s="575"/>
      <c r="N5234" s="575"/>
      <c r="O5234" s="575"/>
      <c r="P5234" s="575"/>
      <c r="Q5234" s="575"/>
      <c r="R5234" s="575"/>
      <c r="S5234" s="575"/>
      <c r="T5234" s="575"/>
      <c r="U5234" s="575"/>
      <c r="V5234" s="575"/>
      <c r="W5234" s="575"/>
      <c r="X5234" s="575"/>
      <c r="Y5234" s="575"/>
    </row>
    <row r="5235" spans="1:25" ht="0.75" customHeight="1"/>
    <row r="5236" spans="1:25" hidden="1"/>
    <row r="5237" spans="1:25">
      <c r="A5237" s="289"/>
      <c r="B5237" s="289">
        <v>2</v>
      </c>
      <c r="C5237" s="265"/>
      <c r="D5237" s="261"/>
      <c r="E5237" s="261"/>
      <c r="F5237" s="261"/>
      <c r="G5237" s="329" t="s">
        <v>5220</v>
      </c>
      <c r="H5237" s="632"/>
      <c r="I5237" s="633"/>
      <c r="J5237" s="633"/>
    </row>
    <row r="5238" spans="1:25">
      <c r="C5238" s="273" t="s">
        <v>3600</v>
      </c>
      <c r="G5238" s="339" t="s">
        <v>4172</v>
      </c>
    </row>
    <row r="5239" spans="1:25">
      <c r="C5239" s="368" t="s">
        <v>4140</v>
      </c>
      <c r="D5239" s="330"/>
      <c r="E5239" s="330"/>
      <c r="F5239" s="267"/>
      <c r="G5239" s="332" t="s">
        <v>3662</v>
      </c>
    </row>
    <row r="5240" spans="1:25">
      <c r="C5240" s="273"/>
      <c r="D5240" s="357">
        <v>160</v>
      </c>
      <c r="E5240" s="357"/>
      <c r="F5240" s="357"/>
      <c r="G5240" s="359" t="s">
        <v>3913</v>
      </c>
    </row>
    <row r="5241" spans="1:25" hidden="1">
      <c r="F5241" s="335">
        <v>411</v>
      </c>
      <c r="G5241" s="340" t="s">
        <v>4173</v>
      </c>
      <c r="J5241" s="635">
        <f>SUM(H5241:I5241)</f>
        <v>0</v>
      </c>
    </row>
    <row r="5242" spans="1:25" hidden="1">
      <c r="F5242" s="335">
        <v>412</v>
      </c>
      <c r="G5242" s="337" t="s">
        <v>3770</v>
      </c>
      <c r="J5242" s="635">
        <f t="shared" ref="J5242:J5300" si="167">SUM(H5242:I5242)</f>
        <v>0</v>
      </c>
    </row>
    <row r="5243" spans="1:25" hidden="1">
      <c r="F5243" s="335">
        <v>413</v>
      </c>
      <c r="G5243" s="340" t="s">
        <v>4174</v>
      </c>
      <c r="J5243" s="635">
        <f t="shared" si="167"/>
        <v>0</v>
      </c>
    </row>
    <row r="5244" spans="1:25" hidden="1">
      <c r="F5244" s="335">
        <v>414</v>
      </c>
      <c r="G5244" s="340" t="s">
        <v>3773</v>
      </c>
      <c r="J5244" s="635">
        <f t="shared" si="167"/>
        <v>0</v>
      </c>
    </row>
    <row r="5245" spans="1:25" hidden="1">
      <c r="F5245" s="335">
        <v>415</v>
      </c>
      <c r="G5245" s="340" t="s">
        <v>4183</v>
      </c>
      <c r="J5245" s="635">
        <f t="shared" si="167"/>
        <v>0</v>
      </c>
    </row>
    <row r="5246" spans="1:25" hidden="1">
      <c r="F5246" s="335">
        <v>416</v>
      </c>
      <c r="G5246" s="340" t="s">
        <v>4184</v>
      </c>
      <c r="J5246" s="635">
        <f t="shared" si="167"/>
        <v>0</v>
      </c>
    </row>
    <row r="5247" spans="1:25" hidden="1">
      <c r="F5247" s="335">
        <v>417</v>
      </c>
      <c r="G5247" s="340" t="s">
        <v>4185</v>
      </c>
      <c r="J5247" s="635">
        <f t="shared" si="167"/>
        <v>0</v>
      </c>
    </row>
    <row r="5248" spans="1:25" hidden="1">
      <c r="F5248" s="335">
        <v>418</v>
      </c>
      <c r="G5248" s="340" t="s">
        <v>3779</v>
      </c>
      <c r="J5248" s="635">
        <f t="shared" si="167"/>
        <v>0</v>
      </c>
    </row>
    <row r="5249" spans="5:10">
      <c r="E5249" s="263">
        <v>78</v>
      </c>
      <c r="F5249" s="335">
        <v>421</v>
      </c>
      <c r="G5249" s="340" t="s">
        <v>3783</v>
      </c>
      <c r="H5249" s="634">
        <v>100000</v>
      </c>
      <c r="J5249" s="635">
        <f t="shared" si="167"/>
        <v>100000</v>
      </c>
    </row>
    <row r="5250" spans="5:10" hidden="1">
      <c r="F5250" s="335">
        <v>422</v>
      </c>
      <c r="G5250" s="340" t="s">
        <v>3784</v>
      </c>
      <c r="J5250" s="635">
        <f t="shared" si="167"/>
        <v>0</v>
      </c>
    </row>
    <row r="5251" spans="5:10" hidden="1">
      <c r="F5251" s="335">
        <v>423</v>
      </c>
      <c r="G5251" s="340" t="s">
        <v>3785</v>
      </c>
      <c r="J5251" s="635">
        <f t="shared" si="167"/>
        <v>0</v>
      </c>
    </row>
    <row r="5252" spans="5:10" hidden="1">
      <c r="F5252" s="335">
        <v>424</v>
      </c>
      <c r="G5252" s="340" t="s">
        <v>3787</v>
      </c>
      <c r="J5252" s="635">
        <f t="shared" si="167"/>
        <v>0</v>
      </c>
    </row>
    <row r="5253" spans="5:10" hidden="1">
      <c r="F5253" s="335">
        <v>425</v>
      </c>
      <c r="G5253" s="340" t="s">
        <v>4186</v>
      </c>
      <c r="J5253" s="635">
        <f t="shared" si="167"/>
        <v>0</v>
      </c>
    </row>
    <row r="5254" spans="5:10" hidden="1">
      <c r="F5254" s="335">
        <v>426</v>
      </c>
      <c r="G5254" s="340" t="s">
        <v>3791</v>
      </c>
      <c r="J5254" s="635">
        <f t="shared" si="167"/>
        <v>0</v>
      </c>
    </row>
    <row r="5255" spans="5:10" hidden="1">
      <c r="F5255" s="335">
        <v>431</v>
      </c>
      <c r="G5255" s="340" t="s">
        <v>4187</v>
      </c>
      <c r="J5255" s="635">
        <f t="shared" si="167"/>
        <v>0</v>
      </c>
    </row>
    <row r="5256" spans="5:10" hidden="1">
      <c r="F5256" s="335">
        <v>432</v>
      </c>
      <c r="G5256" s="340" t="s">
        <v>4188</v>
      </c>
      <c r="J5256" s="635">
        <f t="shared" si="167"/>
        <v>0</v>
      </c>
    </row>
    <row r="5257" spans="5:10" hidden="1">
      <c r="F5257" s="335">
        <v>433</v>
      </c>
      <c r="G5257" s="340" t="s">
        <v>4189</v>
      </c>
      <c r="J5257" s="635">
        <f t="shared" si="167"/>
        <v>0</v>
      </c>
    </row>
    <row r="5258" spans="5:10" hidden="1">
      <c r="F5258" s="335">
        <v>434</v>
      </c>
      <c r="G5258" s="340" t="s">
        <v>4190</v>
      </c>
      <c r="J5258" s="635">
        <f t="shared" si="167"/>
        <v>0</v>
      </c>
    </row>
    <row r="5259" spans="5:10" hidden="1">
      <c r="F5259" s="335">
        <v>435</v>
      </c>
      <c r="G5259" s="340" t="s">
        <v>3798</v>
      </c>
      <c r="J5259" s="635">
        <f t="shared" si="167"/>
        <v>0</v>
      </c>
    </row>
    <row r="5260" spans="5:10" hidden="1">
      <c r="F5260" s="335">
        <v>441</v>
      </c>
      <c r="G5260" s="340" t="s">
        <v>4191</v>
      </c>
      <c r="J5260" s="635">
        <f t="shared" si="167"/>
        <v>0</v>
      </c>
    </row>
    <row r="5261" spans="5:10" hidden="1">
      <c r="F5261" s="335">
        <v>442</v>
      </c>
      <c r="G5261" s="340" t="s">
        <v>4192</v>
      </c>
      <c r="J5261" s="635">
        <f t="shared" si="167"/>
        <v>0</v>
      </c>
    </row>
    <row r="5262" spans="5:10" hidden="1">
      <c r="F5262" s="335">
        <v>443</v>
      </c>
      <c r="G5262" s="340" t="s">
        <v>3803</v>
      </c>
      <c r="J5262" s="635">
        <f t="shared" si="167"/>
        <v>0</v>
      </c>
    </row>
    <row r="5263" spans="5:10" hidden="1">
      <c r="F5263" s="335">
        <v>444</v>
      </c>
      <c r="G5263" s="340" t="s">
        <v>3804</v>
      </c>
      <c r="J5263" s="635">
        <f t="shared" si="167"/>
        <v>0</v>
      </c>
    </row>
    <row r="5264" spans="5:10" ht="30" hidden="1">
      <c r="F5264" s="335">
        <v>4511</v>
      </c>
      <c r="G5264" s="268" t="s">
        <v>1690</v>
      </c>
      <c r="J5264" s="635">
        <f t="shared" si="167"/>
        <v>0</v>
      </c>
    </row>
    <row r="5265" spans="6:10" ht="30" hidden="1">
      <c r="F5265" s="335">
        <v>4512</v>
      </c>
      <c r="G5265" s="268" t="s">
        <v>1699</v>
      </c>
      <c r="J5265" s="635">
        <f t="shared" si="167"/>
        <v>0</v>
      </c>
    </row>
    <row r="5266" spans="6:10" hidden="1">
      <c r="F5266" s="335">
        <v>452</v>
      </c>
      <c r="G5266" s="340" t="s">
        <v>4193</v>
      </c>
      <c r="J5266" s="635">
        <f t="shared" si="167"/>
        <v>0</v>
      </c>
    </row>
    <row r="5267" spans="6:10" hidden="1">
      <c r="F5267" s="335">
        <v>453</v>
      </c>
      <c r="G5267" s="340" t="s">
        <v>4194</v>
      </c>
      <c r="J5267" s="635">
        <f t="shared" si="167"/>
        <v>0</v>
      </c>
    </row>
    <row r="5268" spans="6:10" hidden="1">
      <c r="F5268" s="335">
        <v>454</v>
      </c>
      <c r="G5268" s="340" t="s">
        <v>3809</v>
      </c>
      <c r="J5268" s="635">
        <f t="shared" si="167"/>
        <v>0</v>
      </c>
    </row>
    <row r="5269" spans="6:10" hidden="1">
      <c r="F5269" s="335">
        <v>461</v>
      </c>
      <c r="G5269" s="340" t="s">
        <v>4175</v>
      </c>
      <c r="J5269" s="635">
        <f t="shared" si="167"/>
        <v>0</v>
      </c>
    </row>
    <row r="5270" spans="6:10" hidden="1">
      <c r="F5270" s="335">
        <v>462</v>
      </c>
      <c r="G5270" s="340" t="s">
        <v>3812</v>
      </c>
      <c r="J5270" s="635">
        <f t="shared" si="167"/>
        <v>0</v>
      </c>
    </row>
    <row r="5271" spans="6:10" hidden="1">
      <c r="F5271" s="335">
        <v>4631</v>
      </c>
      <c r="G5271" s="340" t="s">
        <v>3813</v>
      </c>
      <c r="J5271" s="635">
        <f t="shared" si="167"/>
        <v>0</v>
      </c>
    </row>
    <row r="5272" spans="6:10" hidden="1">
      <c r="F5272" s="335">
        <v>4632</v>
      </c>
      <c r="G5272" s="340" t="s">
        <v>3814</v>
      </c>
      <c r="J5272" s="635">
        <f t="shared" si="167"/>
        <v>0</v>
      </c>
    </row>
    <row r="5273" spans="6:10" hidden="1">
      <c r="F5273" s="335">
        <v>464</v>
      </c>
      <c r="G5273" s="340" t="s">
        <v>3815</v>
      </c>
      <c r="J5273" s="635">
        <f t="shared" si="167"/>
        <v>0</v>
      </c>
    </row>
    <row r="5274" spans="6:10" hidden="1">
      <c r="F5274" s="335">
        <v>465</v>
      </c>
      <c r="G5274" s="340" t="s">
        <v>4176</v>
      </c>
      <c r="J5274" s="635">
        <f t="shared" si="167"/>
        <v>0</v>
      </c>
    </row>
    <row r="5275" spans="6:10" hidden="1">
      <c r="F5275" s="335">
        <v>472</v>
      </c>
      <c r="G5275" s="340" t="s">
        <v>3819</v>
      </c>
      <c r="J5275" s="635">
        <f t="shared" si="167"/>
        <v>0</v>
      </c>
    </row>
    <row r="5276" spans="6:10" hidden="1">
      <c r="F5276" s="335">
        <v>481</v>
      </c>
      <c r="G5276" s="340" t="s">
        <v>4195</v>
      </c>
      <c r="J5276" s="635">
        <f t="shared" si="167"/>
        <v>0</v>
      </c>
    </row>
    <row r="5277" spans="6:10" hidden="1">
      <c r="F5277" s="335">
        <v>482</v>
      </c>
      <c r="G5277" s="340" t="s">
        <v>4196</v>
      </c>
      <c r="J5277" s="635">
        <f t="shared" si="167"/>
        <v>0</v>
      </c>
    </row>
    <row r="5278" spans="6:10" hidden="1">
      <c r="F5278" s="335">
        <v>483</v>
      </c>
      <c r="G5278" s="343" t="s">
        <v>4197</v>
      </c>
      <c r="J5278" s="635">
        <f t="shared" si="167"/>
        <v>0</v>
      </c>
    </row>
    <row r="5279" spans="6:10" ht="30" hidden="1">
      <c r="F5279" s="335">
        <v>484</v>
      </c>
      <c r="G5279" s="340" t="s">
        <v>4198</v>
      </c>
      <c r="J5279" s="635">
        <f t="shared" si="167"/>
        <v>0</v>
      </c>
    </row>
    <row r="5280" spans="6:10" ht="30" hidden="1">
      <c r="F5280" s="335">
        <v>485</v>
      </c>
      <c r="G5280" s="340" t="s">
        <v>4199</v>
      </c>
      <c r="J5280" s="635">
        <f t="shared" si="167"/>
        <v>0</v>
      </c>
    </row>
    <row r="5281" spans="5:10" ht="30" hidden="1">
      <c r="F5281" s="335">
        <v>489</v>
      </c>
      <c r="G5281" s="340" t="s">
        <v>3827</v>
      </c>
      <c r="J5281" s="635">
        <f t="shared" si="167"/>
        <v>0</v>
      </c>
    </row>
    <row r="5282" spans="5:10" hidden="1">
      <c r="F5282" s="335">
        <v>494</v>
      </c>
      <c r="G5282" s="340" t="s">
        <v>4177</v>
      </c>
      <c r="J5282" s="635">
        <f t="shared" si="167"/>
        <v>0</v>
      </c>
    </row>
    <row r="5283" spans="5:10" ht="30" hidden="1">
      <c r="F5283" s="335">
        <v>495</v>
      </c>
      <c r="G5283" s="340" t="s">
        <v>4178</v>
      </c>
      <c r="J5283" s="635">
        <f t="shared" si="167"/>
        <v>0</v>
      </c>
    </row>
    <row r="5284" spans="5:10" ht="30" hidden="1">
      <c r="F5284" s="335">
        <v>496</v>
      </c>
      <c r="G5284" s="340" t="s">
        <v>4179</v>
      </c>
      <c r="J5284" s="635">
        <f t="shared" si="167"/>
        <v>0</v>
      </c>
    </row>
    <row r="5285" spans="5:10" hidden="1">
      <c r="F5285" s="335">
        <v>499</v>
      </c>
      <c r="G5285" s="340" t="s">
        <v>4180</v>
      </c>
      <c r="J5285" s="635">
        <f t="shared" si="167"/>
        <v>0</v>
      </c>
    </row>
    <row r="5286" spans="5:10" ht="15.75" thickBot="1">
      <c r="E5286" s="263">
        <v>79</v>
      </c>
      <c r="F5286" s="335">
        <v>511</v>
      </c>
      <c r="G5286" s="343" t="s">
        <v>4200</v>
      </c>
      <c r="H5286" s="634">
        <v>500000</v>
      </c>
      <c r="J5286" s="635">
        <f t="shared" si="167"/>
        <v>500000</v>
      </c>
    </row>
    <row r="5287" spans="5:10" ht="15.75" hidden="1" thickBot="1">
      <c r="F5287" s="335">
        <v>512</v>
      </c>
      <c r="G5287" s="343" t="s">
        <v>4201</v>
      </c>
      <c r="J5287" s="635">
        <f t="shared" si="167"/>
        <v>0</v>
      </c>
    </row>
    <row r="5288" spans="5:10" ht="15.75" hidden="1" thickBot="1">
      <c r="F5288" s="335">
        <v>513</v>
      </c>
      <c r="G5288" s="343" t="s">
        <v>4202</v>
      </c>
      <c r="J5288" s="635">
        <f t="shared" si="167"/>
        <v>0</v>
      </c>
    </row>
    <row r="5289" spans="5:10" ht="15.75" hidden="1" thickBot="1">
      <c r="F5289" s="335">
        <v>514</v>
      </c>
      <c r="G5289" s="340" t="s">
        <v>4203</v>
      </c>
      <c r="J5289" s="635">
        <f t="shared" si="167"/>
        <v>0</v>
      </c>
    </row>
    <row r="5290" spans="5:10" ht="15.75" hidden="1" thickBot="1">
      <c r="F5290" s="335">
        <v>515</v>
      </c>
      <c r="G5290" s="340" t="s">
        <v>3838</v>
      </c>
      <c r="J5290" s="635">
        <f t="shared" si="167"/>
        <v>0</v>
      </c>
    </row>
    <row r="5291" spans="5:10" ht="15.75" hidden="1" thickBot="1">
      <c r="F5291" s="335">
        <v>521</v>
      </c>
      <c r="G5291" s="340" t="s">
        <v>4204</v>
      </c>
      <c r="J5291" s="635">
        <f t="shared" si="167"/>
        <v>0</v>
      </c>
    </row>
    <row r="5292" spans="5:10" ht="15.75" hidden="1" thickBot="1">
      <c r="F5292" s="335">
        <v>522</v>
      </c>
      <c r="G5292" s="340" t="s">
        <v>4205</v>
      </c>
      <c r="J5292" s="635">
        <f t="shared" si="167"/>
        <v>0</v>
      </c>
    </row>
    <row r="5293" spans="5:10" ht="15.75" hidden="1" thickBot="1">
      <c r="F5293" s="335">
        <v>523</v>
      </c>
      <c r="G5293" s="340" t="s">
        <v>3843</v>
      </c>
      <c r="J5293" s="635">
        <f t="shared" si="167"/>
        <v>0</v>
      </c>
    </row>
    <row r="5294" spans="5:10" ht="15.75" hidden="1" thickBot="1">
      <c r="F5294" s="335">
        <v>531</v>
      </c>
      <c r="G5294" s="337" t="s">
        <v>4181</v>
      </c>
      <c r="J5294" s="635">
        <f t="shared" si="167"/>
        <v>0</v>
      </c>
    </row>
    <row r="5295" spans="5:10" ht="15.75" hidden="1" thickBot="1">
      <c r="F5295" s="335">
        <v>541</v>
      </c>
      <c r="G5295" s="340" t="s">
        <v>4206</v>
      </c>
      <c r="J5295" s="635">
        <f t="shared" si="167"/>
        <v>0</v>
      </c>
    </row>
    <row r="5296" spans="5:10" ht="15.75" hidden="1" thickBot="1">
      <c r="F5296" s="335">
        <v>542</v>
      </c>
      <c r="G5296" s="340" t="s">
        <v>4207</v>
      </c>
      <c r="J5296" s="635">
        <f t="shared" si="167"/>
        <v>0</v>
      </c>
    </row>
    <row r="5297" spans="5:10" ht="15.75" hidden="1" thickBot="1">
      <c r="F5297" s="335">
        <v>543</v>
      </c>
      <c r="G5297" s="340" t="s">
        <v>3848</v>
      </c>
      <c r="J5297" s="635">
        <f t="shared" si="167"/>
        <v>0</v>
      </c>
    </row>
    <row r="5298" spans="5:10" ht="30.75" hidden="1" thickBot="1">
      <c r="F5298" s="335">
        <v>551</v>
      </c>
      <c r="G5298" s="340" t="s">
        <v>4182</v>
      </c>
      <c r="J5298" s="635">
        <f t="shared" si="167"/>
        <v>0</v>
      </c>
    </row>
    <row r="5299" spans="5:10" ht="15.75" hidden="1" thickBot="1">
      <c r="F5299" s="336">
        <v>611</v>
      </c>
      <c r="G5299" s="344" t="s">
        <v>3854</v>
      </c>
      <c r="J5299" s="635">
        <f t="shared" si="167"/>
        <v>0</v>
      </c>
    </row>
    <row r="5300" spans="5:10" ht="15.75" hidden="1" thickBot="1">
      <c r="F5300" s="336">
        <v>620</v>
      </c>
      <c r="G5300" s="344" t="s">
        <v>88</v>
      </c>
      <c r="J5300" s="635">
        <f t="shared" si="167"/>
        <v>0</v>
      </c>
    </row>
    <row r="5301" spans="5:10">
      <c r="E5301" s="338"/>
      <c r="F5301" s="346"/>
      <c r="G5301" s="372" t="s">
        <v>4391</v>
      </c>
      <c r="H5301" s="636"/>
      <c r="I5301" s="662"/>
      <c r="J5301" s="637"/>
    </row>
    <row r="5302" spans="5:10" ht="15.75" thickBot="1">
      <c r="E5302" s="267"/>
      <c r="F5302" s="294" t="s">
        <v>234</v>
      </c>
      <c r="G5302" s="297" t="s">
        <v>235</v>
      </c>
      <c r="H5302" s="638">
        <f>SUM(H5241:H5300)</f>
        <v>600000</v>
      </c>
      <c r="I5302" s="639"/>
      <c r="J5302" s="639">
        <f t="shared" ref="J5302:J5317" si="168">SUM(H5302:I5302)</f>
        <v>600000</v>
      </c>
    </row>
    <row r="5303" spans="5:10" ht="15.75" hidden="1" thickBot="1">
      <c r="F5303" s="294" t="s">
        <v>236</v>
      </c>
      <c r="G5303" s="297" t="s">
        <v>237</v>
      </c>
      <c r="J5303" s="639">
        <f t="shared" si="168"/>
        <v>0</v>
      </c>
    </row>
    <row r="5304" spans="5:10" ht="15.75" hidden="1" thickBot="1">
      <c r="F5304" s="294" t="s">
        <v>238</v>
      </c>
      <c r="G5304" s="297" t="s">
        <v>239</v>
      </c>
      <c r="J5304" s="639">
        <f t="shared" si="168"/>
        <v>0</v>
      </c>
    </row>
    <row r="5305" spans="5:10" ht="15.75" hidden="1" thickBot="1">
      <c r="F5305" s="294" t="s">
        <v>240</v>
      </c>
      <c r="G5305" s="297" t="s">
        <v>241</v>
      </c>
      <c r="J5305" s="639">
        <f t="shared" si="168"/>
        <v>0</v>
      </c>
    </row>
    <row r="5306" spans="5:10" ht="15.75" hidden="1" thickBot="1">
      <c r="F5306" s="294" t="s">
        <v>242</v>
      </c>
      <c r="G5306" s="297" t="s">
        <v>243</v>
      </c>
      <c r="J5306" s="639">
        <f t="shared" si="168"/>
        <v>0</v>
      </c>
    </row>
    <row r="5307" spans="5:10" ht="15.75" hidden="1" thickBot="1">
      <c r="F5307" s="294" t="s">
        <v>244</v>
      </c>
      <c r="G5307" s="297" t="s">
        <v>245</v>
      </c>
      <c r="J5307" s="639">
        <f t="shared" si="168"/>
        <v>0</v>
      </c>
    </row>
    <row r="5308" spans="5:10" ht="15.75" hidden="1" thickBot="1">
      <c r="F5308" s="294" t="s">
        <v>246</v>
      </c>
      <c r="G5308" s="683" t="s">
        <v>5121</v>
      </c>
      <c r="J5308" s="639">
        <f t="shared" si="168"/>
        <v>0</v>
      </c>
    </row>
    <row r="5309" spans="5:10" ht="15.75" hidden="1" thickBot="1">
      <c r="F5309" s="294" t="s">
        <v>247</v>
      </c>
      <c r="G5309" s="683" t="s">
        <v>5120</v>
      </c>
      <c r="J5309" s="639">
        <f t="shared" si="168"/>
        <v>0</v>
      </c>
    </row>
    <row r="5310" spans="5:10" ht="15.75" hidden="1" thickBot="1">
      <c r="F5310" s="294" t="s">
        <v>248</v>
      </c>
      <c r="G5310" s="297" t="s">
        <v>57</v>
      </c>
      <c r="J5310" s="639">
        <f t="shared" si="168"/>
        <v>0</v>
      </c>
    </row>
    <row r="5311" spans="5:10" ht="15.75" hidden="1" thickBot="1">
      <c r="F5311" s="294" t="s">
        <v>249</v>
      </c>
      <c r="G5311" s="297" t="s">
        <v>250</v>
      </c>
      <c r="J5311" s="639">
        <f t="shared" si="168"/>
        <v>0</v>
      </c>
    </row>
    <row r="5312" spans="5:10" ht="15.75" hidden="1" thickBot="1">
      <c r="F5312" s="294" t="s">
        <v>251</v>
      </c>
      <c r="G5312" s="297" t="s">
        <v>252</v>
      </c>
      <c r="J5312" s="639">
        <f t="shared" si="168"/>
        <v>0</v>
      </c>
    </row>
    <row r="5313" spans="5:10" ht="15.75" hidden="1" thickBot="1">
      <c r="F5313" s="294" t="s">
        <v>253</v>
      </c>
      <c r="G5313" s="297" t="s">
        <v>254</v>
      </c>
      <c r="J5313" s="639">
        <f t="shared" si="168"/>
        <v>0</v>
      </c>
    </row>
    <row r="5314" spans="5:10" ht="15.75" hidden="1" thickBot="1">
      <c r="F5314" s="294" t="s">
        <v>255</v>
      </c>
      <c r="G5314" s="297" t="s">
        <v>256</v>
      </c>
      <c r="J5314" s="639">
        <f t="shared" si="168"/>
        <v>0</v>
      </c>
    </row>
    <row r="5315" spans="5:10" ht="15.75" hidden="1" thickBot="1">
      <c r="F5315" s="294" t="s">
        <v>257</v>
      </c>
      <c r="G5315" s="297" t="s">
        <v>258</v>
      </c>
      <c r="J5315" s="639">
        <f t="shared" si="168"/>
        <v>0</v>
      </c>
    </row>
    <row r="5316" spans="5:10" ht="15.75" hidden="1" thickBot="1">
      <c r="F5316" s="294" t="s">
        <v>259</v>
      </c>
      <c r="G5316" s="297" t="s">
        <v>260</v>
      </c>
      <c r="J5316" s="639">
        <f t="shared" si="168"/>
        <v>0</v>
      </c>
    </row>
    <row r="5317" spans="5:10" ht="15.75" hidden="1" thickBot="1">
      <c r="F5317" s="294" t="s">
        <v>261</v>
      </c>
      <c r="G5317" s="297" t="s">
        <v>262</v>
      </c>
      <c r="H5317" s="638"/>
      <c r="I5317" s="639"/>
      <c r="J5317" s="639">
        <f t="shared" si="168"/>
        <v>0</v>
      </c>
    </row>
    <row r="5318" spans="5:10" ht="15.75" thickBot="1">
      <c r="G5318" s="274" t="s">
        <v>4392</v>
      </c>
      <c r="H5318" s="640">
        <f>SUM(H5302:H5317)</f>
        <v>600000</v>
      </c>
      <c r="I5318" s="641">
        <f>SUM(I5303:I5317)</f>
        <v>0</v>
      </c>
      <c r="J5318" s="641">
        <f>SUM(J5302:J5317)</f>
        <v>600000</v>
      </c>
    </row>
    <row r="5319" spans="5:10" collapsed="1">
      <c r="E5319" s="333"/>
      <c r="F5319" s="336"/>
      <c r="G5319" s="276" t="s">
        <v>4281</v>
      </c>
      <c r="H5319" s="642"/>
      <c r="I5319" s="663"/>
      <c r="J5319" s="643"/>
    </row>
    <row r="5320" spans="5:10" ht="15.75" thickBot="1">
      <c r="E5320" s="267"/>
      <c r="F5320" s="294" t="s">
        <v>234</v>
      </c>
      <c r="G5320" s="297" t="s">
        <v>235</v>
      </c>
      <c r="H5320" s="638">
        <f>SUM(H5241:H5300)</f>
        <v>600000</v>
      </c>
      <c r="I5320" s="639"/>
      <c r="J5320" s="639">
        <f>SUM(H5320:I5320)</f>
        <v>600000</v>
      </c>
    </row>
    <row r="5321" spans="5:10" ht="15.75" hidden="1" thickBot="1">
      <c r="F5321" s="294" t="s">
        <v>236</v>
      </c>
      <c r="G5321" s="297" t="s">
        <v>237</v>
      </c>
      <c r="J5321" s="639">
        <f t="shared" ref="J5321:J5335" si="169">SUM(H5321:I5321)</f>
        <v>0</v>
      </c>
    </row>
    <row r="5322" spans="5:10" ht="15.75" hidden="1" thickBot="1">
      <c r="F5322" s="294" t="s">
        <v>238</v>
      </c>
      <c r="G5322" s="297" t="s">
        <v>239</v>
      </c>
      <c r="J5322" s="639">
        <f t="shared" si="169"/>
        <v>0</v>
      </c>
    </row>
    <row r="5323" spans="5:10" ht="15.75" hidden="1" thickBot="1">
      <c r="F5323" s="294" t="s">
        <v>240</v>
      </c>
      <c r="G5323" s="297" t="s">
        <v>241</v>
      </c>
      <c r="J5323" s="639">
        <f t="shared" si="169"/>
        <v>0</v>
      </c>
    </row>
    <row r="5324" spans="5:10" ht="15.75" hidden="1" thickBot="1">
      <c r="F5324" s="294" t="s">
        <v>242</v>
      </c>
      <c r="G5324" s="297" t="s">
        <v>243</v>
      </c>
      <c r="J5324" s="639">
        <f t="shared" si="169"/>
        <v>0</v>
      </c>
    </row>
    <row r="5325" spans="5:10" ht="15.75" hidden="1" thickBot="1">
      <c r="F5325" s="294" t="s">
        <v>244</v>
      </c>
      <c r="G5325" s="297" t="s">
        <v>245</v>
      </c>
      <c r="J5325" s="639">
        <f t="shared" si="169"/>
        <v>0</v>
      </c>
    </row>
    <row r="5326" spans="5:10" ht="15.75" hidden="1" thickBot="1">
      <c r="F5326" s="294" t="s">
        <v>246</v>
      </c>
      <c r="G5326" s="683" t="s">
        <v>5121</v>
      </c>
      <c r="J5326" s="639">
        <f t="shared" si="169"/>
        <v>0</v>
      </c>
    </row>
    <row r="5327" spans="5:10" ht="15.75" hidden="1" thickBot="1">
      <c r="F5327" s="294" t="s">
        <v>247</v>
      </c>
      <c r="G5327" s="683" t="s">
        <v>5120</v>
      </c>
      <c r="J5327" s="639">
        <f t="shared" si="169"/>
        <v>0</v>
      </c>
    </row>
    <row r="5328" spans="5:10" ht="15.75" hidden="1" thickBot="1">
      <c r="F5328" s="294" t="s">
        <v>248</v>
      </c>
      <c r="G5328" s="297" t="s">
        <v>57</v>
      </c>
      <c r="J5328" s="639">
        <f t="shared" si="169"/>
        <v>0</v>
      </c>
    </row>
    <row r="5329" spans="5:10" ht="15.75" hidden="1" thickBot="1">
      <c r="F5329" s="294" t="s">
        <v>249</v>
      </c>
      <c r="G5329" s="297" t="s">
        <v>250</v>
      </c>
      <c r="J5329" s="639">
        <f t="shared" si="169"/>
        <v>0</v>
      </c>
    </row>
    <row r="5330" spans="5:10" ht="15.75" hidden="1" thickBot="1">
      <c r="F5330" s="294" t="s">
        <v>251</v>
      </c>
      <c r="G5330" s="297" t="s">
        <v>252</v>
      </c>
      <c r="J5330" s="639">
        <f t="shared" si="169"/>
        <v>0</v>
      </c>
    </row>
    <row r="5331" spans="5:10" ht="15.75" hidden="1" thickBot="1">
      <c r="F5331" s="294" t="s">
        <v>253</v>
      </c>
      <c r="G5331" s="297" t="s">
        <v>254</v>
      </c>
      <c r="J5331" s="639">
        <f t="shared" si="169"/>
        <v>0</v>
      </c>
    </row>
    <row r="5332" spans="5:10" ht="15.75" hidden="1" thickBot="1">
      <c r="F5332" s="294" t="s">
        <v>255</v>
      </c>
      <c r="G5332" s="297" t="s">
        <v>256</v>
      </c>
      <c r="J5332" s="639">
        <f t="shared" si="169"/>
        <v>0</v>
      </c>
    </row>
    <row r="5333" spans="5:10" ht="15.75" hidden="1" thickBot="1">
      <c r="F5333" s="294" t="s">
        <v>257</v>
      </c>
      <c r="G5333" s="297" t="s">
        <v>258</v>
      </c>
      <c r="J5333" s="639">
        <f t="shared" si="169"/>
        <v>0</v>
      </c>
    </row>
    <row r="5334" spans="5:10" ht="15.75" hidden="1" thickBot="1">
      <c r="F5334" s="294" t="s">
        <v>259</v>
      </c>
      <c r="G5334" s="297" t="s">
        <v>260</v>
      </c>
      <c r="J5334" s="639">
        <f t="shared" si="169"/>
        <v>0</v>
      </c>
    </row>
    <row r="5335" spans="5:10" ht="15.75" hidden="1" thickBot="1">
      <c r="F5335" s="294" t="s">
        <v>261</v>
      </c>
      <c r="G5335" s="297" t="s">
        <v>262</v>
      </c>
      <c r="H5335" s="638"/>
      <c r="I5335" s="639"/>
      <c r="J5335" s="639">
        <f t="shared" si="169"/>
        <v>0</v>
      </c>
    </row>
    <row r="5336" spans="5:10" ht="15.75" collapsed="1" thickBot="1">
      <c r="G5336" s="274" t="s">
        <v>4393</v>
      </c>
      <c r="H5336" s="640">
        <f>SUM(H5320:H5335)</f>
        <v>600000</v>
      </c>
      <c r="I5336" s="641">
        <f>SUM(I5321:I5335)</f>
        <v>0</v>
      </c>
      <c r="J5336" s="641">
        <f>SUM(J5320:J5335)</f>
        <v>600000</v>
      </c>
    </row>
    <row r="5337" spans="5:10" ht="0.75" customHeight="1"/>
    <row r="5338" spans="5:10">
      <c r="E5338" s="338"/>
      <c r="F5338" s="346"/>
      <c r="G5338" s="295" t="s">
        <v>4209</v>
      </c>
      <c r="H5338" s="646"/>
      <c r="I5338" s="664"/>
      <c r="J5338" s="647"/>
    </row>
    <row r="5339" spans="5:10" ht="15.75" thickBot="1">
      <c r="E5339" s="267"/>
      <c r="F5339" s="294" t="s">
        <v>234</v>
      </c>
      <c r="G5339" s="297" t="s">
        <v>235</v>
      </c>
      <c r="H5339" s="638">
        <f>SUM(H5320)</f>
        <v>600000</v>
      </c>
      <c r="I5339" s="639"/>
      <c r="J5339" s="639">
        <f>SUM(H5339:I5339)</f>
        <v>600000</v>
      </c>
    </row>
    <row r="5340" spans="5:10" ht="15.75" hidden="1" thickBot="1">
      <c r="F5340" s="294" t="s">
        <v>236</v>
      </c>
      <c r="G5340" s="297" t="s">
        <v>237</v>
      </c>
      <c r="J5340" s="639">
        <f t="shared" ref="J5340:J5354" si="170">SUM(H5340:I5340)</f>
        <v>0</v>
      </c>
    </row>
    <row r="5341" spans="5:10" ht="15.75" hidden="1" thickBot="1">
      <c r="F5341" s="294" t="s">
        <v>238</v>
      </c>
      <c r="G5341" s="297" t="s">
        <v>239</v>
      </c>
      <c r="J5341" s="639">
        <f t="shared" si="170"/>
        <v>0</v>
      </c>
    </row>
    <row r="5342" spans="5:10" ht="15.75" hidden="1" thickBot="1">
      <c r="F5342" s="294" t="s">
        <v>240</v>
      </c>
      <c r="G5342" s="297" t="s">
        <v>241</v>
      </c>
      <c r="J5342" s="639">
        <f t="shared" si="170"/>
        <v>0</v>
      </c>
    </row>
    <row r="5343" spans="5:10" ht="15.75" hidden="1" thickBot="1">
      <c r="F5343" s="294" t="s">
        <v>242</v>
      </c>
      <c r="G5343" s="297" t="s">
        <v>243</v>
      </c>
      <c r="J5343" s="639">
        <f t="shared" si="170"/>
        <v>0</v>
      </c>
    </row>
    <row r="5344" spans="5:10" ht="15.75" hidden="1" thickBot="1">
      <c r="F5344" s="294" t="s">
        <v>244</v>
      </c>
      <c r="G5344" s="297" t="s">
        <v>245</v>
      </c>
      <c r="J5344" s="639">
        <f t="shared" si="170"/>
        <v>0</v>
      </c>
    </row>
    <row r="5345" spans="1:25" ht="15.75" hidden="1" thickBot="1">
      <c r="F5345" s="294" t="s">
        <v>246</v>
      </c>
      <c r="G5345" s="683" t="s">
        <v>5121</v>
      </c>
      <c r="J5345" s="639">
        <f t="shared" si="170"/>
        <v>0</v>
      </c>
    </row>
    <row r="5346" spans="1:25" ht="15.75" hidden="1" thickBot="1">
      <c r="F5346" s="294" t="s">
        <v>247</v>
      </c>
      <c r="G5346" s="683" t="s">
        <v>5120</v>
      </c>
      <c r="J5346" s="639">
        <f t="shared" si="170"/>
        <v>0</v>
      </c>
    </row>
    <row r="5347" spans="1:25" ht="15.75" hidden="1" thickBot="1">
      <c r="F5347" s="294" t="s">
        <v>248</v>
      </c>
      <c r="G5347" s="297" t="s">
        <v>57</v>
      </c>
      <c r="J5347" s="639">
        <f t="shared" si="170"/>
        <v>0</v>
      </c>
    </row>
    <row r="5348" spans="1:25" ht="15.75" hidden="1" thickBot="1">
      <c r="F5348" s="294" t="s">
        <v>249</v>
      </c>
      <c r="G5348" s="297" t="s">
        <v>250</v>
      </c>
      <c r="J5348" s="639">
        <f t="shared" si="170"/>
        <v>0</v>
      </c>
    </row>
    <row r="5349" spans="1:25" ht="15.75" hidden="1" thickBot="1">
      <c r="F5349" s="294" t="s">
        <v>251</v>
      </c>
      <c r="G5349" s="297" t="s">
        <v>252</v>
      </c>
      <c r="J5349" s="639">
        <f t="shared" si="170"/>
        <v>0</v>
      </c>
    </row>
    <row r="5350" spans="1:25" ht="15.75" hidden="1" thickBot="1">
      <c r="F5350" s="294" t="s">
        <v>253</v>
      </c>
      <c r="G5350" s="297" t="s">
        <v>254</v>
      </c>
      <c r="J5350" s="639">
        <f t="shared" si="170"/>
        <v>0</v>
      </c>
    </row>
    <row r="5351" spans="1:25" ht="15.75" hidden="1" thickBot="1">
      <c r="F5351" s="294" t="s">
        <v>255</v>
      </c>
      <c r="G5351" s="297" t="s">
        <v>256</v>
      </c>
      <c r="J5351" s="639">
        <f t="shared" si="170"/>
        <v>0</v>
      </c>
    </row>
    <row r="5352" spans="1:25" ht="15.75" hidden="1" thickBot="1">
      <c r="F5352" s="294" t="s">
        <v>257</v>
      </c>
      <c r="G5352" s="297" t="s">
        <v>258</v>
      </c>
      <c r="J5352" s="639">
        <f t="shared" si="170"/>
        <v>0</v>
      </c>
    </row>
    <row r="5353" spans="1:25" ht="15.75" hidden="1" thickBot="1">
      <c r="F5353" s="294" t="s">
        <v>259</v>
      </c>
      <c r="G5353" s="297" t="s">
        <v>260</v>
      </c>
      <c r="J5353" s="639">
        <f t="shared" si="170"/>
        <v>0</v>
      </c>
    </row>
    <row r="5354" spans="1:25" ht="15.75" hidden="1" thickBot="1">
      <c r="F5354" s="294" t="s">
        <v>261</v>
      </c>
      <c r="G5354" s="297" t="s">
        <v>262</v>
      </c>
      <c r="H5354" s="638"/>
      <c r="I5354" s="639"/>
      <c r="J5354" s="639">
        <f t="shared" si="170"/>
        <v>0</v>
      </c>
    </row>
    <row r="5355" spans="1:25" ht="15.75" thickBot="1">
      <c r="G5355" s="274" t="s">
        <v>4210</v>
      </c>
      <c r="H5355" s="640">
        <f>SUM(H5339:H5354)</f>
        <v>600000</v>
      </c>
      <c r="I5355" s="641">
        <f>SUM(I5340:I5354)</f>
        <v>0</v>
      </c>
      <c r="J5355" s="641">
        <f>SUM(J5339:J5354)</f>
        <v>600000</v>
      </c>
    </row>
    <row r="5356" spans="1:25" hidden="1"/>
    <row r="5357" spans="1:25" s="88" customFormat="1">
      <c r="A5357" s="334"/>
      <c r="B5357" s="301"/>
      <c r="C5357" s="361"/>
      <c r="D5357" s="296"/>
      <c r="E5357" s="296"/>
      <c r="F5357" s="336"/>
      <c r="G5357" s="295" t="s">
        <v>4276</v>
      </c>
      <c r="H5357" s="646"/>
      <c r="I5357" s="664"/>
      <c r="J5357" s="647"/>
      <c r="K5357" s="575"/>
      <c r="L5357" s="575"/>
      <c r="M5357" s="575"/>
      <c r="N5357" s="575"/>
      <c r="O5357" s="575"/>
      <c r="P5357" s="575"/>
      <c r="Q5357" s="575"/>
      <c r="R5357" s="575"/>
      <c r="S5357" s="575"/>
      <c r="T5357" s="575"/>
      <c r="U5357" s="575"/>
      <c r="V5357" s="575"/>
      <c r="W5357" s="575"/>
      <c r="X5357" s="575"/>
      <c r="Y5357" s="575"/>
    </row>
    <row r="5358" spans="1:25" s="88" customFormat="1" ht="15.75" thickBot="1">
      <c r="A5358" s="334"/>
      <c r="B5358" s="301"/>
      <c r="C5358" s="361"/>
      <c r="D5358" s="296"/>
      <c r="E5358" s="296"/>
      <c r="F5358" s="294" t="s">
        <v>234</v>
      </c>
      <c r="G5358" s="297" t="s">
        <v>235</v>
      </c>
      <c r="H5358" s="638">
        <f>SUM(H5320)</f>
        <v>600000</v>
      </c>
      <c r="I5358" s="639"/>
      <c r="J5358" s="639">
        <f>SUM(H5358:I5358)</f>
        <v>600000</v>
      </c>
      <c r="K5358" s="575"/>
      <c r="L5358" s="575"/>
      <c r="M5358" s="575"/>
      <c r="N5358" s="575"/>
      <c r="O5358" s="575"/>
      <c r="P5358" s="575"/>
      <c r="Q5358" s="575"/>
      <c r="R5358" s="575"/>
      <c r="S5358" s="575"/>
      <c r="T5358" s="575"/>
      <c r="U5358" s="575"/>
      <c r="V5358" s="575"/>
      <c r="W5358" s="575"/>
      <c r="X5358" s="575"/>
      <c r="Y5358" s="575"/>
    </row>
    <row r="5359" spans="1:25" s="88" customFormat="1" ht="15.75" hidden="1" thickBot="1">
      <c r="A5359" s="334"/>
      <c r="B5359" s="301"/>
      <c r="C5359" s="361"/>
      <c r="D5359" s="296"/>
      <c r="E5359" s="296"/>
      <c r="F5359" s="294" t="s">
        <v>236</v>
      </c>
      <c r="G5359" s="297" t="s">
        <v>237</v>
      </c>
      <c r="H5359" s="634"/>
      <c r="I5359" s="635"/>
      <c r="J5359" s="639">
        <f t="shared" ref="J5359:J5373" si="171">SUM(H5359:I5359)</f>
        <v>0</v>
      </c>
      <c r="K5359" s="575"/>
      <c r="L5359" s="575"/>
      <c r="M5359" s="575"/>
      <c r="N5359" s="575"/>
      <c r="O5359" s="575"/>
      <c r="P5359" s="575"/>
      <c r="Q5359" s="575"/>
      <c r="R5359" s="575"/>
      <c r="S5359" s="575"/>
      <c r="T5359" s="575"/>
      <c r="U5359" s="575"/>
      <c r="V5359" s="575"/>
      <c r="W5359" s="575"/>
      <c r="X5359" s="575"/>
      <c r="Y5359" s="575"/>
    </row>
    <row r="5360" spans="1:25" s="88" customFormat="1" ht="15.75" hidden="1" thickBot="1">
      <c r="A5360" s="334"/>
      <c r="B5360" s="301"/>
      <c r="C5360" s="361"/>
      <c r="D5360" s="296"/>
      <c r="E5360" s="296"/>
      <c r="F5360" s="294" t="s">
        <v>238</v>
      </c>
      <c r="G5360" s="297" t="s">
        <v>239</v>
      </c>
      <c r="H5360" s="634"/>
      <c r="I5360" s="635"/>
      <c r="J5360" s="639">
        <f t="shared" si="171"/>
        <v>0</v>
      </c>
      <c r="K5360" s="575"/>
      <c r="L5360" s="575"/>
      <c r="M5360" s="575"/>
      <c r="N5360" s="575"/>
      <c r="O5360" s="575"/>
      <c r="P5360" s="575"/>
      <c r="Q5360" s="575"/>
      <c r="R5360" s="575"/>
      <c r="S5360" s="575"/>
      <c r="T5360" s="575"/>
      <c r="U5360" s="575"/>
      <c r="V5360" s="575"/>
      <c r="W5360" s="575"/>
      <c r="X5360" s="575"/>
      <c r="Y5360" s="575"/>
    </row>
    <row r="5361" spans="1:25" s="88" customFormat="1" ht="15.75" hidden="1" thickBot="1">
      <c r="A5361" s="334"/>
      <c r="B5361" s="301"/>
      <c r="C5361" s="361"/>
      <c r="D5361" s="296"/>
      <c r="E5361" s="296"/>
      <c r="F5361" s="294" t="s">
        <v>240</v>
      </c>
      <c r="G5361" s="297" t="s">
        <v>241</v>
      </c>
      <c r="H5361" s="634"/>
      <c r="I5361" s="635"/>
      <c r="J5361" s="639">
        <f t="shared" si="171"/>
        <v>0</v>
      </c>
      <c r="K5361" s="575"/>
      <c r="L5361" s="575"/>
      <c r="M5361" s="575"/>
      <c r="N5361" s="575"/>
      <c r="O5361" s="575"/>
      <c r="P5361" s="575"/>
      <c r="Q5361" s="575"/>
      <c r="R5361" s="575"/>
      <c r="S5361" s="575"/>
      <c r="T5361" s="575"/>
      <c r="U5361" s="575"/>
      <c r="V5361" s="575"/>
      <c r="W5361" s="575"/>
      <c r="X5361" s="575"/>
      <c r="Y5361" s="575"/>
    </row>
    <row r="5362" spans="1:25" s="88" customFormat="1" ht="15.75" hidden="1" thickBot="1">
      <c r="A5362" s="334"/>
      <c r="B5362" s="301"/>
      <c r="C5362" s="361"/>
      <c r="D5362" s="296"/>
      <c r="E5362" s="296"/>
      <c r="F5362" s="294" t="s">
        <v>242</v>
      </c>
      <c r="G5362" s="297" t="s">
        <v>243</v>
      </c>
      <c r="H5362" s="634"/>
      <c r="I5362" s="635"/>
      <c r="J5362" s="639">
        <f t="shared" si="171"/>
        <v>0</v>
      </c>
      <c r="K5362" s="575"/>
      <c r="L5362" s="575"/>
      <c r="M5362" s="575"/>
      <c r="N5362" s="575"/>
      <c r="O5362" s="575"/>
      <c r="P5362" s="575"/>
      <c r="Q5362" s="575"/>
      <c r="R5362" s="575"/>
      <c r="S5362" s="575"/>
      <c r="T5362" s="575"/>
      <c r="U5362" s="575"/>
      <c r="V5362" s="575"/>
      <c r="W5362" s="575"/>
      <c r="X5362" s="575"/>
      <c r="Y5362" s="575"/>
    </row>
    <row r="5363" spans="1:25" s="88" customFormat="1" ht="15.75" hidden="1" thickBot="1">
      <c r="A5363" s="334"/>
      <c r="B5363" s="301"/>
      <c r="C5363" s="361"/>
      <c r="D5363" s="296"/>
      <c r="E5363" s="296"/>
      <c r="F5363" s="294" t="s">
        <v>244</v>
      </c>
      <c r="G5363" s="297" t="s">
        <v>245</v>
      </c>
      <c r="H5363" s="634"/>
      <c r="I5363" s="635"/>
      <c r="J5363" s="639">
        <f t="shared" si="171"/>
        <v>0</v>
      </c>
      <c r="K5363" s="575"/>
      <c r="L5363" s="575"/>
      <c r="M5363" s="575"/>
      <c r="N5363" s="575"/>
      <c r="O5363" s="575"/>
      <c r="P5363" s="575"/>
      <c r="Q5363" s="575"/>
      <c r="R5363" s="575"/>
      <c r="S5363" s="575"/>
      <c r="T5363" s="575"/>
      <c r="U5363" s="575"/>
      <c r="V5363" s="575"/>
      <c r="W5363" s="575"/>
      <c r="X5363" s="575"/>
      <c r="Y5363" s="575"/>
    </row>
    <row r="5364" spans="1:25" s="88" customFormat="1" ht="15.75" hidden="1" thickBot="1">
      <c r="A5364" s="334"/>
      <c r="B5364" s="301"/>
      <c r="C5364" s="361"/>
      <c r="D5364" s="296"/>
      <c r="E5364" s="296"/>
      <c r="F5364" s="294" t="s">
        <v>246</v>
      </c>
      <c r="G5364" s="683" t="s">
        <v>5121</v>
      </c>
      <c r="H5364" s="634"/>
      <c r="I5364" s="635"/>
      <c r="J5364" s="639">
        <f t="shared" si="171"/>
        <v>0</v>
      </c>
      <c r="K5364" s="575"/>
      <c r="L5364" s="575"/>
      <c r="M5364" s="575"/>
      <c r="N5364" s="575"/>
      <c r="O5364" s="575"/>
      <c r="P5364" s="575"/>
      <c r="Q5364" s="575"/>
      <c r="R5364" s="575"/>
      <c r="S5364" s="575"/>
      <c r="T5364" s="575"/>
      <c r="U5364" s="575"/>
      <c r="V5364" s="575"/>
      <c r="W5364" s="575"/>
      <c r="X5364" s="575"/>
      <c r="Y5364" s="575"/>
    </row>
    <row r="5365" spans="1:25" s="88" customFormat="1" ht="15.75" hidden="1" thickBot="1">
      <c r="A5365" s="334"/>
      <c r="B5365" s="301"/>
      <c r="C5365" s="361"/>
      <c r="D5365" s="296"/>
      <c r="E5365" s="296"/>
      <c r="F5365" s="294" t="s">
        <v>247</v>
      </c>
      <c r="G5365" s="683" t="s">
        <v>5120</v>
      </c>
      <c r="H5365" s="634"/>
      <c r="I5365" s="635"/>
      <c r="J5365" s="639">
        <f t="shared" si="171"/>
        <v>0</v>
      </c>
      <c r="K5365" s="575"/>
      <c r="L5365" s="575"/>
      <c r="M5365" s="575"/>
      <c r="N5365" s="575"/>
      <c r="O5365" s="575"/>
      <c r="P5365" s="575"/>
      <c r="Q5365" s="575"/>
      <c r="R5365" s="575"/>
      <c r="S5365" s="575"/>
      <c r="T5365" s="575"/>
      <c r="U5365" s="575"/>
      <c r="V5365" s="575"/>
      <c r="W5365" s="575"/>
      <c r="X5365" s="575"/>
      <c r="Y5365" s="575"/>
    </row>
    <row r="5366" spans="1:25" s="88" customFormat="1" ht="15.75" hidden="1" thickBot="1">
      <c r="A5366" s="334"/>
      <c r="B5366" s="301"/>
      <c r="C5366" s="361"/>
      <c r="D5366" s="296"/>
      <c r="E5366" s="296"/>
      <c r="F5366" s="294" t="s">
        <v>248</v>
      </c>
      <c r="G5366" s="297" t="s">
        <v>57</v>
      </c>
      <c r="H5366" s="634"/>
      <c r="I5366" s="635"/>
      <c r="J5366" s="639">
        <f t="shared" si="171"/>
        <v>0</v>
      </c>
      <c r="K5366" s="575"/>
      <c r="L5366" s="575"/>
      <c r="M5366" s="575"/>
      <c r="N5366" s="575"/>
      <c r="O5366" s="575"/>
      <c r="P5366" s="575"/>
      <c r="Q5366" s="575"/>
      <c r="R5366" s="575"/>
      <c r="S5366" s="575"/>
      <c r="T5366" s="575"/>
      <c r="U5366" s="575"/>
      <c r="V5366" s="575"/>
      <c r="W5366" s="575"/>
      <c r="X5366" s="575"/>
      <c r="Y5366" s="575"/>
    </row>
    <row r="5367" spans="1:25" s="88" customFormat="1" ht="15.75" hidden="1" thickBot="1">
      <c r="A5367" s="334"/>
      <c r="B5367" s="301"/>
      <c r="C5367" s="361"/>
      <c r="D5367" s="296"/>
      <c r="E5367" s="296"/>
      <c r="F5367" s="294" t="s">
        <v>249</v>
      </c>
      <c r="G5367" s="297" t="s">
        <v>250</v>
      </c>
      <c r="H5367" s="634"/>
      <c r="I5367" s="635"/>
      <c r="J5367" s="639">
        <f t="shared" si="171"/>
        <v>0</v>
      </c>
      <c r="K5367" s="575"/>
      <c r="L5367" s="575"/>
      <c r="M5367" s="575"/>
      <c r="N5367" s="575"/>
      <c r="O5367" s="575"/>
      <c r="P5367" s="575"/>
      <c r="Q5367" s="575"/>
      <c r="R5367" s="575"/>
      <c r="S5367" s="575"/>
      <c r="T5367" s="575"/>
      <c r="U5367" s="575"/>
      <c r="V5367" s="575"/>
      <c r="W5367" s="575"/>
      <c r="X5367" s="575"/>
      <c r="Y5367" s="575"/>
    </row>
    <row r="5368" spans="1:25" s="88" customFormat="1" ht="15.75" hidden="1" thickBot="1">
      <c r="A5368" s="334"/>
      <c r="B5368" s="301"/>
      <c r="C5368" s="361"/>
      <c r="D5368" s="296"/>
      <c r="E5368" s="296"/>
      <c r="F5368" s="294" t="s">
        <v>251</v>
      </c>
      <c r="G5368" s="297" t="s">
        <v>252</v>
      </c>
      <c r="H5368" s="634"/>
      <c r="I5368" s="635"/>
      <c r="J5368" s="639">
        <f t="shared" si="171"/>
        <v>0</v>
      </c>
      <c r="K5368" s="575"/>
      <c r="L5368" s="575"/>
      <c r="M5368" s="575"/>
      <c r="N5368" s="575"/>
      <c r="O5368" s="575"/>
      <c r="P5368" s="575"/>
      <c r="Q5368" s="575"/>
      <c r="R5368" s="575"/>
      <c r="S5368" s="575"/>
      <c r="T5368" s="575"/>
      <c r="U5368" s="575"/>
      <c r="V5368" s="575"/>
      <c r="W5368" s="575"/>
      <c r="X5368" s="575"/>
      <c r="Y5368" s="575"/>
    </row>
    <row r="5369" spans="1:25" s="88" customFormat="1" ht="15.75" hidden="1" thickBot="1">
      <c r="A5369" s="334"/>
      <c r="B5369" s="301"/>
      <c r="C5369" s="361"/>
      <c r="D5369" s="296"/>
      <c r="E5369" s="296"/>
      <c r="F5369" s="294" t="s">
        <v>253</v>
      </c>
      <c r="G5369" s="297" t="s">
        <v>254</v>
      </c>
      <c r="H5369" s="634"/>
      <c r="I5369" s="635"/>
      <c r="J5369" s="639">
        <f t="shared" si="171"/>
        <v>0</v>
      </c>
      <c r="K5369" s="575"/>
      <c r="L5369" s="575"/>
      <c r="M5369" s="575"/>
      <c r="N5369" s="575"/>
      <c r="O5369" s="575"/>
      <c r="P5369" s="575"/>
      <c r="Q5369" s="575"/>
      <c r="R5369" s="575"/>
      <c r="S5369" s="575"/>
      <c r="T5369" s="575"/>
      <c r="U5369" s="575"/>
      <c r="V5369" s="575"/>
      <c r="W5369" s="575"/>
      <c r="X5369" s="575"/>
      <c r="Y5369" s="575"/>
    </row>
    <row r="5370" spans="1:25" s="88" customFormat="1" ht="15.75" hidden="1" thickBot="1">
      <c r="A5370" s="334"/>
      <c r="B5370" s="301"/>
      <c r="C5370" s="361"/>
      <c r="D5370" s="296"/>
      <c r="E5370" s="296"/>
      <c r="F5370" s="294" t="s">
        <v>255</v>
      </c>
      <c r="G5370" s="297" t="s">
        <v>256</v>
      </c>
      <c r="H5370" s="634"/>
      <c r="I5370" s="635"/>
      <c r="J5370" s="639">
        <f t="shared" si="171"/>
        <v>0</v>
      </c>
      <c r="K5370" s="575"/>
      <c r="L5370" s="575"/>
      <c r="M5370" s="575"/>
      <c r="N5370" s="575"/>
      <c r="O5370" s="575"/>
      <c r="P5370" s="575"/>
      <c r="Q5370" s="575"/>
      <c r="R5370" s="575"/>
      <c r="S5370" s="575"/>
      <c r="T5370" s="575"/>
      <c r="U5370" s="575"/>
      <c r="V5370" s="575"/>
      <c r="W5370" s="575"/>
      <c r="X5370" s="575"/>
      <c r="Y5370" s="575"/>
    </row>
    <row r="5371" spans="1:25" s="88" customFormat="1" ht="15.75" hidden="1" thickBot="1">
      <c r="A5371" s="334"/>
      <c r="B5371" s="301"/>
      <c r="C5371" s="361"/>
      <c r="D5371" s="296"/>
      <c r="E5371" s="296"/>
      <c r="F5371" s="294" t="s">
        <v>257</v>
      </c>
      <c r="G5371" s="297" t="s">
        <v>258</v>
      </c>
      <c r="H5371" s="634"/>
      <c r="I5371" s="635"/>
      <c r="J5371" s="639">
        <f t="shared" si="171"/>
        <v>0</v>
      </c>
      <c r="K5371" s="575"/>
      <c r="L5371" s="575"/>
      <c r="M5371" s="575"/>
      <c r="N5371" s="575"/>
      <c r="O5371" s="575"/>
      <c r="P5371" s="575"/>
      <c r="Q5371" s="575"/>
      <c r="R5371" s="575"/>
      <c r="S5371" s="575"/>
      <c r="T5371" s="575"/>
      <c r="U5371" s="575"/>
      <c r="V5371" s="575"/>
      <c r="W5371" s="575"/>
      <c r="X5371" s="575"/>
      <c r="Y5371" s="575"/>
    </row>
    <row r="5372" spans="1:25" s="88" customFormat="1" ht="15.75" hidden="1" thickBot="1">
      <c r="A5372" s="334"/>
      <c r="B5372" s="301"/>
      <c r="C5372" s="361"/>
      <c r="D5372" s="296"/>
      <c r="E5372" s="296"/>
      <c r="F5372" s="294" t="s">
        <v>259</v>
      </c>
      <c r="G5372" s="297" t="s">
        <v>260</v>
      </c>
      <c r="H5372" s="634"/>
      <c r="I5372" s="635"/>
      <c r="J5372" s="639">
        <f t="shared" si="171"/>
        <v>0</v>
      </c>
      <c r="K5372" s="575"/>
      <c r="L5372" s="575"/>
      <c r="M5372" s="575"/>
      <c r="N5372" s="575"/>
      <c r="O5372" s="575"/>
      <c r="P5372" s="575"/>
      <c r="Q5372" s="575"/>
      <c r="R5372" s="575"/>
      <c r="S5372" s="575"/>
      <c r="T5372" s="575"/>
      <c r="U5372" s="575"/>
      <c r="V5372" s="575"/>
      <c r="W5372" s="575"/>
      <c r="X5372" s="575"/>
      <c r="Y5372" s="575"/>
    </row>
    <row r="5373" spans="1:25" s="88" customFormat="1" ht="15.75" hidden="1" thickBot="1">
      <c r="A5373" s="334"/>
      <c r="B5373" s="301"/>
      <c r="C5373" s="361"/>
      <c r="D5373" s="296"/>
      <c r="E5373" s="296"/>
      <c r="F5373" s="294" t="s">
        <v>261</v>
      </c>
      <c r="G5373" s="297" t="s">
        <v>262</v>
      </c>
      <c r="H5373" s="638"/>
      <c r="I5373" s="639"/>
      <c r="J5373" s="639">
        <f t="shared" si="171"/>
        <v>0</v>
      </c>
      <c r="K5373" s="575"/>
      <c r="L5373" s="575"/>
      <c r="M5373" s="575"/>
      <c r="N5373" s="575"/>
      <c r="O5373" s="575"/>
      <c r="P5373" s="575"/>
      <c r="Q5373" s="575"/>
      <c r="R5373" s="575"/>
      <c r="S5373" s="575"/>
      <c r="T5373" s="575"/>
      <c r="U5373" s="575"/>
      <c r="V5373" s="575"/>
      <c r="W5373" s="575"/>
      <c r="X5373" s="575"/>
      <c r="Y5373" s="575"/>
    </row>
    <row r="5374" spans="1:25" s="88" customFormat="1" ht="15.75" thickBot="1">
      <c r="A5374" s="334"/>
      <c r="B5374" s="301"/>
      <c r="C5374" s="361"/>
      <c r="D5374" s="296"/>
      <c r="E5374" s="296"/>
      <c r="F5374" s="263"/>
      <c r="G5374" s="274" t="s">
        <v>4278</v>
      </c>
      <c r="H5374" s="640">
        <f>SUM(H5358:H5373)</f>
        <v>600000</v>
      </c>
      <c r="I5374" s="641">
        <f>SUM(I5359:I5373)</f>
        <v>0</v>
      </c>
      <c r="J5374" s="641">
        <f>SUM(J5358:J5373)</f>
        <v>600000</v>
      </c>
      <c r="K5374" s="575"/>
      <c r="L5374" s="575"/>
      <c r="M5374" s="575"/>
      <c r="N5374" s="575"/>
      <c r="O5374" s="575"/>
      <c r="P5374" s="575"/>
      <c r="Q5374" s="575"/>
      <c r="R5374" s="575"/>
      <c r="S5374" s="575"/>
      <c r="T5374" s="575"/>
      <c r="U5374" s="575"/>
      <c r="V5374" s="575"/>
      <c r="W5374" s="575"/>
      <c r="X5374" s="575"/>
      <c r="Y5374" s="575"/>
    </row>
    <row r="5375" spans="1:25" ht="1.5" hidden="1" customHeight="1"/>
    <row r="5376" spans="1:25" hidden="1"/>
    <row r="5377" spans="1:10" hidden="1">
      <c r="A5377" s="289">
        <v>4</v>
      </c>
      <c r="B5377" s="289">
        <v>4</v>
      </c>
      <c r="C5377" s="265"/>
      <c r="D5377" s="261"/>
      <c r="E5377" s="261"/>
      <c r="F5377" s="261"/>
      <c r="G5377" s="329" t="s">
        <v>4277</v>
      </c>
      <c r="H5377" s="632"/>
      <c r="I5377" s="633"/>
      <c r="J5377" s="633"/>
    </row>
    <row r="5378" spans="1:10" hidden="1">
      <c r="C5378" s="273" t="s">
        <v>3600</v>
      </c>
      <c r="G5378" s="339" t="s">
        <v>4172</v>
      </c>
    </row>
    <row r="5379" spans="1:10" hidden="1">
      <c r="C5379" s="368" t="s">
        <v>4148</v>
      </c>
      <c r="D5379" s="330"/>
      <c r="E5379" s="330"/>
      <c r="F5379" s="267"/>
      <c r="G5379" s="332" t="s">
        <v>3663</v>
      </c>
    </row>
    <row r="5380" spans="1:10" hidden="1">
      <c r="D5380" s="357">
        <v>150</v>
      </c>
      <c r="E5380" s="357"/>
      <c r="F5380" s="357"/>
      <c r="G5380" s="383" t="s">
        <v>4297</v>
      </c>
    </row>
    <row r="5381" spans="1:10" hidden="1">
      <c r="F5381" s="335">
        <v>411</v>
      </c>
      <c r="G5381" s="340" t="s">
        <v>4173</v>
      </c>
      <c r="J5381" s="635">
        <f>SUM(H5381:I5381)</f>
        <v>0</v>
      </c>
    </row>
    <row r="5382" spans="1:10" hidden="1">
      <c r="F5382" s="335">
        <v>412</v>
      </c>
      <c r="G5382" s="337" t="s">
        <v>3770</v>
      </c>
      <c r="J5382" s="635">
        <f t="shared" ref="J5382:J5440" si="172">SUM(H5382:I5382)</f>
        <v>0</v>
      </c>
    </row>
    <row r="5383" spans="1:10" hidden="1">
      <c r="F5383" s="335">
        <v>413</v>
      </c>
      <c r="G5383" s="340" t="s">
        <v>4174</v>
      </c>
      <c r="J5383" s="635">
        <f t="shared" si="172"/>
        <v>0</v>
      </c>
    </row>
    <row r="5384" spans="1:10" hidden="1">
      <c r="F5384" s="335">
        <v>414</v>
      </c>
      <c r="G5384" s="340" t="s">
        <v>3773</v>
      </c>
      <c r="J5384" s="635">
        <f t="shared" si="172"/>
        <v>0</v>
      </c>
    </row>
    <row r="5385" spans="1:10" hidden="1">
      <c r="F5385" s="335">
        <v>415</v>
      </c>
      <c r="G5385" s="340" t="s">
        <v>4183</v>
      </c>
      <c r="J5385" s="635">
        <f t="shared" si="172"/>
        <v>0</v>
      </c>
    </row>
    <row r="5386" spans="1:10" hidden="1">
      <c r="F5386" s="335">
        <v>416</v>
      </c>
      <c r="G5386" s="340" t="s">
        <v>4184</v>
      </c>
      <c r="J5386" s="635">
        <f t="shared" si="172"/>
        <v>0</v>
      </c>
    </row>
    <row r="5387" spans="1:10" hidden="1">
      <c r="F5387" s="335">
        <v>417</v>
      </c>
      <c r="G5387" s="340" t="s">
        <v>4185</v>
      </c>
      <c r="J5387" s="635">
        <f t="shared" si="172"/>
        <v>0</v>
      </c>
    </row>
    <row r="5388" spans="1:10" hidden="1">
      <c r="F5388" s="335">
        <v>418</v>
      </c>
      <c r="G5388" s="340" t="s">
        <v>3779</v>
      </c>
      <c r="J5388" s="635">
        <f t="shared" si="172"/>
        <v>0</v>
      </c>
    </row>
    <row r="5389" spans="1:10" hidden="1">
      <c r="F5389" s="335">
        <v>421</v>
      </c>
      <c r="G5389" s="340" t="s">
        <v>3783</v>
      </c>
      <c r="J5389" s="635">
        <f t="shared" si="172"/>
        <v>0</v>
      </c>
    </row>
    <row r="5390" spans="1:10" hidden="1">
      <c r="F5390" s="335">
        <v>422</v>
      </c>
      <c r="G5390" s="340" t="s">
        <v>3784</v>
      </c>
      <c r="J5390" s="635">
        <f t="shared" si="172"/>
        <v>0</v>
      </c>
    </row>
    <row r="5391" spans="1:10" hidden="1">
      <c r="F5391" s="335">
        <v>423</v>
      </c>
      <c r="G5391" s="340" t="s">
        <v>3785</v>
      </c>
      <c r="J5391" s="635">
        <f t="shared" si="172"/>
        <v>0</v>
      </c>
    </row>
    <row r="5392" spans="1:10" hidden="1">
      <c r="F5392" s="335">
        <v>424</v>
      </c>
      <c r="G5392" s="340" t="s">
        <v>3787</v>
      </c>
      <c r="J5392" s="635">
        <f t="shared" si="172"/>
        <v>0</v>
      </c>
    </row>
    <row r="5393" spans="6:10" hidden="1">
      <c r="F5393" s="335">
        <v>425</v>
      </c>
      <c r="G5393" s="340" t="s">
        <v>4186</v>
      </c>
      <c r="J5393" s="635">
        <f t="shared" si="172"/>
        <v>0</v>
      </c>
    </row>
    <row r="5394" spans="6:10" ht="15.75" hidden="1" thickBot="1">
      <c r="F5394" s="335">
        <v>426</v>
      </c>
      <c r="G5394" s="340" t="s">
        <v>3791</v>
      </c>
      <c r="J5394" s="635">
        <f t="shared" si="172"/>
        <v>0</v>
      </c>
    </row>
    <row r="5395" spans="6:10" ht="15.75" hidden="1" thickBot="1">
      <c r="F5395" s="335">
        <v>431</v>
      </c>
      <c r="G5395" s="340" t="s">
        <v>4187</v>
      </c>
      <c r="J5395" s="635">
        <f t="shared" si="172"/>
        <v>0</v>
      </c>
    </row>
    <row r="5396" spans="6:10" ht="15.75" hidden="1" thickBot="1">
      <c r="F5396" s="335">
        <v>432</v>
      </c>
      <c r="G5396" s="340" t="s">
        <v>4188</v>
      </c>
      <c r="J5396" s="635">
        <f t="shared" si="172"/>
        <v>0</v>
      </c>
    </row>
    <row r="5397" spans="6:10" ht="15.75" hidden="1" thickBot="1">
      <c r="F5397" s="335">
        <v>433</v>
      </c>
      <c r="G5397" s="340" t="s">
        <v>4189</v>
      </c>
      <c r="J5397" s="635">
        <f t="shared" si="172"/>
        <v>0</v>
      </c>
    </row>
    <row r="5398" spans="6:10" ht="15.75" hidden="1" thickBot="1">
      <c r="F5398" s="335">
        <v>434</v>
      </c>
      <c r="G5398" s="340" t="s">
        <v>4190</v>
      </c>
      <c r="J5398" s="635">
        <f t="shared" si="172"/>
        <v>0</v>
      </c>
    </row>
    <row r="5399" spans="6:10" ht="15.75" hidden="1" thickBot="1">
      <c r="F5399" s="335">
        <v>435</v>
      </c>
      <c r="G5399" s="340" t="s">
        <v>3798</v>
      </c>
      <c r="J5399" s="635">
        <f t="shared" si="172"/>
        <v>0</v>
      </c>
    </row>
    <row r="5400" spans="6:10" ht="15.75" hidden="1" thickBot="1">
      <c r="F5400" s="335">
        <v>441</v>
      </c>
      <c r="G5400" s="340" t="s">
        <v>4191</v>
      </c>
      <c r="J5400" s="635">
        <f t="shared" si="172"/>
        <v>0</v>
      </c>
    </row>
    <row r="5401" spans="6:10" ht="15.75" hidden="1" thickBot="1">
      <c r="F5401" s="335">
        <v>442</v>
      </c>
      <c r="G5401" s="340" t="s">
        <v>4192</v>
      </c>
      <c r="J5401" s="635">
        <f t="shared" si="172"/>
        <v>0</v>
      </c>
    </row>
    <row r="5402" spans="6:10" ht="15.75" hidden="1" thickBot="1">
      <c r="F5402" s="335">
        <v>443</v>
      </c>
      <c r="G5402" s="340" t="s">
        <v>3803</v>
      </c>
      <c r="J5402" s="635">
        <f t="shared" si="172"/>
        <v>0</v>
      </c>
    </row>
    <row r="5403" spans="6:10" ht="15.75" hidden="1" thickBot="1">
      <c r="F5403" s="335">
        <v>444</v>
      </c>
      <c r="G5403" s="340" t="s">
        <v>3804</v>
      </c>
      <c r="J5403" s="635">
        <f t="shared" si="172"/>
        <v>0</v>
      </c>
    </row>
    <row r="5404" spans="6:10" ht="30.75" hidden="1" thickBot="1">
      <c r="F5404" s="335">
        <v>4511</v>
      </c>
      <c r="G5404" s="268" t="s">
        <v>1690</v>
      </c>
      <c r="J5404" s="635">
        <f t="shared" si="172"/>
        <v>0</v>
      </c>
    </row>
    <row r="5405" spans="6:10" ht="30.75" hidden="1" thickBot="1">
      <c r="F5405" s="335">
        <v>4512</v>
      </c>
      <c r="G5405" s="268" t="s">
        <v>1699</v>
      </c>
      <c r="J5405" s="635">
        <f t="shared" si="172"/>
        <v>0</v>
      </c>
    </row>
    <row r="5406" spans="6:10" ht="15.75" hidden="1" thickBot="1">
      <c r="F5406" s="335">
        <v>452</v>
      </c>
      <c r="G5406" s="340" t="s">
        <v>4193</v>
      </c>
      <c r="J5406" s="635">
        <f t="shared" si="172"/>
        <v>0</v>
      </c>
    </row>
    <row r="5407" spans="6:10" ht="15.75" hidden="1" thickBot="1">
      <c r="F5407" s="335">
        <v>453</v>
      </c>
      <c r="G5407" s="340" t="s">
        <v>4194</v>
      </c>
      <c r="J5407" s="635">
        <f t="shared" si="172"/>
        <v>0</v>
      </c>
    </row>
    <row r="5408" spans="6:10" ht="15.75" hidden="1" thickBot="1">
      <c r="F5408" s="335">
        <v>454</v>
      </c>
      <c r="G5408" s="340" t="s">
        <v>3809</v>
      </c>
      <c r="J5408" s="635">
        <f t="shared" si="172"/>
        <v>0</v>
      </c>
    </row>
    <row r="5409" spans="6:10" ht="15.75" hidden="1" thickBot="1">
      <c r="F5409" s="335">
        <v>461</v>
      </c>
      <c r="G5409" s="340" t="s">
        <v>4175</v>
      </c>
      <c r="J5409" s="635">
        <f t="shared" si="172"/>
        <v>0</v>
      </c>
    </row>
    <row r="5410" spans="6:10" ht="15.75" hidden="1" thickBot="1">
      <c r="F5410" s="335">
        <v>462</v>
      </c>
      <c r="G5410" s="340" t="s">
        <v>3812</v>
      </c>
      <c r="J5410" s="635">
        <f t="shared" si="172"/>
        <v>0</v>
      </c>
    </row>
    <row r="5411" spans="6:10" ht="15.75" hidden="1" thickBot="1">
      <c r="F5411" s="335">
        <v>4631</v>
      </c>
      <c r="G5411" s="340" t="s">
        <v>3813</v>
      </c>
      <c r="J5411" s="635">
        <f t="shared" si="172"/>
        <v>0</v>
      </c>
    </row>
    <row r="5412" spans="6:10" ht="15.75" hidden="1" thickBot="1">
      <c r="F5412" s="335">
        <v>4632</v>
      </c>
      <c r="G5412" s="340" t="s">
        <v>3814</v>
      </c>
      <c r="J5412" s="635">
        <f t="shared" si="172"/>
        <v>0</v>
      </c>
    </row>
    <row r="5413" spans="6:10" ht="15.75" hidden="1" thickBot="1">
      <c r="F5413" s="335">
        <v>464</v>
      </c>
      <c r="G5413" s="340" t="s">
        <v>3815</v>
      </c>
      <c r="J5413" s="635">
        <f t="shared" si="172"/>
        <v>0</v>
      </c>
    </row>
    <row r="5414" spans="6:10" ht="15.75" hidden="1" thickBot="1">
      <c r="F5414" s="335">
        <v>465</v>
      </c>
      <c r="G5414" s="340" t="s">
        <v>4176</v>
      </c>
      <c r="J5414" s="635">
        <f t="shared" si="172"/>
        <v>0</v>
      </c>
    </row>
    <row r="5415" spans="6:10" ht="15.75" hidden="1" thickBot="1">
      <c r="F5415" s="335">
        <v>472</v>
      </c>
      <c r="G5415" s="340" t="s">
        <v>3819</v>
      </c>
      <c r="J5415" s="635">
        <f t="shared" si="172"/>
        <v>0</v>
      </c>
    </row>
    <row r="5416" spans="6:10" ht="15.75" hidden="1" thickBot="1">
      <c r="F5416" s="335">
        <v>481</v>
      </c>
      <c r="G5416" s="340" t="s">
        <v>4195</v>
      </c>
      <c r="J5416" s="635">
        <f t="shared" si="172"/>
        <v>0</v>
      </c>
    </row>
    <row r="5417" spans="6:10" ht="15.75" hidden="1" thickBot="1">
      <c r="F5417" s="335">
        <v>482</v>
      </c>
      <c r="G5417" s="340" t="s">
        <v>4196</v>
      </c>
      <c r="J5417" s="635">
        <f t="shared" si="172"/>
        <v>0</v>
      </c>
    </row>
    <row r="5418" spans="6:10" ht="15.75" hidden="1" thickBot="1">
      <c r="F5418" s="335">
        <v>483</v>
      </c>
      <c r="G5418" s="343" t="s">
        <v>4197</v>
      </c>
      <c r="J5418" s="635">
        <f t="shared" si="172"/>
        <v>0</v>
      </c>
    </row>
    <row r="5419" spans="6:10" ht="30.75" hidden="1" thickBot="1">
      <c r="F5419" s="335">
        <v>484</v>
      </c>
      <c r="G5419" s="340" t="s">
        <v>4198</v>
      </c>
      <c r="J5419" s="635">
        <f t="shared" si="172"/>
        <v>0</v>
      </c>
    </row>
    <row r="5420" spans="6:10" ht="30.75" hidden="1" thickBot="1">
      <c r="F5420" s="335">
        <v>485</v>
      </c>
      <c r="G5420" s="340" t="s">
        <v>4199</v>
      </c>
      <c r="J5420" s="635">
        <f t="shared" si="172"/>
        <v>0</v>
      </c>
    </row>
    <row r="5421" spans="6:10" ht="30.75" hidden="1" thickBot="1">
      <c r="F5421" s="335">
        <v>489</v>
      </c>
      <c r="G5421" s="340" t="s">
        <v>3827</v>
      </c>
      <c r="J5421" s="635">
        <f t="shared" si="172"/>
        <v>0</v>
      </c>
    </row>
    <row r="5422" spans="6:10" ht="15.75" hidden="1" thickBot="1">
      <c r="F5422" s="335">
        <v>494</v>
      </c>
      <c r="G5422" s="340" t="s">
        <v>4177</v>
      </c>
      <c r="J5422" s="635">
        <f t="shared" si="172"/>
        <v>0</v>
      </c>
    </row>
    <row r="5423" spans="6:10" ht="30.75" hidden="1" thickBot="1">
      <c r="F5423" s="335">
        <v>495</v>
      </c>
      <c r="G5423" s="340" t="s">
        <v>4178</v>
      </c>
      <c r="J5423" s="635">
        <f t="shared" si="172"/>
        <v>0</v>
      </c>
    </row>
    <row r="5424" spans="6:10" ht="30.75" hidden="1" thickBot="1">
      <c r="F5424" s="335">
        <v>496</v>
      </c>
      <c r="G5424" s="340" t="s">
        <v>4179</v>
      </c>
      <c r="J5424" s="635">
        <f t="shared" si="172"/>
        <v>0</v>
      </c>
    </row>
    <row r="5425" spans="6:10" ht="15.75" hidden="1" thickBot="1">
      <c r="F5425" s="335">
        <v>499</v>
      </c>
      <c r="G5425" s="340" t="s">
        <v>4180</v>
      </c>
      <c r="J5425" s="635">
        <f t="shared" si="172"/>
        <v>0</v>
      </c>
    </row>
    <row r="5426" spans="6:10" ht="15.75" hidden="1" thickBot="1">
      <c r="F5426" s="335">
        <v>511</v>
      </c>
      <c r="G5426" s="343" t="s">
        <v>4200</v>
      </c>
      <c r="J5426" s="635">
        <f t="shared" si="172"/>
        <v>0</v>
      </c>
    </row>
    <row r="5427" spans="6:10" ht="15.75" hidden="1" thickBot="1">
      <c r="F5427" s="335">
        <v>512</v>
      </c>
      <c r="G5427" s="343" t="s">
        <v>4201</v>
      </c>
      <c r="J5427" s="635">
        <f t="shared" si="172"/>
        <v>0</v>
      </c>
    </row>
    <row r="5428" spans="6:10" ht="15.75" hidden="1" thickBot="1">
      <c r="F5428" s="335">
        <v>513</v>
      </c>
      <c r="G5428" s="343" t="s">
        <v>4202</v>
      </c>
      <c r="J5428" s="635">
        <f t="shared" si="172"/>
        <v>0</v>
      </c>
    </row>
    <row r="5429" spans="6:10" ht="15.75" hidden="1" thickBot="1">
      <c r="F5429" s="335">
        <v>514</v>
      </c>
      <c r="G5429" s="340" t="s">
        <v>4203</v>
      </c>
      <c r="J5429" s="635">
        <f t="shared" si="172"/>
        <v>0</v>
      </c>
    </row>
    <row r="5430" spans="6:10" ht="15.75" hidden="1" thickBot="1">
      <c r="F5430" s="335">
        <v>515</v>
      </c>
      <c r="G5430" s="340" t="s">
        <v>3838</v>
      </c>
      <c r="J5430" s="635">
        <f t="shared" si="172"/>
        <v>0</v>
      </c>
    </row>
    <row r="5431" spans="6:10" ht="15.75" hidden="1" thickBot="1">
      <c r="F5431" s="335">
        <v>521</v>
      </c>
      <c r="G5431" s="340" t="s">
        <v>4204</v>
      </c>
      <c r="J5431" s="635">
        <f t="shared" si="172"/>
        <v>0</v>
      </c>
    </row>
    <row r="5432" spans="6:10" ht="15.75" hidden="1" thickBot="1">
      <c r="F5432" s="335">
        <v>522</v>
      </c>
      <c r="G5432" s="340" t="s">
        <v>4205</v>
      </c>
      <c r="J5432" s="635">
        <f t="shared" si="172"/>
        <v>0</v>
      </c>
    </row>
    <row r="5433" spans="6:10" ht="15.75" hidden="1" thickBot="1">
      <c r="F5433" s="335">
        <v>523</v>
      </c>
      <c r="G5433" s="340" t="s">
        <v>3843</v>
      </c>
      <c r="J5433" s="635">
        <f t="shared" si="172"/>
        <v>0</v>
      </c>
    </row>
    <row r="5434" spans="6:10" ht="15.75" hidden="1" thickBot="1">
      <c r="F5434" s="335">
        <v>531</v>
      </c>
      <c r="G5434" s="337" t="s">
        <v>4181</v>
      </c>
      <c r="J5434" s="635">
        <f t="shared" si="172"/>
        <v>0</v>
      </c>
    </row>
    <row r="5435" spans="6:10" ht="15.75" hidden="1" thickBot="1">
      <c r="F5435" s="335">
        <v>541</v>
      </c>
      <c r="G5435" s="340" t="s">
        <v>4206</v>
      </c>
      <c r="J5435" s="635">
        <f t="shared" si="172"/>
        <v>0</v>
      </c>
    </row>
    <row r="5436" spans="6:10" ht="15.75" hidden="1" thickBot="1">
      <c r="F5436" s="335">
        <v>542</v>
      </c>
      <c r="G5436" s="340" t="s">
        <v>4207</v>
      </c>
      <c r="J5436" s="635">
        <f t="shared" si="172"/>
        <v>0</v>
      </c>
    </row>
    <row r="5437" spans="6:10" ht="15.75" hidden="1" thickBot="1">
      <c r="F5437" s="335">
        <v>543</v>
      </c>
      <c r="G5437" s="340" t="s">
        <v>3848</v>
      </c>
      <c r="J5437" s="635">
        <f t="shared" si="172"/>
        <v>0</v>
      </c>
    </row>
    <row r="5438" spans="6:10" ht="30.75" hidden="1" thickBot="1">
      <c r="F5438" s="335">
        <v>551</v>
      </c>
      <c r="G5438" s="340" t="s">
        <v>4182</v>
      </c>
      <c r="J5438" s="635">
        <f t="shared" si="172"/>
        <v>0</v>
      </c>
    </row>
    <row r="5439" spans="6:10" ht="15.75" hidden="1" thickBot="1">
      <c r="F5439" s="336">
        <v>611</v>
      </c>
      <c r="G5439" s="344" t="s">
        <v>3854</v>
      </c>
      <c r="J5439" s="635">
        <f t="shared" si="172"/>
        <v>0</v>
      </c>
    </row>
    <row r="5440" spans="6:10" ht="15.75" hidden="1" thickBot="1">
      <c r="F5440" s="336">
        <v>620</v>
      </c>
      <c r="G5440" s="344" t="s">
        <v>88</v>
      </c>
      <c r="J5440" s="635">
        <f t="shared" si="172"/>
        <v>0</v>
      </c>
    </row>
    <row r="5441" spans="5:10" hidden="1">
      <c r="E5441" s="338"/>
      <c r="F5441" s="346"/>
      <c r="G5441" s="372" t="s">
        <v>4394</v>
      </c>
      <c r="H5441" s="636"/>
      <c r="I5441" s="662"/>
      <c r="J5441" s="637"/>
    </row>
    <row r="5442" spans="5:10" hidden="1">
      <c r="E5442" s="267"/>
      <c r="F5442" s="294" t="s">
        <v>234</v>
      </c>
      <c r="G5442" s="297" t="s">
        <v>235</v>
      </c>
      <c r="H5442" s="638">
        <f>SUM(H5381:H5440)</f>
        <v>0</v>
      </c>
      <c r="I5442" s="639"/>
      <c r="J5442" s="639">
        <f t="shared" ref="J5442:J5457" si="173">SUM(H5442:I5442)</f>
        <v>0</v>
      </c>
    </row>
    <row r="5443" spans="5:10" hidden="1">
      <c r="F5443" s="294" t="s">
        <v>236</v>
      </c>
      <c r="G5443" s="297" t="s">
        <v>237</v>
      </c>
      <c r="J5443" s="639">
        <f t="shared" si="173"/>
        <v>0</v>
      </c>
    </row>
    <row r="5444" spans="5:10" hidden="1">
      <c r="F5444" s="294" t="s">
        <v>238</v>
      </c>
      <c r="G5444" s="297" t="s">
        <v>239</v>
      </c>
      <c r="J5444" s="639">
        <f t="shared" si="173"/>
        <v>0</v>
      </c>
    </row>
    <row r="5445" spans="5:10" hidden="1">
      <c r="F5445" s="294" t="s">
        <v>240</v>
      </c>
      <c r="G5445" s="297" t="s">
        <v>241</v>
      </c>
      <c r="J5445" s="639">
        <f t="shared" si="173"/>
        <v>0</v>
      </c>
    </row>
    <row r="5446" spans="5:10" hidden="1">
      <c r="F5446" s="294" t="s">
        <v>242</v>
      </c>
      <c r="G5446" s="297" t="s">
        <v>243</v>
      </c>
      <c r="J5446" s="639">
        <f t="shared" si="173"/>
        <v>0</v>
      </c>
    </row>
    <row r="5447" spans="5:10" hidden="1">
      <c r="F5447" s="294" t="s">
        <v>244</v>
      </c>
      <c r="G5447" s="297" t="s">
        <v>245</v>
      </c>
      <c r="J5447" s="639">
        <f t="shared" si="173"/>
        <v>0</v>
      </c>
    </row>
    <row r="5448" spans="5:10" hidden="1">
      <c r="F5448" s="294" t="s">
        <v>246</v>
      </c>
      <c r="G5448" s="683" t="s">
        <v>5121</v>
      </c>
      <c r="J5448" s="639">
        <f t="shared" si="173"/>
        <v>0</v>
      </c>
    </row>
    <row r="5449" spans="5:10" ht="15.75" hidden="1" thickBot="1">
      <c r="F5449" s="294" t="s">
        <v>247</v>
      </c>
      <c r="G5449" s="683" t="s">
        <v>5120</v>
      </c>
      <c r="J5449" s="639">
        <f t="shared" si="173"/>
        <v>0</v>
      </c>
    </row>
    <row r="5450" spans="5:10" ht="15.75" hidden="1" thickBot="1">
      <c r="F5450" s="294" t="s">
        <v>248</v>
      </c>
      <c r="G5450" s="297" t="s">
        <v>57</v>
      </c>
      <c r="J5450" s="639">
        <f t="shared" si="173"/>
        <v>0</v>
      </c>
    </row>
    <row r="5451" spans="5:10" ht="15.75" hidden="1" thickBot="1">
      <c r="F5451" s="294" t="s">
        <v>249</v>
      </c>
      <c r="G5451" s="297" t="s">
        <v>250</v>
      </c>
      <c r="J5451" s="639">
        <f t="shared" si="173"/>
        <v>0</v>
      </c>
    </row>
    <row r="5452" spans="5:10" ht="15.75" hidden="1" thickBot="1">
      <c r="F5452" s="294" t="s">
        <v>251</v>
      </c>
      <c r="G5452" s="297" t="s">
        <v>252</v>
      </c>
      <c r="J5452" s="639">
        <f t="shared" si="173"/>
        <v>0</v>
      </c>
    </row>
    <row r="5453" spans="5:10" ht="15.75" hidden="1" thickBot="1">
      <c r="F5453" s="294" t="s">
        <v>253</v>
      </c>
      <c r="G5453" s="297" t="s">
        <v>254</v>
      </c>
      <c r="J5453" s="639">
        <f t="shared" si="173"/>
        <v>0</v>
      </c>
    </row>
    <row r="5454" spans="5:10" ht="15.75" hidden="1" thickBot="1">
      <c r="F5454" s="294" t="s">
        <v>255</v>
      </c>
      <c r="G5454" s="297" t="s">
        <v>256</v>
      </c>
      <c r="J5454" s="639">
        <f t="shared" si="173"/>
        <v>0</v>
      </c>
    </row>
    <row r="5455" spans="5:10" ht="15.75" hidden="1" thickBot="1">
      <c r="F5455" s="294" t="s">
        <v>257</v>
      </c>
      <c r="G5455" s="297" t="s">
        <v>258</v>
      </c>
      <c r="J5455" s="639">
        <f t="shared" si="173"/>
        <v>0</v>
      </c>
    </row>
    <row r="5456" spans="5:10" ht="15.75" hidden="1" thickBot="1">
      <c r="F5456" s="294" t="s">
        <v>259</v>
      </c>
      <c r="G5456" s="297" t="s">
        <v>260</v>
      </c>
      <c r="J5456" s="639">
        <f t="shared" si="173"/>
        <v>0</v>
      </c>
    </row>
    <row r="5457" spans="5:10" ht="15.75" hidden="1" thickBot="1">
      <c r="F5457" s="294" t="s">
        <v>261</v>
      </c>
      <c r="G5457" s="297" t="s">
        <v>262</v>
      </c>
      <c r="H5457" s="638"/>
      <c r="I5457" s="639"/>
      <c r="J5457" s="639">
        <f t="shared" si="173"/>
        <v>0</v>
      </c>
    </row>
    <row r="5458" spans="5:10" ht="15.75" hidden="1" thickBot="1">
      <c r="G5458" s="274" t="s">
        <v>4395</v>
      </c>
      <c r="H5458" s="640">
        <f>SUM(H5442:H5457)</f>
        <v>0</v>
      </c>
      <c r="I5458" s="641">
        <f>SUM(I5443:I5457)</f>
        <v>0</v>
      </c>
      <c r="J5458" s="641">
        <f>SUM(J5442:J5457)</f>
        <v>0</v>
      </c>
    </row>
    <row r="5459" spans="5:10" hidden="1" collapsed="1">
      <c r="E5459" s="333"/>
      <c r="F5459" s="336"/>
      <c r="G5459" s="276" t="s">
        <v>4279</v>
      </c>
      <c r="H5459" s="642"/>
      <c r="I5459" s="663"/>
      <c r="J5459" s="643"/>
    </row>
    <row r="5460" spans="5:10" hidden="1">
      <c r="E5460" s="267"/>
      <c r="F5460" s="294" t="s">
        <v>234</v>
      </c>
      <c r="G5460" s="297" t="s">
        <v>235</v>
      </c>
      <c r="H5460" s="638">
        <f>SUM(H5381:H5440)</f>
        <v>0</v>
      </c>
      <c r="I5460" s="639"/>
      <c r="J5460" s="639">
        <f>SUM(H5460:I5460)</f>
        <v>0</v>
      </c>
    </row>
    <row r="5461" spans="5:10" hidden="1">
      <c r="F5461" s="294" t="s">
        <v>236</v>
      </c>
      <c r="G5461" s="297" t="s">
        <v>237</v>
      </c>
      <c r="J5461" s="639">
        <f t="shared" ref="J5461:J5475" si="174">SUM(H5461:I5461)</f>
        <v>0</v>
      </c>
    </row>
    <row r="5462" spans="5:10" hidden="1">
      <c r="F5462" s="294" t="s">
        <v>238</v>
      </c>
      <c r="G5462" s="297" t="s">
        <v>239</v>
      </c>
      <c r="J5462" s="639">
        <f t="shared" si="174"/>
        <v>0</v>
      </c>
    </row>
    <row r="5463" spans="5:10" hidden="1">
      <c r="F5463" s="294" t="s">
        <v>240</v>
      </c>
      <c r="G5463" s="297" t="s">
        <v>241</v>
      </c>
      <c r="J5463" s="639">
        <f t="shared" si="174"/>
        <v>0</v>
      </c>
    </row>
    <row r="5464" spans="5:10" hidden="1">
      <c r="F5464" s="294" t="s">
        <v>242</v>
      </c>
      <c r="G5464" s="297" t="s">
        <v>243</v>
      </c>
      <c r="J5464" s="639">
        <f t="shared" si="174"/>
        <v>0</v>
      </c>
    </row>
    <row r="5465" spans="5:10" hidden="1">
      <c r="F5465" s="294" t="s">
        <v>244</v>
      </c>
      <c r="G5465" s="297" t="s">
        <v>245</v>
      </c>
      <c r="J5465" s="639">
        <f t="shared" si="174"/>
        <v>0</v>
      </c>
    </row>
    <row r="5466" spans="5:10" hidden="1">
      <c r="F5466" s="294" t="s">
        <v>246</v>
      </c>
      <c r="G5466" s="683" t="s">
        <v>5121</v>
      </c>
      <c r="J5466" s="639">
        <f t="shared" si="174"/>
        <v>0</v>
      </c>
    </row>
    <row r="5467" spans="5:10" ht="15.75" hidden="1" thickBot="1">
      <c r="F5467" s="294" t="s">
        <v>247</v>
      </c>
      <c r="G5467" s="683" t="s">
        <v>5120</v>
      </c>
      <c r="J5467" s="639">
        <f t="shared" si="174"/>
        <v>0</v>
      </c>
    </row>
    <row r="5468" spans="5:10" ht="15.75" hidden="1" thickBot="1">
      <c r="F5468" s="294" t="s">
        <v>248</v>
      </c>
      <c r="G5468" s="297" t="s">
        <v>57</v>
      </c>
      <c r="J5468" s="639">
        <f t="shared" si="174"/>
        <v>0</v>
      </c>
    </row>
    <row r="5469" spans="5:10" ht="15.75" hidden="1" thickBot="1">
      <c r="F5469" s="294" t="s">
        <v>249</v>
      </c>
      <c r="G5469" s="297" t="s">
        <v>250</v>
      </c>
      <c r="J5469" s="639">
        <f t="shared" si="174"/>
        <v>0</v>
      </c>
    </row>
    <row r="5470" spans="5:10" ht="15.75" hidden="1" thickBot="1">
      <c r="F5470" s="294" t="s">
        <v>251</v>
      </c>
      <c r="G5470" s="297" t="s">
        <v>252</v>
      </c>
      <c r="J5470" s="639">
        <f t="shared" si="174"/>
        <v>0</v>
      </c>
    </row>
    <row r="5471" spans="5:10" ht="15.75" hidden="1" thickBot="1">
      <c r="F5471" s="294" t="s">
        <v>253</v>
      </c>
      <c r="G5471" s="297" t="s">
        <v>254</v>
      </c>
      <c r="J5471" s="639">
        <f t="shared" si="174"/>
        <v>0</v>
      </c>
    </row>
    <row r="5472" spans="5:10" ht="15.75" hidden="1" thickBot="1">
      <c r="F5472" s="294" t="s">
        <v>255</v>
      </c>
      <c r="G5472" s="297" t="s">
        <v>256</v>
      </c>
      <c r="J5472" s="639">
        <f t="shared" si="174"/>
        <v>0</v>
      </c>
    </row>
    <row r="5473" spans="3:10" ht="15.75" hidden="1" thickBot="1">
      <c r="F5473" s="294" t="s">
        <v>257</v>
      </c>
      <c r="G5473" s="297" t="s">
        <v>258</v>
      </c>
      <c r="J5473" s="639">
        <f t="shared" si="174"/>
        <v>0</v>
      </c>
    </row>
    <row r="5474" spans="3:10" ht="15.75" hidden="1" thickBot="1">
      <c r="F5474" s="294" t="s">
        <v>259</v>
      </c>
      <c r="G5474" s="297" t="s">
        <v>260</v>
      </c>
      <c r="J5474" s="639">
        <f t="shared" si="174"/>
        <v>0</v>
      </c>
    </row>
    <row r="5475" spans="3:10" ht="15.75" hidden="1" thickBot="1">
      <c r="F5475" s="294" t="s">
        <v>261</v>
      </c>
      <c r="G5475" s="297" t="s">
        <v>262</v>
      </c>
      <c r="H5475" s="638"/>
      <c r="I5475" s="639"/>
      <c r="J5475" s="639">
        <f t="shared" si="174"/>
        <v>0</v>
      </c>
    </row>
    <row r="5476" spans="3:10" ht="15.75" hidden="1" collapsed="1" thickBot="1">
      <c r="G5476" s="274" t="s">
        <v>4280</v>
      </c>
      <c r="H5476" s="640">
        <f>SUM(H5460:H5475)</f>
        <v>0</v>
      </c>
      <c r="I5476" s="641">
        <f>SUM(I5461:I5475)</f>
        <v>0</v>
      </c>
      <c r="J5476" s="641">
        <f>SUM(J5460:J5475)</f>
        <v>0</v>
      </c>
    </row>
    <row r="5477" spans="3:10" hidden="1"/>
    <row r="5478" spans="3:10" hidden="1"/>
    <row r="5479" spans="3:10" hidden="1">
      <c r="C5479" s="273" t="s">
        <v>4940</v>
      </c>
      <c r="D5479" s="264"/>
      <c r="G5479" s="341"/>
    </row>
    <row r="5480" spans="3:10" hidden="1">
      <c r="C5480" s="273"/>
      <c r="D5480" s="357">
        <v>150</v>
      </c>
      <c r="E5480" s="357"/>
      <c r="F5480" s="357"/>
      <c r="G5480" s="383" t="s">
        <v>4297</v>
      </c>
    </row>
    <row r="5481" spans="3:10" hidden="1">
      <c r="F5481" s="335">
        <v>411</v>
      </c>
      <c r="G5481" s="340" t="s">
        <v>4173</v>
      </c>
      <c r="J5481" s="635">
        <f>SUM(H5481:I5481)</f>
        <v>0</v>
      </c>
    </row>
    <row r="5482" spans="3:10" hidden="1">
      <c r="F5482" s="335">
        <v>412</v>
      </c>
      <c r="G5482" s="337" t="s">
        <v>3770</v>
      </c>
      <c r="J5482" s="635">
        <f t="shared" ref="J5482:J5540" si="175">SUM(H5482:I5482)</f>
        <v>0</v>
      </c>
    </row>
    <row r="5483" spans="3:10" hidden="1">
      <c r="F5483" s="335">
        <v>413</v>
      </c>
      <c r="G5483" s="340" t="s">
        <v>4174</v>
      </c>
      <c r="J5483" s="635">
        <f t="shared" si="175"/>
        <v>0</v>
      </c>
    </row>
    <row r="5484" spans="3:10" hidden="1">
      <c r="F5484" s="335">
        <v>414</v>
      </c>
      <c r="G5484" s="340" t="s">
        <v>3773</v>
      </c>
      <c r="J5484" s="635">
        <f t="shared" si="175"/>
        <v>0</v>
      </c>
    </row>
    <row r="5485" spans="3:10" hidden="1">
      <c r="F5485" s="335">
        <v>415</v>
      </c>
      <c r="G5485" s="340" t="s">
        <v>4183</v>
      </c>
      <c r="J5485" s="635">
        <f t="shared" si="175"/>
        <v>0</v>
      </c>
    </row>
    <row r="5486" spans="3:10" hidden="1">
      <c r="F5486" s="335">
        <v>416</v>
      </c>
      <c r="G5486" s="340" t="s">
        <v>4184</v>
      </c>
      <c r="J5486" s="635">
        <f t="shared" si="175"/>
        <v>0</v>
      </c>
    </row>
    <row r="5487" spans="3:10" hidden="1">
      <c r="F5487" s="335">
        <v>417</v>
      </c>
      <c r="G5487" s="340" t="s">
        <v>4185</v>
      </c>
      <c r="J5487" s="635">
        <f t="shared" si="175"/>
        <v>0</v>
      </c>
    </row>
    <row r="5488" spans="3:10" hidden="1">
      <c r="F5488" s="335">
        <v>418</v>
      </c>
      <c r="G5488" s="340" t="s">
        <v>3779</v>
      </c>
      <c r="J5488" s="635">
        <f t="shared" si="175"/>
        <v>0</v>
      </c>
    </row>
    <row r="5489" spans="6:10" hidden="1">
      <c r="F5489" s="335">
        <v>421</v>
      </c>
      <c r="G5489" s="340" t="s">
        <v>3783</v>
      </c>
      <c r="J5489" s="635">
        <f t="shared" si="175"/>
        <v>0</v>
      </c>
    </row>
    <row r="5490" spans="6:10" hidden="1">
      <c r="F5490" s="335">
        <v>422</v>
      </c>
      <c r="G5490" s="340" t="s">
        <v>3784</v>
      </c>
      <c r="J5490" s="635">
        <f t="shared" si="175"/>
        <v>0</v>
      </c>
    </row>
    <row r="5491" spans="6:10" hidden="1">
      <c r="F5491" s="335">
        <v>423</v>
      </c>
      <c r="G5491" s="340" t="s">
        <v>3785</v>
      </c>
      <c r="J5491" s="635">
        <f t="shared" si="175"/>
        <v>0</v>
      </c>
    </row>
    <row r="5492" spans="6:10" hidden="1">
      <c r="F5492" s="335">
        <v>424</v>
      </c>
      <c r="G5492" s="340" t="s">
        <v>3787</v>
      </c>
      <c r="J5492" s="635">
        <f t="shared" si="175"/>
        <v>0</v>
      </c>
    </row>
    <row r="5493" spans="6:10" hidden="1">
      <c r="F5493" s="335">
        <v>425</v>
      </c>
      <c r="G5493" s="340" t="s">
        <v>4186</v>
      </c>
      <c r="J5493" s="635">
        <f t="shared" si="175"/>
        <v>0</v>
      </c>
    </row>
    <row r="5494" spans="6:10" hidden="1">
      <c r="F5494" s="335">
        <v>426</v>
      </c>
      <c r="G5494" s="340" t="s">
        <v>3791</v>
      </c>
      <c r="J5494" s="635">
        <f t="shared" si="175"/>
        <v>0</v>
      </c>
    </row>
    <row r="5495" spans="6:10" ht="15.75" hidden="1" thickBot="1">
      <c r="F5495" s="335">
        <v>431</v>
      </c>
      <c r="G5495" s="340" t="s">
        <v>4187</v>
      </c>
      <c r="J5495" s="635">
        <f t="shared" si="175"/>
        <v>0</v>
      </c>
    </row>
    <row r="5496" spans="6:10" ht="15.75" hidden="1" thickBot="1">
      <c r="F5496" s="335">
        <v>432</v>
      </c>
      <c r="G5496" s="340" t="s">
        <v>4188</v>
      </c>
      <c r="J5496" s="635">
        <f t="shared" si="175"/>
        <v>0</v>
      </c>
    </row>
    <row r="5497" spans="6:10" ht="15.75" hidden="1" thickBot="1">
      <c r="F5497" s="335">
        <v>433</v>
      </c>
      <c r="G5497" s="340" t="s">
        <v>4189</v>
      </c>
      <c r="J5497" s="635">
        <f t="shared" si="175"/>
        <v>0</v>
      </c>
    </row>
    <row r="5498" spans="6:10" ht="15.75" hidden="1" thickBot="1">
      <c r="F5498" s="335">
        <v>434</v>
      </c>
      <c r="G5498" s="340" t="s">
        <v>4190</v>
      </c>
      <c r="J5498" s="635">
        <f t="shared" si="175"/>
        <v>0</v>
      </c>
    </row>
    <row r="5499" spans="6:10" ht="15.75" hidden="1" thickBot="1">
      <c r="F5499" s="335">
        <v>435</v>
      </c>
      <c r="G5499" s="340" t="s">
        <v>3798</v>
      </c>
      <c r="J5499" s="635">
        <f t="shared" si="175"/>
        <v>0</v>
      </c>
    </row>
    <row r="5500" spans="6:10" ht="15.75" hidden="1" thickBot="1">
      <c r="F5500" s="335">
        <v>441</v>
      </c>
      <c r="G5500" s="340" t="s">
        <v>4191</v>
      </c>
      <c r="J5500" s="635">
        <f t="shared" si="175"/>
        <v>0</v>
      </c>
    </row>
    <row r="5501" spans="6:10" ht="15.75" hidden="1" thickBot="1">
      <c r="F5501" s="335">
        <v>442</v>
      </c>
      <c r="G5501" s="340" t="s">
        <v>4192</v>
      </c>
      <c r="J5501" s="635">
        <f t="shared" si="175"/>
        <v>0</v>
      </c>
    </row>
    <row r="5502" spans="6:10" ht="15.75" hidden="1" thickBot="1">
      <c r="F5502" s="335">
        <v>443</v>
      </c>
      <c r="G5502" s="340" t="s">
        <v>3803</v>
      </c>
      <c r="J5502" s="635">
        <f t="shared" si="175"/>
        <v>0</v>
      </c>
    </row>
    <row r="5503" spans="6:10" ht="15.75" hidden="1" thickBot="1">
      <c r="F5503" s="335">
        <v>444</v>
      </c>
      <c r="G5503" s="340" t="s">
        <v>3804</v>
      </c>
      <c r="J5503" s="635">
        <f t="shared" si="175"/>
        <v>0</v>
      </c>
    </row>
    <row r="5504" spans="6:10" ht="30.75" hidden="1" thickBot="1">
      <c r="F5504" s="335">
        <v>4511</v>
      </c>
      <c r="G5504" s="268" t="s">
        <v>1690</v>
      </c>
      <c r="J5504" s="635">
        <f t="shared" si="175"/>
        <v>0</v>
      </c>
    </row>
    <row r="5505" spans="6:10" ht="30.75" hidden="1" thickBot="1">
      <c r="F5505" s="335">
        <v>4512</v>
      </c>
      <c r="G5505" s="268" t="s">
        <v>1699</v>
      </c>
      <c r="J5505" s="635">
        <f t="shared" si="175"/>
        <v>0</v>
      </c>
    </row>
    <row r="5506" spans="6:10" ht="15.75" hidden="1" thickBot="1">
      <c r="F5506" s="335">
        <v>452</v>
      </c>
      <c r="G5506" s="340" t="s">
        <v>4193</v>
      </c>
      <c r="J5506" s="635">
        <f t="shared" si="175"/>
        <v>0</v>
      </c>
    </row>
    <row r="5507" spans="6:10" ht="15.75" hidden="1" thickBot="1">
      <c r="F5507" s="335">
        <v>453</v>
      </c>
      <c r="G5507" s="340" t="s">
        <v>4194</v>
      </c>
      <c r="J5507" s="635">
        <f t="shared" si="175"/>
        <v>0</v>
      </c>
    </row>
    <row r="5508" spans="6:10" ht="15.75" hidden="1" thickBot="1">
      <c r="F5508" s="335">
        <v>454</v>
      </c>
      <c r="G5508" s="340" t="s">
        <v>3809</v>
      </c>
      <c r="J5508" s="635">
        <f t="shared" si="175"/>
        <v>0</v>
      </c>
    </row>
    <row r="5509" spans="6:10" ht="15.75" hidden="1" thickBot="1">
      <c r="F5509" s="335">
        <v>461</v>
      </c>
      <c r="G5509" s="340" t="s">
        <v>4175</v>
      </c>
      <c r="J5509" s="635">
        <f t="shared" si="175"/>
        <v>0</v>
      </c>
    </row>
    <row r="5510" spans="6:10" ht="15.75" hidden="1" thickBot="1">
      <c r="F5510" s="335">
        <v>462</v>
      </c>
      <c r="G5510" s="340" t="s">
        <v>3812</v>
      </c>
      <c r="J5510" s="635">
        <f t="shared" si="175"/>
        <v>0</v>
      </c>
    </row>
    <row r="5511" spans="6:10" ht="15.75" hidden="1" thickBot="1">
      <c r="F5511" s="335">
        <v>4631</v>
      </c>
      <c r="G5511" s="340" t="s">
        <v>3813</v>
      </c>
      <c r="J5511" s="635">
        <f t="shared" si="175"/>
        <v>0</v>
      </c>
    </row>
    <row r="5512" spans="6:10" ht="15.75" hidden="1" thickBot="1">
      <c r="F5512" s="335">
        <v>4632</v>
      </c>
      <c r="G5512" s="340" t="s">
        <v>3814</v>
      </c>
      <c r="J5512" s="635">
        <f t="shared" si="175"/>
        <v>0</v>
      </c>
    </row>
    <row r="5513" spans="6:10" ht="15.75" hidden="1" thickBot="1">
      <c r="F5513" s="335">
        <v>464</v>
      </c>
      <c r="G5513" s="340" t="s">
        <v>3815</v>
      </c>
      <c r="J5513" s="635">
        <f t="shared" si="175"/>
        <v>0</v>
      </c>
    </row>
    <row r="5514" spans="6:10" ht="15.75" hidden="1" thickBot="1">
      <c r="F5514" s="335">
        <v>465</v>
      </c>
      <c r="G5514" s="340" t="s">
        <v>4176</v>
      </c>
      <c r="J5514" s="635">
        <f t="shared" si="175"/>
        <v>0</v>
      </c>
    </row>
    <row r="5515" spans="6:10" ht="15.75" hidden="1" thickBot="1">
      <c r="F5515" s="335">
        <v>472</v>
      </c>
      <c r="G5515" s="340" t="s">
        <v>3819</v>
      </c>
      <c r="J5515" s="635">
        <f t="shared" si="175"/>
        <v>0</v>
      </c>
    </row>
    <row r="5516" spans="6:10" ht="15.75" hidden="1" thickBot="1">
      <c r="F5516" s="335">
        <v>481</v>
      </c>
      <c r="G5516" s="340" t="s">
        <v>4195</v>
      </c>
      <c r="J5516" s="635">
        <f t="shared" si="175"/>
        <v>0</v>
      </c>
    </row>
    <row r="5517" spans="6:10" ht="15.75" hidden="1" thickBot="1">
      <c r="F5517" s="335">
        <v>482</v>
      </c>
      <c r="G5517" s="340" t="s">
        <v>4196</v>
      </c>
      <c r="J5517" s="635">
        <f t="shared" si="175"/>
        <v>0</v>
      </c>
    </row>
    <row r="5518" spans="6:10" ht="15.75" hidden="1" thickBot="1">
      <c r="F5518" s="335">
        <v>483</v>
      </c>
      <c r="G5518" s="343" t="s">
        <v>4197</v>
      </c>
      <c r="J5518" s="635">
        <f t="shared" si="175"/>
        <v>0</v>
      </c>
    </row>
    <row r="5519" spans="6:10" ht="30.75" hidden="1" thickBot="1">
      <c r="F5519" s="335">
        <v>484</v>
      </c>
      <c r="G5519" s="340" t="s">
        <v>4198</v>
      </c>
      <c r="J5519" s="635">
        <f t="shared" si="175"/>
        <v>0</v>
      </c>
    </row>
    <row r="5520" spans="6:10" ht="30.75" hidden="1" thickBot="1">
      <c r="F5520" s="335">
        <v>485</v>
      </c>
      <c r="G5520" s="340" t="s">
        <v>4199</v>
      </c>
      <c r="J5520" s="635">
        <f t="shared" si="175"/>
        <v>0</v>
      </c>
    </row>
    <row r="5521" spans="6:10" ht="30.75" hidden="1" thickBot="1">
      <c r="F5521" s="335">
        <v>489</v>
      </c>
      <c r="G5521" s="340" t="s">
        <v>3827</v>
      </c>
      <c r="J5521" s="635">
        <f t="shared" si="175"/>
        <v>0</v>
      </c>
    </row>
    <row r="5522" spans="6:10" ht="15.75" hidden="1" thickBot="1">
      <c r="F5522" s="335">
        <v>494</v>
      </c>
      <c r="G5522" s="340" t="s">
        <v>4177</v>
      </c>
      <c r="J5522" s="635">
        <f t="shared" si="175"/>
        <v>0</v>
      </c>
    </row>
    <row r="5523" spans="6:10" ht="30.75" hidden="1" thickBot="1">
      <c r="F5523" s="335">
        <v>495</v>
      </c>
      <c r="G5523" s="340" t="s">
        <v>4178</v>
      </c>
      <c r="J5523" s="635">
        <f t="shared" si="175"/>
        <v>0</v>
      </c>
    </row>
    <row r="5524" spans="6:10" ht="30.75" hidden="1" thickBot="1">
      <c r="F5524" s="335">
        <v>496</v>
      </c>
      <c r="G5524" s="340" t="s">
        <v>4179</v>
      </c>
      <c r="J5524" s="635">
        <f t="shared" si="175"/>
        <v>0</v>
      </c>
    </row>
    <row r="5525" spans="6:10" ht="15.75" hidden="1" thickBot="1">
      <c r="F5525" s="335">
        <v>499</v>
      </c>
      <c r="G5525" s="340" t="s">
        <v>4180</v>
      </c>
      <c r="J5525" s="635">
        <f t="shared" si="175"/>
        <v>0</v>
      </c>
    </row>
    <row r="5526" spans="6:10" ht="15.75" hidden="1" thickBot="1">
      <c r="F5526" s="335">
        <v>511</v>
      </c>
      <c r="G5526" s="343" t="s">
        <v>4200</v>
      </c>
      <c r="J5526" s="635">
        <f t="shared" si="175"/>
        <v>0</v>
      </c>
    </row>
    <row r="5527" spans="6:10" ht="15.75" hidden="1" thickBot="1">
      <c r="F5527" s="335">
        <v>512</v>
      </c>
      <c r="G5527" s="343" t="s">
        <v>4201</v>
      </c>
      <c r="J5527" s="635">
        <f t="shared" si="175"/>
        <v>0</v>
      </c>
    </row>
    <row r="5528" spans="6:10" ht="15.75" hidden="1" thickBot="1">
      <c r="F5528" s="335">
        <v>513</v>
      </c>
      <c r="G5528" s="343" t="s">
        <v>4202</v>
      </c>
      <c r="J5528" s="635">
        <f t="shared" si="175"/>
        <v>0</v>
      </c>
    </row>
    <row r="5529" spans="6:10" ht="15.75" hidden="1" thickBot="1">
      <c r="F5529" s="335">
        <v>514</v>
      </c>
      <c r="G5529" s="340" t="s">
        <v>4203</v>
      </c>
      <c r="J5529" s="635">
        <f t="shared" si="175"/>
        <v>0</v>
      </c>
    </row>
    <row r="5530" spans="6:10" ht="15.75" hidden="1" thickBot="1">
      <c r="F5530" s="335">
        <v>515</v>
      </c>
      <c r="G5530" s="340" t="s">
        <v>3838</v>
      </c>
      <c r="J5530" s="635">
        <f t="shared" si="175"/>
        <v>0</v>
      </c>
    </row>
    <row r="5531" spans="6:10" ht="15.75" hidden="1" thickBot="1">
      <c r="F5531" s="335">
        <v>521</v>
      </c>
      <c r="G5531" s="340" t="s">
        <v>4204</v>
      </c>
      <c r="J5531" s="635">
        <f t="shared" si="175"/>
        <v>0</v>
      </c>
    </row>
    <row r="5532" spans="6:10" ht="15.75" hidden="1" thickBot="1">
      <c r="F5532" s="335">
        <v>522</v>
      </c>
      <c r="G5532" s="340" t="s">
        <v>4205</v>
      </c>
      <c r="J5532" s="635">
        <f t="shared" si="175"/>
        <v>0</v>
      </c>
    </row>
    <row r="5533" spans="6:10" ht="15.75" hidden="1" thickBot="1">
      <c r="F5533" s="335">
        <v>523</v>
      </c>
      <c r="G5533" s="340" t="s">
        <v>3843</v>
      </c>
      <c r="J5533" s="635">
        <f t="shared" si="175"/>
        <v>0</v>
      </c>
    </row>
    <row r="5534" spans="6:10" ht="15.75" hidden="1" thickBot="1">
      <c r="F5534" s="335">
        <v>531</v>
      </c>
      <c r="G5534" s="337" t="s">
        <v>4181</v>
      </c>
      <c r="J5534" s="635">
        <f t="shared" si="175"/>
        <v>0</v>
      </c>
    </row>
    <row r="5535" spans="6:10" ht="15.75" hidden="1" thickBot="1">
      <c r="F5535" s="335">
        <v>541</v>
      </c>
      <c r="G5535" s="340" t="s">
        <v>4206</v>
      </c>
      <c r="J5535" s="635">
        <f t="shared" si="175"/>
        <v>0</v>
      </c>
    </row>
    <row r="5536" spans="6:10" ht="15.75" hidden="1" thickBot="1">
      <c r="F5536" s="335">
        <v>542</v>
      </c>
      <c r="G5536" s="340" t="s">
        <v>4207</v>
      </c>
      <c r="J5536" s="635">
        <f t="shared" si="175"/>
        <v>0</v>
      </c>
    </row>
    <row r="5537" spans="5:10" ht="15.75" hidden="1" thickBot="1">
      <c r="F5537" s="335">
        <v>543</v>
      </c>
      <c r="G5537" s="340" t="s">
        <v>3848</v>
      </c>
      <c r="J5537" s="635">
        <f t="shared" si="175"/>
        <v>0</v>
      </c>
    </row>
    <row r="5538" spans="5:10" ht="30.75" hidden="1" thickBot="1">
      <c r="F5538" s="335">
        <v>551</v>
      </c>
      <c r="G5538" s="340" t="s">
        <v>4182</v>
      </c>
      <c r="J5538" s="635">
        <f t="shared" si="175"/>
        <v>0</v>
      </c>
    </row>
    <row r="5539" spans="5:10" ht="15.75" hidden="1" thickBot="1">
      <c r="F5539" s="336">
        <v>611</v>
      </c>
      <c r="G5539" s="344" t="s">
        <v>3854</v>
      </c>
      <c r="J5539" s="635">
        <f t="shared" si="175"/>
        <v>0</v>
      </c>
    </row>
    <row r="5540" spans="5:10" ht="15.75" hidden="1" thickBot="1">
      <c r="F5540" s="336">
        <v>620</v>
      </c>
      <c r="G5540" s="344" t="s">
        <v>88</v>
      </c>
      <c r="J5540" s="635">
        <f t="shared" si="175"/>
        <v>0</v>
      </c>
    </row>
    <row r="5541" spans="5:10" hidden="1">
      <c r="E5541" s="338"/>
      <c r="F5541" s="346"/>
      <c r="G5541" s="372" t="s">
        <v>4394</v>
      </c>
      <c r="H5541" s="636"/>
      <c r="I5541" s="662"/>
      <c r="J5541" s="637"/>
    </row>
    <row r="5542" spans="5:10" ht="15.75" hidden="1" thickBot="1">
      <c r="E5542" s="267"/>
      <c r="F5542" s="294" t="s">
        <v>234</v>
      </c>
      <c r="G5542" s="297" t="s">
        <v>235</v>
      </c>
      <c r="H5542" s="638">
        <f>SUM(H5481:H5540)</f>
        <v>0</v>
      </c>
      <c r="I5542" s="639"/>
      <c r="J5542" s="639">
        <f t="shared" ref="J5542:J5557" si="176">SUM(H5542:I5542)</f>
        <v>0</v>
      </c>
    </row>
    <row r="5543" spans="5:10" ht="15.75" hidden="1" thickBot="1">
      <c r="F5543" s="294" t="s">
        <v>236</v>
      </c>
      <c r="G5543" s="297" t="s">
        <v>237</v>
      </c>
      <c r="J5543" s="639">
        <f t="shared" si="176"/>
        <v>0</v>
      </c>
    </row>
    <row r="5544" spans="5:10" ht="15.75" hidden="1" thickBot="1">
      <c r="F5544" s="294" t="s">
        <v>238</v>
      </c>
      <c r="G5544" s="297" t="s">
        <v>239</v>
      </c>
      <c r="J5544" s="639">
        <f t="shared" si="176"/>
        <v>0</v>
      </c>
    </row>
    <row r="5545" spans="5:10" ht="15.75" hidden="1" thickBot="1">
      <c r="F5545" s="294" t="s">
        <v>240</v>
      </c>
      <c r="G5545" s="297" t="s">
        <v>241</v>
      </c>
      <c r="J5545" s="639">
        <f t="shared" si="176"/>
        <v>0</v>
      </c>
    </row>
    <row r="5546" spans="5:10" ht="15.75" hidden="1" thickBot="1">
      <c r="F5546" s="294" t="s">
        <v>242</v>
      </c>
      <c r="G5546" s="297" t="s">
        <v>243</v>
      </c>
      <c r="J5546" s="639">
        <f t="shared" si="176"/>
        <v>0</v>
      </c>
    </row>
    <row r="5547" spans="5:10" ht="15.75" hidden="1" thickBot="1">
      <c r="F5547" s="294" t="s">
        <v>244</v>
      </c>
      <c r="G5547" s="297" t="s">
        <v>245</v>
      </c>
      <c r="J5547" s="639">
        <f t="shared" si="176"/>
        <v>0</v>
      </c>
    </row>
    <row r="5548" spans="5:10" ht="15.75" hidden="1" thickBot="1">
      <c r="F5548" s="294" t="s">
        <v>246</v>
      </c>
      <c r="G5548" s="683" t="s">
        <v>5121</v>
      </c>
      <c r="J5548" s="639">
        <f t="shared" si="176"/>
        <v>0</v>
      </c>
    </row>
    <row r="5549" spans="5:10" ht="15.75" hidden="1" thickBot="1">
      <c r="F5549" s="294" t="s">
        <v>247</v>
      </c>
      <c r="G5549" s="683" t="s">
        <v>5120</v>
      </c>
      <c r="J5549" s="639">
        <f t="shared" si="176"/>
        <v>0</v>
      </c>
    </row>
    <row r="5550" spans="5:10" ht="15.75" hidden="1" thickBot="1">
      <c r="F5550" s="294" t="s">
        <v>248</v>
      </c>
      <c r="G5550" s="297" t="s">
        <v>57</v>
      </c>
      <c r="J5550" s="639">
        <f t="shared" si="176"/>
        <v>0</v>
      </c>
    </row>
    <row r="5551" spans="5:10" ht="15.75" hidden="1" thickBot="1">
      <c r="F5551" s="294" t="s">
        <v>249</v>
      </c>
      <c r="G5551" s="297" t="s">
        <v>250</v>
      </c>
      <c r="J5551" s="639">
        <f t="shared" si="176"/>
        <v>0</v>
      </c>
    </row>
    <row r="5552" spans="5:10" ht="15.75" hidden="1" thickBot="1">
      <c r="F5552" s="294" t="s">
        <v>251</v>
      </c>
      <c r="G5552" s="297" t="s">
        <v>252</v>
      </c>
      <c r="J5552" s="639">
        <f t="shared" si="176"/>
        <v>0</v>
      </c>
    </row>
    <row r="5553" spans="5:10" ht="15.75" hidden="1" thickBot="1">
      <c r="F5553" s="294" t="s">
        <v>253</v>
      </c>
      <c r="G5553" s="297" t="s">
        <v>254</v>
      </c>
      <c r="J5553" s="639">
        <f t="shared" si="176"/>
        <v>0</v>
      </c>
    </row>
    <row r="5554" spans="5:10" ht="15.75" hidden="1" thickBot="1">
      <c r="F5554" s="294" t="s">
        <v>255</v>
      </c>
      <c r="G5554" s="297" t="s">
        <v>256</v>
      </c>
      <c r="J5554" s="639">
        <f t="shared" si="176"/>
        <v>0</v>
      </c>
    </row>
    <row r="5555" spans="5:10" ht="15.75" hidden="1" thickBot="1">
      <c r="F5555" s="294" t="s">
        <v>257</v>
      </c>
      <c r="G5555" s="297" t="s">
        <v>258</v>
      </c>
      <c r="J5555" s="639">
        <f t="shared" si="176"/>
        <v>0</v>
      </c>
    </row>
    <row r="5556" spans="5:10" ht="15.75" hidden="1" thickBot="1">
      <c r="F5556" s="294" t="s">
        <v>259</v>
      </c>
      <c r="G5556" s="297" t="s">
        <v>260</v>
      </c>
      <c r="J5556" s="639">
        <f t="shared" si="176"/>
        <v>0</v>
      </c>
    </row>
    <row r="5557" spans="5:10" ht="15.75" hidden="1" thickBot="1">
      <c r="F5557" s="294" t="s">
        <v>261</v>
      </c>
      <c r="G5557" s="297" t="s">
        <v>262</v>
      </c>
      <c r="H5557" s="638"/>
      <c r="I5557" s="639"/>
      <c r="J5557" s="639">
        <f t="shared" si="176"/>
        <v>0</v>
      </c>
    </row>
    <row r="5558" spans="5:10" ht="15.75" hidden="1" thickBot="1">
      <c r="G5558" s="274" t="s">
        <v>4395</v>
      </c>
      <c r="H5558" s="640">
        <f>SUM(H5542:H5557)</f>
        <v>0</v>
      </c>
      <c r="I5558" s="641">
        <f>SUM(I5543:I5557)</f>
        <v>0</v>
      </c>
      <c r="J5558" s="641">
        <f>SUM(J5542:J5557)</f>
        <v>0</v>
      </c>
    </row>
    <row r="5559" spans="5:10" hidden="1">
      <c r="E5559" s="333"/>
      <c r="F5559" s="336"/>
      <c r="G5559" s="276" t="s">
        <v>5052</v>
      </c>
      <c r="H5559" s="642"/>
      <c r="I5559" s="663"/>
      <c r="J5559" s="643"/>
    </row>
    <row r="5560" spans="5:10" ht="15.75" hidden="1" thickBot="1">
      <c r="E5560" s="267"/>
      <c r="F5560" s="294" t="s">
        <v>234</v>
      </c>
      <c r="G5560" s="297" t="s">
        <v>235</v>
      </c>
      <c r="H5560" s="638">
        <f>SUM(H5481:H5540)</f>
        <v>0</v>
      </c>
      <c r="I5560" s="639"/>
      <c r="J5560" s="639">
        <f>SUM(H5560:I5560)</f>
        <v>0</v>
      </c>
    </row>
    <row r="5561" spans="5:10" ht="15.75" hidden="1" thickBot="1">
      <c r="F5561" s="294" t="s">
        <v>236</v>
      </c>
      <c r="G5561" s="297" t="s">
        <v>237</v>
      </c>
      <c r="J5561" s="639">
        <f t="shared" ref="J5561:J5575" si="177">SUM(H5561:I5561)</f>
        <v>0</v>
      </c>
    </row>
    <row r="5562" spans="5:10" ht="15.75" hidden="1" thickBot="1">
      <c r="F5562" s="294" t="s">
        <v>238</v>
      </c>
      <c r="G5562" s="297" t="s">
        <v>239</v>
      </c>
      <c r="J5562" s="639">
        <f t="shared" si="177"/>
        <v>0</v>
      </c>
    </row>
    <row r="5563" spans="5:10" ht="15.75" hidden="1" thickBot="1">
      <c r="F5563" s="294" t="s">
        <v>240</v>
      </c>
      <c r="G5563" s="297" t="s">
        <v>241</v>
      </c>
      <c r="J5563" s="639">
        <f t="shared" si="177"/>
        <v>0</v>
      </c>
    </row>
    <row r="5564" spans="5:10" ht="15.75" hidden="1" thickBot="1">
      <c r="F5564" s="294" t="s">
        <v>242</v>
      </c>
      <c r="G5564" s="297" t="s">
        <v>243</v>
      </c>
      <c r="J5564" s="639">
        <f t="shared" si="177"/>
        <v>0</v>
      </c>
    </row>
    <row r="5565" spans="5:10" ht="15.75" hidden="1" thickBot="1">
      <c r="F5565" s="294" t="s">
        <v>244</v>
      </c>
      <c r="G5565" s="297" t="s">
        <v>245</v>
      </c>
      <c r="J5565" s="639">
        <f t="shared" si="177"/>
        <v>0</v>
      </c>
    </row>
    <row r="5566" spans="5:10" ht="15.75" hidden="1" thickBot="1">
      <c r="F5566" s="294" t="s">
        <v>246</v>
      </c>
      <c r="G5566" s="683" t="s">
        <v>5121</v>
      </c>
      <c r="J5566" s="639">
        <f t="shared" si="177"/>
        <v>0</v>
      </c>
    </row>
    <row r="5567" spans="5:10" ht="15.75" hidden="1" thickBot="1">
      <c r="F5567" s="294" t="s">
        <v>247</v>
      </c>
      <c r="G5567" s="683" t="s">
        <v>5120</v>
      </c>
      <c r="J5567" s="639">
        <f t="shared" si="177"/>
        <v>0</v>
      </c>
    </row>
    <row r="5568" spans="5:10" ht="15.75" hidden="1" thickBot="1">
      <c r="F5568" s="294" t="s">
        <v>248</v>
      </c>
      <c r="G5568" s="297" t="s">
        <v>57</v>
      </c>
      <c r="J5568" s="639">
        <f t="shared" si="177"/>
        <v>0</v>
      </c>
    </row>
    <row r="5569" spans="5:10" ht="15.75" hidden="1" thickBot="1">
      <c r="F5569" s="294" t="s">
        <v>249</v>
      </c>
      <c r="G5569" s="297" t="s">
        <v>250</v>
      </c>
      <c r="J5569" s="639">
        <f t="shared" si="177"/>
        <v>0</v>
      </c>
    </row>
    <row r="5570" spans="5:10" ht="15.75" hidden="1" thickBot="1">
      <c r="F5570" s="294" t="s">
        <v>251</v>
      </c>
      <c r="G5570" s="297" t="s">
        <v>252</v>
      </c>
      <c r="J5570" s="639">
        <f t="shared" si="177"/>
        <v>0</v>
      </c>
    </row>
    <row r="5571" spans="5:10" ht="15.75" hidden="1" thickBot="1">
      <c r="F5571" s="294" t="s">
        <v>253</v>
      </c>
      <c r="G5571" s="297" t="s">
        <v>254</v>
      </c>
      <c r="J5571" s="639">
        <f t="shared" si="177"/>
        <v>0</v>
      </c>
    </row>
    <row r="5572" spans="5:10" ht="15.75" hidden="1" thickBot="1">
      <c r="F5572" s="294" t="s">
        <v>255</v>
      </c>
      <c r="G5572" s="297" t="s">
        <v>256</v>
      </c>
      <c r="J5572" s="639">
        <f t="shared" si="177"/>
        <v>0</v>
      </c>
    </row>
    <row r="5573" spans="5:10" ht="15.75" hidden="1" thickBot="1">
      <c r="F5573" s="294" t="s">
        <v>257</v>
      </c>
      <c r="G5573" s="297" t="s">
        <v>258</v>
      </c>
      <c r="J5573" s="639">
        <f t="shared" si="177"/>
        <v>0</v>
      </c>
    </row>
    <row r="5574" spans="5:10" ht="15.75" hidden="1" thickBot="1">
      <c r="F5574" s="294" t="s">
        <v>259</v>
      </c>
      <c r="G5574" s="297" t="s">
        <v>260</v>
      </c>
      <c r="J5574" s="639">
        <f t="shared" si="177"/>
        <v>0</v>
      </c>
    </row>
    <row r="5575" spans="5:10" ht="15.75" hidden="1" thickBot="1">
      <c r="F5575" s="294" t="s">
        <v>261</v>
      </c>
      <c r="G5575" s="297" t="s">
        <v>262</v>
      </c>
      <c r="H5575" s="638"/>
      <c r="I5575" s="639"/>
      <c r="J5575" s="639">
        <f t="shared" si="177"/>
        <v>0</v>
      </c>
    </row>
    <row r="5576" spans="5:10" ht="15.75" hidden="1" thickBot="1">
      <c r="G5576" s="274" t="s">
        <v>5053</v>
      </c>
      <c r="H5576" s="640">
        <f>SUM(H5560:H5575)</f>
        <v>0</v>
      </c>
      <c r="I5576" s="641">
        <f>SUM(I5561:I5575)</f>
        <v>0</v>
      </c>
      <c r="J5576" s="641">
        <f>SUM(J5560:J5575)</f>
        <v>0</v>
      </c>
    </row>
    <row r="5577" spans="5:10" hidden="1"/>
    <row r="5578" spans="5:10" hidden="1">
      <c r="E5578" s="338"/>
      <c r="F5578" s="346"/>
      <c r="G5578" s="295" t="s">
        <v>4209</v>
      </c>
      <c r="H5578" s="646"/>
      <c r="I5578" s="664"/>
      <c r="J5578" s="647"/>
    </row>
    <row r="5579" spans="5:10" ht="15.75" hidden="1" thickBot="1">
      <c r="E5579" s="267"/>
      <c r="F5579" s="294" t="s">
        <v>234</v>
      </c>
      <c r="G5579" s="297" t="s">
        <v>235</v>
      </c>
      <c r="H5579" s="638">
        <f>SUM(H5460,H5560)</f>
        <v>0</v>
      </c>
      <c r="I5579" s="639"/>
      <c r="J5579" s="639">
        <f>SUM(H5579:I5579)</f>
        <v>0</v>
      </c>
    </row>
    <row r="5580" spans="5:10" ht="15.75" hidden="1" thickBot="1">
      <c r="F5580" s="294" t="s">
        <v>236</v>
      </c>
      <c r="G5580" s="297" t="s">
        <v>237</v>
      </c>
      <c r="J5580" s="639">
        <f t="shared" ref="J5580:J5594" si="178">SUM(H5580:I5580)</f>
        <v>0</v>
      </c>
    </row>
    <row r="5581" spans="5:10" ht="15.75" hidden="1" thickBot="1">
      <c r="F5581" s="294" t="s">
        <v>238</v>
      </c>
      <c r="G5581" s="297" t="s">
        <v>239</v>
      </c>
      <c r="J5581" s="639">
        <f t="shared" si="178"/>
        <v>0</v>
      </c>
    </row>
    <row r="5582" spans="5:10" ht="15.75" hidden="1" thickBot="1">
      <c r="F5582" s="294" t="s">
        <v>240</v>
      </c>
      <c r="G5582" s="297" t="s">
        <v>241</v>
      </c>
      <c r="J5582" s="639">
        <f t="shared" si="178"/>
        <v>0</v>
      </c>
    </row>
    <row r="5583" spans="5:10" ht="15.75" hidden="1" thickBot="1">
      <c r="F5583" s="294" t="s">
        <v>242</v>
      </c>
      <c r="G5583" s="297" t="s">
        <v>243</v>
      </c>
      <c r="J5583" s="639">
        <f t="shared" si="178"/>
        <v>0</v>
      </c>
    </row>
    <row r="5584" spans="5:10" ht="15.75" hidden="1" thickBot="1">
      <c r="F5584" s="294" t="s">
        <v>244</v>
      </c>
      <c r="G5584" s="297" t="s">
        <v>245</v>
      </c>
      <c r="J5584" s="639">
        <f t="shared" si="178"/>
        <v>0</v>
      </c>
    </row>
    <row r="5585" spans="1:25" ht="15.75" hidden="1" thickBot="1">
      <c r="F5585" s="294" t="s">
        <v>246</v>
      </c>
      <c r="G5585" s="683" t="s">
        <v>5121</v>
      </c>
      <c r="J5585" s="639">
        <f t="shared" si="178"/>
        <v>0</v>
      </c>
    </row>
    <row r="5586" spans="1:25" ht="15.75" hidden="1" thickBot="1">
      <c r="F5586" s="294" t="s">
        <v>247</v>
      </c>
      <c r="G5586" s="683" t="s">
        <v>5120</v>
      </c>
      <c r="J5586" s="639">
        <f t="shared" si="178"/>
        <v>0</v>
      </c>
    </row>
    <row r="5587" spans="1:25" ht="15.75" hidden="1" thickBot="1">
      <c r="F5587" s="294" t="s">
        <v>248</v>
      </c>
      <c r="G5587" s="297" t="s">
        <v>57</v>
      </c>
      <c r="J5587" s="639">
        <f t="shared" si="178"/>
        <v>0</v>
      </c>
    </row>
    <row r="5588" spans="1:25" ht="15.75" hidden="1" thickBot="1">
      <c r="F5588" s="294" t="s">
        <v>249</v>
      </c>
      <c r="G5588" s="297" t="s">
        <v>250</v>
      </c>
      <c r="J5588" s="639">
        <f t="shared" si="178"/>
        <v>0</v>
      </c>
    </row>
    <row r="5589" spans="1:25" ht="15.75" hidden="1" thickBot="1">
      <c r="F5589" s="294" t="s">
        <v>251</v>
      </c>
      <c r="G5589" s="297" t="s">
        <v>252</v>
      </c>
      <c r="J5589" s="639">
        <f t="shared" si="178"/>
        <v>0</v>
      </c>
    </row>
    <row r="5590" spans="1:25" ht="15.75" hidden="1" thickBot="1">
      <c r="F5590" s="294" t="s">
        <v>253</v>
      </c>
      <c r="G5590" s="297" t="s">
        <v>254</v>
      </c>
      <c r="J5590" s="639">
        <f t="shared" si="178"/>
        <v>0</v>
      </c>
    </row>
    <row r="5591" spans="1:25" ht="15.75" hidden="1" thickBot="1">
      <c r="F5591" s="294" t="s">
        <v>255</v>
      </c>
      <c r="G5591" s="297" t="s">
        <v>256</v>
      </c>
      <c r="J5591" s="639">
        <f t="shared" si="178"/>
        <v>0</v>
      </c>
    </row>
    <row r="5592" spans="1:25" ht="15.75" hidden="1" thickBot="1">
      <c r="F5592" s="294" t="s">
        <v>257</v>
      </c>
      <c r="G5592" s="297" t="s">
        <v>258</v>
      </c>
      <c r="J5592" s="639">
        <f t="shared" si="178"/>
        <v>0</v>
      </c>
    </row>
    <row r="5593" spans="1:25" ht="15.75" hidden="1" thickBot="1">
      <c r="F5593" s="294" t="s">
        <v>259</v>
      </c>
      <c r="G5593" s="297" t="s">
        <v>260</v>
      </c>
      <c r="J5593" s="639">
        <f t="shared" si="178"/>
        <v>0</v>
      </c>
    </row>
    <row r="5594" spans="1:25" ht="15.75" hidden="1" thickBot="1">
      <c r="F5594" s="294" t="s">
        <v>261</v>
      </c>
      <c r="G5594" s="297" t="s">
        <v>262</v>
      </c>
      <c r="H5594" s="638"/>
      <c r="I5594" s="639"/>
      <c r="J5594" s="639">
        <f t="shared" si="178"/>
        <v>0</v>
      </c>
    </row>
    <row r="5595" spans="1:25" ht="15.75" hidden="1" thickBot="1">
      <c r="G5595" s="274" t="s">
        <v>4210</v>
      </c>
      <c r="H5595" s="640">
        <f>SUM(H5579:H5594)</f>
        <v>0</v>
      </c>
      <c r="I5595" s="641">
        <f>SUM(I5580:I5594)</f>
        <v>0</v>
      </c>
      <c r="J5595" s="641">
        <f>SUM(J5579:J5594)</f>
        <v>0</v>
      </c>
    </row>
    <row r="5596" spans="1:25" hidden="1">
      <c r="G5596" s="331"/>
      <c r="H5596" s="644"/>
      <c r="I5596" s="645"/>
      <c r="J5596" s="645"/>
    </row>
    <row r="5597" spans="1:25" s="88" customFormat="1" hidden="1">
      <c r="A5597" s="334"/>
      <c r="B5597" s="301"/>
      <c r="C5597" s="361"/>
      <c r="D5597" s="296"/>
      <c r="E5597" s="296"/>
      <c r="F5597" s="336"/>
      <c r="G5597" s="295" t="s">
        <v>4282</v>
      </c>
      <c r="H5597" s="646"/>
      <c r="I5597" s="664"/>
      <c r="J5597" s="647"/>
      <c r="K5597" s="575"/>
      <c r="L5597" s="575"/>
      <c r="M5597" s="575"/>
      <c r="N5597" s="575"/>
      <c r="O5597" s="575"/>
      <c r="P5597" s="575"/>
      <c r="Q5597" s="575"/>
      <c r="R5597" s="575"/>
      <c r="S5597" s="575"/>
      <c r="T5597" s="575"/>
      <c r="U5597" s="575"/>
      <c r="V5597" s="575"/>
      <c r="W5597" s="575"/>
      <c r="X5597" s="575"/>
      <c r="Y5597" s="575"/>
    </row>
    <row r="5598" spans="1:25" s="88" customFormat="1" ht="15.75" hidden="1" thickBot="1">
      <c r="A5598" s="334"/>
      <c r="B5598" s="301"/>
      <c r="C5598" s="361"/>
      <c r="D5598" s="296"/>
      <c r="E5598" s="296"/>
      <c r="F5598" s="294" t="s">
        <v>234</v>
      </c>
      <c r="G5598" s="297" t="s">
        <v>235</v>
      </c>
      <c r="H5598" s="638">
        <f>SUM(H5579)</f>
        <v>0</v>
      </c>
      <c r="I5598" s="639"/>
      <c r="J5598" s="639">
        <f>SUM(H5598:I5598)</f>
        <v>0</v>
      </c>
      <c r="K5598" s="575"/>
      <c r="L5598" s="575"/>
      <c r="M5598" s="575"/>
      <c r="N5598" s="575"/>
      <c r="O5598" s="575"/>
      <c r="P5598" s="575"/>
      <c r="Q5598" s="575"/>
      <c r="R5598" s="575"/>
      <c r="S5598" s="575"/>
      <c r="T5598" s="575"/>
      <c r="U5598" s="575"/>
      <c r="V5598" s="575"/>
      <c r="W5598" s="575"/>
      <c r="X5598" s="575"/>
      <c r="Y5598" s="575"/>
    </row>
    <row r="5599" spans="1:25" s="88" customFormat="1" ht="15.75" hidden="1" thickBot="1">
      <c r="A5599" s="334"/>
      <c r="B5599" s="301"/>
      <c r="C5599" s="361"/>
      <c r="D5599" s="296"/>
      <c r="E5599" s="296"/>
      <c r="F5599" s="294" t="s">
        <v>236</v>
      </c>
      <c r="G5599" s="297" t="s">
        <v>237</v>
      </c>
      <c r="H5599" s="634"/>
      <c r="I5599" s="635"/>
      <c r="J5599" s="639">
        <f t="shared" ref="J5599:J5613" si="179">SUM(H5599:I5599)</f>
        <v>0</v>
      </c>
      <c r="K5599" s="575"/>
      <c r="L5599" s="575"/>
      <c r="M5599" s="575"/>
      <c r="N5599" s="575"/>
      <c r="O5599" s="575"/>
      <c r="P5599" s="575"/>
      <c r="Q5599" s="575"/>
      <c r="R5599" s="575"/>
      <c r="S5599" s="575"/>
      <c r="T5599" s="575"/>
      <c r="U5599" s="575"/>
      <c r="V5599" s="575"/>
      <c r="W5599" s="575"/>
      <c r="X5599" s="575"/>
      <c r="Y5599" s="575"/>
    </row>
    <row r="5600" spans="1:25" s="88" customFormat="1" ht="15.75" hidden="1" thickBot="1">
      <c r="A5600" s="334"/>
      <c r="B5600" s="301"/>
      <c r="C5600" s="361"/>
      <c r="D5600" s="296"/>
      <c r="E5600" s="296"/>
      <c r="F5600" s="294" t="s">
        <v>238</v>
      </c>
      <c r="G5600" s="297" t="s">
        <v>239</v>
      </c>
      <c r="H5600" s="634"/>
      <c r="I5600" s="635"/>
      <c r="J5600" s="639">
        <f t="shared" si="179"/>
        <v>0</v>
      </c>
      <c r="K5600" s="575"/>
      <c r="L5600" s="575"/>
      <c r="M5600" s="575"/>
      <c r="N5600" s="575"/>
      <c r="O5600" s="575"/>
      <c r="P5600" s="575"/>
      <c r="Q5600" s="575"/>
      <c r="R5600" s="575"/>
      <c r="S5600" s="575"/>
      <c r="T5600" s="575"/>
      <c r="U5600" s="575"/>
      <c r="V5600" s="575"/>
      <c r="W5600" s="575"/>
      <c r="X5600" s="575"/>
      <c r="Y5600" s="575"/>
    </row>
    <row r="5601" spans="1:25" s="88" customFormat="1" ht="15.75" hidden="1" thickBot="1">
      <c r="A5601" s="334"/>
      <c r="B5601" s="301"/>
      <c r="C5601" s="361"/>
      <c r="D5601" s="296"/>
      <c r="E5601" s="296"/>
      <c r="F5601" s="294" t="s">
        <v>240</v>
      </c>
      <c r="G5601" s="297" t="s">
        <v>241</v>
      </c>
      <c r="H5601" s="634"/>
      <c r="I5601" s="635"/>
      <c r="J5601" s="639">
        <f t="shared" si="179"/>
        <v>0</v>
      </c>
      <c r="K5601" s="575"/>
      <c r="L5601" s="575"/>
      <c r="M5601" s="575"/>
      <c r="N5601" s="575"/>
      <c r="O5601" s="575"/>
      <c r="P5601" s="575"/>
      <c r="Q5601" s="575"/>
      <c r="R5601" s="575"/>
      <c r="S5601" s="575"/>
      <c r="T5601" s="575"/>
      <c r="U5601" s="575"/>
      <c r="V5601" s="575"/>
      <c r="W5601" s="575"/>
      <c r="X5601" s="575"/>
      <c r="Y5601" s="575"/>
    </row>
    <row r="5602" spans="1:25" s="88" customFormat="1" ht="15.75" hidden="1" thickBot="1">
      <c r="A5602" s="334"/>
      <c r="B5602" s="301"/>
      <c r="C5602" s="361"/>
      <c r="D5602" s="296"/>
      <c r="E5602" s="296"/>
      <c r="F5602" s="294" t="s">
        <v>242</v>
      </c>
      <c r="G5602" s="297" t="s">
        <v>243</v>
      </c>
      <c r="H5602" s="634"/>
      <c r="I5602" s="635"/>
      <c r="J5602" s="639">
        <f t="shared" si="179"/>
        <v>0</v>
      </c>
      <c r="K5602" s="575"/>
      <c r="L5602" s="575"/>
      <c r="M5602" s="575"/>
      <c r="N5602" s="575"/>
      <c r="O5602" s="575"/>
      <c r="P5602" s="575"/>
      <c r="Q5602" s="575"/>
      <c r="R5602" s="575"/>
      <c r="S5602" s="575"/>
      <c r="T5602" s="575"/>
      <c r="U5602" s="575"/>
      <c r="V5602" s="575"/>
      <c r="W5602" s="575"/>
      <c r="X5602" s="575"/>
      <c r="Y5602" s="575"/>
    </row>
    <row r="5603" spans="1:25" s="88" customFormat="1" ht="15.75" hidden="1" thickBot="1">
      <c r="A5603" s="334"/>
      <c r="B5603" s="301"/>
      <c r="C5603" s="361"/>
      <c r="D5603" s="296"/>
      <c r="E5603" s="296"/>
      <c r="F5603" s="294" t="s">
        <v>244</v>
      </c>
      <c r="G5603" s="297" t="s">
        <v>245</v>
      </c>
      <c r="H5603" s="634"/>
      <c r="I5603" s="635"/>
      <c r="J5603" s="639">
        <f t="shared" si="179"/>
        <v>0</v>
      </c>
      <c r="K5603" s="575"/>
      <c r="L5603" s="575"/>
      <c r="M5603" s="575"/>
      <c r="N5603" s="575"/>
      <c r="O5603" s="575"/>
      <c r="P5603" s="575"/>
      <c r="Q5603" s="575"/>
      <c r="R5603" s="575"/>
      <c r="S5603" s="575"/>
      <c r="T5603" s="575"/>
      <c r="U5603" s="575"/>
      <c r="V5603" s="575"/>
      <c r="W5603" s="575"/>
      <c r="X5603" s="575"/>
      <c r="Y5603" s="575"/>
    </row>
    <row r="5604" spans="1:25" s="88" customFormat="1" ht="15.75" hidden="1" thickBot="1">
      <c r="A5604" s="334"/>
      <c r="B5604" s="301"/>
      <c r="C5604" s="361"/>
      <c r="D5604" s="296"/>
      <c r="E5604" s="296"/>
      <c r="F5604" s="294" t="s">
        <v>246</v>
      </c>
      <c r="G5604" s="683" t="s">
        <v>5121</v>
      </c>
      <c r="H5604" s="634"/>
      <c r="I5604" s="635"/>
      <c r="J5604" s="639">
        <f t="shared" si="179"/>
        <v>0</v>
      </c>
      <c r="K5604" s="575"/>
      <c r="L5604" s="575"/>
      <c r="M5604" s="575"/>
      <c r="N5604" s="575"/>
      <c r="O5604" s="575"/>
      <c r="P5604" s="575"/>
      <c r="Q5604" s="575"/>
      <c r="R5604" s="575"/>
      <c r="S5604" s="575"/>
      <c r="T5604" s="575"/>
      <c r="U5604" s="575"/>
      <c r="V5604" s="575"/>
      <c r="W5604" s="575"/>
      <c r="X5604" s="575"/>
      <c r="Y5604" s="575"/>
    </row>
    <row r="5605" spans="1:25" s="88" customFormat="1" ht="15.75" hidden="1" thickBot="1">
      <c r="A5605" s="334"/>
      <c r="B5605" s="301"/>
      <c r="C5605" s="361"/>
      <c r="D5605" s="296"/>
      <c r="E5605" s="296"/>
      <c r="F5605" s="294" t="s">
        <v>247</v>
      </c>
      <c r="G5605" s="683" t="s">
        <v>5120</v>
      </c>
      <c r="H5605" s="634"/>
      <c r="I5605" s="635"/>
      <c r="J5605" s="639">
        <f t="shared" si="179"/>
        <v>0</v>
      </c>
      <c r="K5605" s="575"/>
      <c r="L5605" s="575"/>
      <c r="M5605" s="575"/>
      <c r="N5605" s="575"/>
      <c r="O5605" s="575"/>
      <c r="P5605" s="575"/>
      <c r="Q5605" s="575"/>
      <c r="R5605" s="575"/>
      <c r="S5605" s="575"/>
      <c r="T5605" s="575"/>
      <c r="U5605" s="575"/>
      <c r="V5605" s="575"/>
      <c r="W5605" s="575"/>
      <c r="X5605" s="575"/>
      <c r="Y5605" s="575"/>
    </row>
    <row r="5606" spans="1:25" s="88" customFormat="1" ht="15.75" hidden="1" thickBot="1">
      <c r="A5606" s="334"/>
      <c r="B5606" s="301"/>
      <c r="C5606" s="361"/>
      <c r="D5606" s="296"/>
      <c r="E5606" s="296"/>
      <c r="F5606" s="294" t="s">
        <v>248</v>
      </c>
      <c r="G5606" s="297" t="s">
        <v>57</v>
      </c>
      <c r="H5606" s="634"/>
      <c r="I5606" s="635"/>
      <c r="J5606" s="639">
        <f t="shared" si="179"/>
        <v>0</v>
      </c>
      <c r="K5606" s="575"/>
      <c r="L5606" s="575"/>
      <c r="M5606" s="575"/>
      <c r="N5606" s="575"/>
      <c r="O5606" s="575"/>
      <c r="P5606" s="575"/>
      <c r="Q5606" s="575"/>
      <c r="R5606" s="575"/>
      <c r="S5606" s="575"/>
      <c r="T5606" s="575"/>
      <c r="U5606" s="575"/>
      <c r="V5606" s="575"/>
      <c r="W5606" s="575"/>
      <c r="X5606" s="575"/>
      <c r="Y5606" s="575"/>
    </row>
    <row r="5607" spans="1:25" s="88" customFormat="1" ht="15.75" hidden="1" thickBot="1">
      <c r="A5607" s="334"/>
      <c r="B5607" s="301"/>
      <c r="C5607" s="361"/>
      <c r="D5607" s="296"/>
      <c r="E5607" s="296"/>
      <c r="F5607" s="294" t="s">
        <v>249</v>
      </c>
      <c r="G5607" s="297" t="s">
        <v>250</v>
      </c>
      <c r="H5607" s="634"/>
      <c r="I5607" s="635"/>
      <c r="J5607" s="639">
        <f t="shared" si="179"/>
        <v>0</v>
      </c>
      <c r="K5607" s="575"/>
      <c r="L5607" s="575"/>
      <c r="M5607" s="575"/>
      <c r="N5607" s="575"/>
      <c r="O5607" s="575"/>
      <c r="P5607" s="575"/>
      <c r="Q5607" s="575"/>
      <c r="R5607" s="575"/>
      <c r="S5607" s="575"/>
      <c r="T5607" s="575"/>
      <c r="U5607" s="575"/>
      <c r="V5607" s="575"/>
      <c r="W5607" s="575"/>
      <c r="X5607" s="575"/>
      <c r="Y5607" s="575"/>
    </row>
    <row r="5608" spans="1:25" s="88" customFormat="1" ht="15.75" hidden="1" thickBot="1">
      <c r="A5608" s="334"/>
      <c r="B5608" s="301"/>
      <c r="C5608" s="361"/>
      <c r="D5608" s="296"/>
      <c r="E5608" s="296"/>
      <c r="F5608" s="294" t="s">
        <v>251</v>
      </c>
      <c r="G5608" s="297" t="s">
        <v>252</v>
      </c>
      <c r="H5608" s="634"/>
      <c r="I5608" s="635"/>
      <c r="J5608" s="639">
        <f t="shared" si="179"/>
        <v>0</v>
      </c>
      <c r="K5608" s="575"/>
      <c r="L5608" s="575"/>
      <c r="M5608" s="575"/>
      <c r="N5608" s="575"/>
      <c r="O5608" s="575"/>
      <c r="P5608" s="575"/>
      <c r="Q5608" s="575"/>
      <c r="R5608" s="575"/>
      <c r="S5608" s="575"/>
      <c r="T5608" s="575"/>
      <c r="U5608" s="575"/>
      <c r="V5608" s="575"/>
      <c r="W5608" s="575"/>
      <c r="X5608" s="575"/>
      <c r="Y5608" s="575"/>
    </row>
    <row r="5609" spans="1:25" s="88" customFormat="1" ht="15.75" hidden="1" thickBot="1">
      <c r="A5609" s="334"/>
      <c r="B5609" s="301"/>
      <c r="C5609" s="361"/>
      <c r="D5609" s="296"/>
      <c r="E5609" s="296"/>
      <c r="F5609" s="294" t="s">
        <v>253</v>
      </c>
      <c r="G5609" s="297" t="s">
        <v>254</v>
      </c>
      <c r="H5609" s="634"/>
      <c r="I5609" s="635"/>
      <c r="J5609" s="639">
        <f t="shared" si="179"/>
        <v>0</v>
      </c>
      <c r="K5609" s="575"/>
      <c r="L5609" s="575"/>
      <c r="M5609" s="575"/>
      <c r="N5609" s="575"/>
      <c r="O5609" s="575"/>
      <c r="P5609" s="575"/>
      <c r="Q5609" s="575"/>
      <c r="R5609" s="575"/>
      <c r="S5609" s="575"/>
      <c r="T5609" s="575"/>
      <c r="U5609" s="575"/>
      <c r="V5609" s="575"/>
      <c r="W5609" s="575"/>
      <c r="X5609" s="575"/>
      <c r="Y5609" s="575"/>
    </row>
    <row r="5610" spans="1:25" s="88" customFormat="1" ht="15.75" hidden="1" thickBot="1">
      <c r="A5610" s="334"/>
      <c r="B5610" s="301"/>
      <c r="C5610" s="361"/>
      <c r="D5610" s="296"/>
      <c r="E5610" s="296"/>
      <c r="F5610" s="294" t="s">
        <v>255</v>
      </c>
      <c r="G5610" s="297" t="s">
        <v>256</v>
      </c>
      <c r="H5610" s="634"/>
      <c r="I5610" s="635"/>
      <c r="J5610" s="639">
        <f t="shared" si="179"/>
        <v>0</v>
      </c>
      <c r="K5610" s="575"/>
      <c r="L5610" s="575"/>
      <c r="M5610" s="575"/>
      <c r="N5610" s="575"/>
      <c r="O5610" s="575"/>
      <c r="P5610" s="575"/>
      <c r="Q5610" s="575"/>
      <c r="R5610" s="575"/>
      <c r="S5610" s="575"/>
      <c r="T5610" s="575"/>
      <c r="U5610" s="575"/>
      <c r="V5610" s="575"/>
      <c r="W5610" s="575"/>
      <c r="X5610" s="575"/>
      <c r="Y5610" s="575"/>
    </row>
    <row r="5611" spans="1:25" s="88" customFormat="1" ht="15.75" hidden="1" thickBot="1">
      <c r="A5611" s="334"/>
      <c r="B5611" s="301"/>
      <c r="C5611" s="361"/>
      <c r="D5611" s="296"/>
      <c r="E5611" s="296"/>
      <c r="F5611" s="294" t="s">
        <v>257</v>
      </c>
      <c r="G5611" s="297" t="s">
        <v>258</v>
      </c>
      <c r="H5611" s="634"/>
      <c r="I5611" s="635"/>
      <c r="J5611" s="639">
        <f t="shared" si="179"/>
        <v>0</v>
      </c>
      <c r="K5611" s="575"/>
      <c r="L5611" s="575"/>
      <c r="M5611" s="575"/>
      <c r="N5611" s="575"/>
      <c r="O5611" s="575"/>
      <c r="P5611" s="575"/>
      <c r="Q5611" s="575"/>
      <c r="R5611" s="575"/>
      <c r="S5611" s="575"/>
      <c r="T5611" s="575"/>
      <c r="U5611" s="575"/>
      <c r="V5611" s="575"/>
      <c r="W5611" s="575"/>
      <c r="X5611" s="575"/>
      <c r="Y5611" s="575"/>
    </row>
    <row r="5612" spans="1:25" s="88" customFormat="1" ht="15.75" hidden="1" thickBot="1">
      <c r="A5612" s="334"/>
      <c r="B5612" s="301"/>
      <c r="C5612" s="361"/>
      <c r="D5612" s="296"/>
      <c r="E5612" s="296"/>
      <c r="F5612" s="294" t="s">
        <v>259</v>
      </c>
      <c r="G5612" s="297" t="s">
        <v>260</v>
      </c>
      <c r="H5612" s="634"/>
      <c r="I5612" s="635"/>
      <c r="J5612" s="639">
        <f t="shared" si="179"/>
        <v>0</v>
      </c>
      <c r="K5612" s="575"/>
      <c r="L5612" s="575"/>
      <c r="M5612" s="575"/>
      <c r="N5612" s="575"/>
      <c r="O5612" s="575"/>
      <c r="P5612" s="575"/>
      <c r="Q5612" s="575"/>
      <c r="R5612" s="575"/>
      <c r="S5612" s="575"/>
      <c r="T5612" s="575"/>
      <c r="U5612" s="575"/>
      <c r="V5612" s="575"/>
      <c r="W5612" s="575"/>
      <c r="X5612" s="575"/>
      <c r="Y5612" s="575"/>
    </row>
    <row r="5613" spans="1:25" s="88" customFormat="1" ht="15.75" hidden="1" thickBot="1">
      <c r="A5613" s="334"/>
      <c r="B5613" s="301"/>
      <c r="C5613" s="361"/>
      <c r="D5613" s="296"/>
      <c r="E5613" s="296"/>
      <c r="F5613" s="294" t="s">
        <v>261</v>
      </c>
      <c r="G5613" s="297" t="s">
        <v>262</v>
      </c>
      <c r="H5613" s="638"/>
      <c r="I5613" s="639"/>
      <c r="J5613" s="639">
        <f t="shared" si="179"/>
        <v>0</v>
      </c>
      <c r="K5613" s="575"/>
      <c r="L5613" s="575"/>
      <c r="M5613" s="575"/>
      <c r="N5613" s="575"/>
      <c r="O5613" s="575"/>
      <c r="P5613" s="575"/>
      <c r="Q5613" s="575"/>
      <c r="R5613" s="575"/>
      <c r="S5613" s="575"/>
      <c r="T5613" s="575"/>
      <c r="U5613" s="575"/>
      <c r="V5613" s="575"/>
      <c r="W5613" s="575"/>
      <c r="X5613" s="575"/>
      <c r="Y5613" s="575"/>
    </row>
    <row r="5614" spans="1:25" s="88" customFormat="1" ht="15.75" hidden="1" thickBot="1">
      <c r="A5614" s="334"/>
      <c r="B5614" s="301"/>
      <c r="C5614" s="361"/>
      <c r="D5614" s="296"/>
      <c r="E5614" s="296"/>
      <c r="F5614" s="263"/>
      <c r="G5614" s="274" t="s">
        <v>4283</v>
      </c>
      <c r="H5614" s="640">
        <f>SUM(H5598:H5613)</f>
        <v>0</v>
      </c>
      <c r="I5614" s="641">
        <f>SUM(I5599:I5613)</f>
        <v>0</v>
      </c>
      <c r="J5614" s="641">
        <f>SUM(J5598:J5613)</f>
        <v>0</v>
      </c>
      <c r="K5614" s="575"/>
      <c r="L5614" s="575"/>
      <c r="M5614" s="575"/>
      <c r="N5614" s="575"/>
      <c r="O5614" s="575"/>
      <c r="P5614" s="575"/>
      <c r="Q5614" s="575"/>
      <c r="R5614" s="575"/>
      <c r="S5614" s="575"/>
      <c r="T5614" s="575"/>
      <c r="U5614" s="575"/>
      <c r="V5614" s="575"/>
      <c r="W5614" s="575"/>
      <c r="X5614" s="575"/>
      <c r="Y5614" s="575"/>
    </row>
    <row r="5615" spans="1:25" ht="3" customHeight="1"/>
    <row r="5616" spans="1:25" s="88" customFormat="1">
      <c r="A5616" s="324"/>
      <c r="B5616" s="678">
        <v>3</v>
      </c>
      <c r="C5616" s="367"/>
      <c r="D5616" s="679"/>
      <c r="E5616" s="679"/>
      <c r="F5616" s="680"/>
      <c r="G5616" s="282" t="s">
        <v>5225</v>
      </c>
      <c r="H5616" s="669"/>
      <c r="I5616" s="633"/>
      <c r="J5616" s="681"/>
      <c r="K5616" s="575"/>
      <c r="L5616" s="575"/>
      <c r="M5616" s="575"/>
      <c r="N5616" s="313"/>
      <c r="O5616" s="575"/>
      <c r="P5616" s="575"/>
      <c r="Q5616" s="575"/>
      <c r="R5616" s="575"/>
      <c r="S5616" s="575"/>
      <c r="T5616" s="575"/>
      <c r="U5616" s="575"/>
      <c r="V5616" s="575"/>
      <c r="W5616" s="575"/>
      <c r="X5616" s="575"/>
      <c r="Y5616" s="575"/>
    </row>
    <row r="5617" spans="1:25" s="88" customFormat="1">
      <c r="A5617" s="306"/>
      <c r="B5617" s="301"/>
      <c r="C5617" s="310" t="s">
        <v>3570</v>
      </c>
      <c r="D5617" s="310"/>
      <c r="E5617" s="293"/>
      <c r="F5617" s="293"/>
      <c r="G5617" s="351" t="s">
        <v>4235</v>
      </c>
      <c r="H5617" s="651"/>
      <c r="I5617" s="652"/>
      <c r="J5617" s="652"/>
      <c r="K5617" s="575"/>
      <c r="L5617" s="575"/>
      <c r="M5617" s="575"/>
      <c r="N5617" s="575"/>
      <c r="O5617" s="575"/>
      <c r="P5617" s="575"/>
      <c r="Q5617" s="575"/>
      <c r="R5617" s="575"/>
      <c r="S5617" s="575"/>
      <c r="T5617" s="575"/>
      <c r="U5617" s="575"/>
      <c r="V5617" s="575"/>
      <c r="W5617" s="575"/>
      <c r="X5617" s="575"/>
      <c r="Y5617" s="575"/>
    </row>
    <row r="5618" spans="1:25" hidden="1">
      <c r="C5618" s="273" t="s">
        <v>4114</v>
      </c>
      <c r="D5618" s="264"/>
      <c r="G5618" s="307" t="s">
        <v>4097</v>
      </c>
    </row>
    <row r="5619" spans="1:25" s="88" customFormat="1" hidden="1">
      <c r="A5619" s="306"/>
      <c r="B5619" s="301"/>
      <c r="C5619" s="310"/>
      <c r="D5619" s="373">
        <v>421</v>
      </c>
      <c r="E5619" s="374"/>
      <c r="F5619" s="374"/>
      <c r="G5619" s="375" t="s">
        <v>138</v>
      </c>
      <c r="H5619" s="651"/>
      <c r="I5619" s="652"/>
      <c r="J5619" s="652"/>
      <c r="K5619" s="575"/>
      <c r="L5619" s="575"/>
      <c r="M5619" s="575"/>
      <c r="N5619" s="575"/>
      <c r="O5619" s="575"/>
      <c r="P5619" s="575"/>
      <c r="Q5619" s="575"/>
      <c r="R5619" s="575"/>
      <c r="S5619" s="575"/>
      <c r="T5619" s="575"/>
      <c r="U5619" s="575"/>
      <c r="V5619" s="575"/>
      <c r="W5619" s="575"/>
      <c r="X5619" s="575"/>
      <c r="Y5619" s="575"/>
    </row>
    <row r="5620" spans="1:25" hidden="1">
      <c r="F5620" s="308">
        <v>411</v>
      </c>
      <c r="G5620" s="340" t="s">
        <v>4173</v>
      </c>
      <c r="J5620" s="635">
        <f>SUM(H5620:I5620)</f>
        <v>0</v>
      </c>
      <c r="L5620" s="578"/>
      <c r="M5620" s="578"/>
      <c r="N5620" s="318"/>
    </row>
    <row r="5621" spans="1:25" hidden="1">
      <c r="F5621" s="308">
        <v>412</v>
      </c>
      <c r="G5621" s="337" t="s">
        <v>3770</v>
      </c>
      <c r="J5621" s="635">
        <f t="shared" ref="J5621:J5679" si="180">SUM(H5621:I5621)</f>
        <v>0</v>
      </c>
    </row>
    <row r="5622" spans="1:25" hidden="1">
      <c r="F5622" s="308">
        <v>413</v>
      </c>
      <c r="G5622" s="340" t="s">
        <v>4174</v>
      </c>
      <c r="J5622" s="635">
        <f t="shared" si="180"/>
        <v>0</v>
      </c>
    </row>
    <row r="5623" spans="1:25" hidden="1">
      <c r="F5623" s="308">
        <v>414</v>
      </c>
      <c r="G5623" s="340" t="s">
        <v>3773</v>
      </c>
      <c r="J5623" s="635">
        <f t="shared" si="180"/>
        <v>0</v>
      </c>
    </row>
    <row r="5624" spans="1:25" hidden="1">
      <c r="F5624" s="308">
        <v>415</v>
      </c>
      <c r="G5624" s="340" t="s">
        <v>4183</v>
      </c>
      <c r="J5624" s="635">
        <f t="shared" si="180"/>
        <v>0</v>
      </c>
    </row>
    <row r="5625" spans="1:25" hidden="1">
      <c r="F5625" s="308">
        <v>416</v>
      </c>
      <c r="G5625" s="340" t="s">
        <v>4184</v>
      </c>
      <c r="J5625" s="635">
        <f t="shared" si="180"/>
        <v>0</v>
      </c>
    </row>
    <row r="5626" spans="1:25" hidden="1">
      <c r="F5626" s="308">
        <v>417</v>
      </c>
      <c r="G5626" s="340" t="s">
        <v>4185</v>
      </c>
      <c r="J5626" s="635">
        <f t="shared" si="180"/>
        <v>0</v>
      </c>
    </row>
    <row r="5627" spans="1:25" hidden="1">
      <c r="F5627" s="308">
        <v>418</v>
      </c>
      <c r="G5627" s="340" t="s">
        <v>3779</v>
      </c>
      <c r="J5627" s="635">
        <f t="shared" si="180"/>
        <v>0</v>
      </c>
    </row>
    <row r="5628" spans="1:25" hidden="1">
      <c r="F5628" s="308">
        <v>421</v>
      </c>
      <c r="G5628" s="340" t="s">
        <v>3783</v>
      </c>
      <c r="J5628" s="635">
        <f t="shared" si="180"/>
        <v>0</v>
      </c>
    </row>
    <row r="5629" spans="1:25" hidden="1">
      <c r="F5629" s="308">
        <v>422</v>
      </c>
      <c r="G5629" s="340" t="s">
        <v>3784</v>
      </c>
      <c r="J5629" s="635">
        <f t="shared" si="180"/>
        <v>0</v>
      </c>
    </row>
    <row r="5630" spans="1:25" hidden="1">
      <c r="F5630" s="308">
        <v>423</v>
      </c>
      <c r="G5630" s="340" t="s">
        <v>3785</v>
      </c>
      <c r="J5630" s="635">
        <f t="shared" si="180"/>
        <v>0</v>
      </c>
    </row>
    <row r="5631" spans="1:25" hidden="1">
      <c r="F5631" s="308">
        <v>424</v>
      </c>
      <c r="G5631" s="340" t="s">
        <v>3787</v>
      </c>
      <c r="J5631" s="635">
        <f t="shared" si="180"/>
        <v>0</v>
      </c>
    </row>
    <row r="5632" spans="1:25" hidden="1">
      <c r="F5632" s="308">
        <v>425</v>
      </c>
      <c r="G5632" s="340" t="s">
        <v>4186</v>
      </c>
      <c r="J5632" s="635">
        <f t="shared" si="180"/>
        <v>0</v>
      </c>
    </row>
    <row r="5633" spans="6:10" ht="15.75" hidden="1" thickBot="1">
      <c r="F5633" s="308">
        <v>426</v>
      </c>
      <c r="G5633" s="340" t="s">
        <v>3791</v>
      </c>
      <c r="J5633" s="635">
        <f t="shared" si="180"/>
        <v>0</v>
      </c>
    </row>
    <row r="5634" spans="6:10" ht="15.75" hidden="1" thickBot="1">
      <c r="F5634" s="308">
        <v>431</v>
      </c>
      <c r="G5634" s="340" t="s">
        <v>4187</v>
      </c>
      <c r="J5634" s="635">
        <f t="shared" si="180"/>
        <v>0</v>
      </c>
    </row>
    <row r="5635" spans="6:10" ht="15.75" hidden="1" thickBot="1">
      <c r="F5635" s="308">
        <v>432</v>
      </c>
      <c r="G5635" s="340" t="s">
        <v>4188</v>
      </c>
      <c r="J5635" s="635">
        <f t="shared" si="180"/>
        <v>0</v>
      </c>
    </row>
    <row r="5636" spans="6:10" ht="15.75" hidden="1" thickBot="1">
      <c r="F5636" s="308">
        <v>433</v>
      </c>
      <c r="G5636" s="340" t="s">
        <v>4189</v>
      </c>
      <c r="J5636" s="635">
        <f t="shared" si="180"/>
        <v>0</v>
      </c>
    </row>
    <row r="5637" spans="6:10" ht="15.75" hidden="1" thickBot="1">
      <c r="F5637" s="308">
        <v>434</v>
      </c>
      <c r="G5637" s="340" t="s">
        <v>4190</v>
      </c>
      <c r="J5637" s="635">
        <f t="shared" si="180"/>
        <v>0</v>
      </c>
    </row>
    <row r="5638" spans="6:10" ht="15.75" hidden="1" thickBot="1">
      <c r="F5638" s="308">
        <v>435</v>
      </c>
      <c r="G5638" s="340" t="s">
        <v>3798</v>
      </c>
      <c r="J5638" s="635">
        <f t="shared" si="180"/>
        <v>0</v>
      </c>
    </row>
    <row r="5639" spans="6:10" ht="15.75" hidden="1" thickBot="1">
      <c r="F5639" s="308">
        <v>441</v>
      </c>
      <c r="G5639" s="340" t="s">
        <v>4191</v>
      </c>
      <c r="J5639" s="635">
        <f t="shared" si="180"/>
        <v>0</v>
      </c>
    </row>
    <row r="5640" spans="6:10" ht="15.75" hidden="1" thickBot="1">
      <c r="F5640" s="308">
        <v>442</v>
      </c>
      <c r="G5640" s="340" t="s">
        <v>4192</v>
      </c>
      <c r="J5640" s="635">
        <f t="shared" si="180"/>
        <v>0</v>
      </c>
    </row>
    <row r="5641" spans="6:10" ht="15.75" hidden="1" thickBot="1">
      <c r="F5641" s="308">
        <v>443</v>
      </c>
      <c r="G5641" s="340" t="s">
        <v>3803</v>
      </c>
      <c r="J5641" s="635">
        <f t="shared" si="180"/>
        <v>0</v>
      </c>
    </row>
    <row r="5642" spans="6:10" ht="15.75" hidden="1" thickBot="1">
      <c r="F5642" s="308">
        <v>444</v>
      </c>
      <c r="G5642" s="340" t="s">
        <v>3804</v>
      </c>
      <c r="J5642" s="635">
        <f t="shared" si="180"/>
        <v>0</v>
      </c>
    </row>
    <row r="5643" spans="6:10" ht="30.75" hidden="1" thickBot="1">
      <c r="F5643" s="308">
        <v>4511</v>
      </c>
      <c r="G5643" s="268" t="s">
        <v>1690</v>
      </c>
      <c r="J5643" s="635">
        <f t="shared" si="180"/>
        <v>0</v>
      </c>
    </row>
    <row r="5644" spans="6:10" ht="30.75" hidden="1" thickBot="1">
      <c r="F5644" s="308">
        <v>4512</v>
      </c>
      <c r="G5644" s="268" t="s">
        <v>1699</v>
      </c>
      <c r="J5644" s="635">
        <f t="shared" si="180"/>
        <v>0</v>
      </c>
    </row>
    <row r="5645" spans="6:10" ht="15.75" hidden="1" thickBot="1">
      <c r="F5645" s="308">
        <v>452</v>
      </c>
      <c r="G5645" s="340" t="s">
        <v>4193</v>
      </c>
      <c r="J5645" s="635">
        <f t="shared" si="180"/>
        <v>0</v>
      </c>
    </row>
    <row r="5646" spans="6:10" ht="15.75" hidden="1" thickBot="1">
      <c r="F5646" s="308">
        <v>453</v>
      </c>
      <c r="G5646" s="340" t="s">
        <v>4194</v>
      </c>
      <c r="J5646" s="635">
        <f t="shared" si="180"/>
        <v>0</v>
      </c>
    </row>
    <row r="5647" spans="6:10" ht="15.75" hidden="1" thickBot="1">
      <c r="F5647" s="308">
        <v>454</v>
      </c>
      <c r="G5647" s="340" t="s">
        <v>3809</v>
      </c>
      <c r="J5647" s="635">
        <f t="shared" si="180"/>
        <v>0</v>
      </c>
    </row>
    <row r="5648" spans="6:10" ht="15.75" hidden="1" thickBot="1">
      <c r="F5648" s="308">
        <v>461</v>
      </c>
      <c r="G5648" s="340" t="s">
        <v>4175</v>
      </c>
      <c r="J5648" s="635">
        <f t="shared" si="180"/>
        <v>0</v>
      </c>
    </row>
    <row r="5649" spans="6:10" ht="15.75" hidden="1" thickBot="1">
      <c r="F5649" s="308">
        <v>462</v>
      </c>
      <c r="G5649" s="340" t="s">
        <v>3812</v>
      </c>
      <c r="J5649" s="635">
        <f t="shared" si="180"/>
        <v>0</v>
      </c>
    </row>
    <row r="5650" spans="6:10" ht="15.75" hidden="1" thickBot="1">
      <c r="F5650" s="308">
        <v>4631</v>
      </c>
      <c r="G5650" s="340" t="s">
        <v>3813</v>
      </c>
      <c r="J5650" s="635">
        <f t="shared" si="180"/>
        <v>0</v>
      </c>
    </row>
    <row r="5651" spans="6:10" ht="15.75" hidden="1" thickBot="1">
      <c r="F5651" s="308">
        <v>4632</v>
      </c>
      <c r="G5651" s="340" t="s">
        <v>3814</v>
      </c>
      <c r="J5651" s="635">
        <f t="shared" si="180"/>
        <v>0</v>
      </c>
    </row>
    <row r="5652" spans="6:10" ht="15.75" hidden="1" thickBot="1">
      <c r="F5652" s="308">
        <v>464</v>
      </c>
      <c r="G5652" s="340" t="s">
        <v>3815</v>
      </c>
      <c r="J5652" s="635">
        <f t="shared" si="180"/>
        <v>0</v>
      </c>
    </row>
    <row r="5653" spans="6:10" ht="15.75" hidden="1" thickBot="1">
      <c r="F5653" s="308">
        <v>465</v>
      </c>
      <c r="G5653" s="340" t="s">
        <v>4176</v>
      </c>
      <c r="J5653" s="635">
        <f t="shared" si="180"/>
        <v>0</v>
      </c>
    </row>
    <row r="5654" spans="6:10" ht="15.75" hidden="1" thickBot="1">
      <c r="F5654" s="308">
        <v>472</v>
      </c>
      <c r="G5654" s="340" t="s">
        <v>3819</v>
      </c>
      <c r="J5654" s="635">
        <f t="shared" si="180"/>
        <v>0</v>
      </c>
    </row>
    <row r="5655" spans="6:10" ht="15.75" hidden="1" thickBot="1">
      <c r="F5655" s="308">
        <v>481</v>
      </c>
      <c r="G5655" s="340" t="s">
        <v>4195</v>
      </c>
      <c r="J5655" s="635">
        <f t="shared" si="180"/>
        <v>0</v>
      </c>
    </row>
    <row r="5656" spans="6:10" ht="15.75" hidden="1" thickBot="1">
      <c r="F5656" s="308">
        <v>482</v>
      </c>
      <c r="G5656" s="340" t="s">
        <v>4196</v>
      </c>
      <c r="J5656" s="635">
        <f t="shared" si="180"/>
        <v>0</v>
      </c>
    </row>
    <row r="5657" spans="6:10" ht="15.75" hidden="1" thickBot="1">
      <c r="F5657" s="308">
        <v>483</v>
      </c>
      <c r="G5657" s="343" t="s">
        <v>4197</v>
      </c>
      <c r="J5657" s="635">
        <f t="shared" si="180"/>
        <v>0</v>
      </c>
    </row>
    <row r="5658" spans="6:10" ht="30.75" hidden="1" thickBot="1">
      <c r="F5658" s="308">
        <v>484</v>
      </c>
      <c r="G5658" s="340" t="s">
        <v>4198</v>
      </c>
      <c r="J5658" s="635">
        <f t="shared" si="180"/>
        <v>0</v>
      </c>
    </row>
    <row r="5659" spans="6:10" ht="30.75" hidden="1" thickBot="1">
      <c r="F5659" s="308">
        <v>485</v>
      </c>
      <c r="G5659" s="340" t="s">
        <v>4199</v>
      </c>
      <c r="J5659" s="635">
        <f t="shared" si="180"/>
        <v>0</v>
      </c>
    </row>
    <row r="5660" spans="6:10" ht="30.75" hidden="1" thickBot="1">
      <c r="F5660" s="308">
        <v>489</v>
      </c>
      <c r="G5660" s="340" t="s">
        <v>3827</v>
      </c>
      <c r="J5660" s="635">
        <f t="shared" si="180"/>
        <v>0</v>
      </c>
    </row>
    <row r="5661" spans="6:10" ht="15.75" hidden="1" thickBot="1">
      <c r="F5661" s="308">
        <v>494</v>
      </c>
      <c r="G5661" s="340" t="s">
        <v>4177</v>
      </c>
      <c r="J5661" s="635">
        <f t="shared" si="180"/>
        <v>0</v>
      </c>
    </row>
    <row r="5662" spans="6:10" ht="30.75" hidden="1" thickBot="1">
      <c r="F5662" s="308">
        <v>495</v>
      </c>
      <c r="G5662" s="340" t="s">
        <v>4178</v>
      </c>
      <c r="J5662" s="635">
        <f t="shared" si="180"/>
        <v>0</v>
      </c>
    </row>
    <row r="5663" spans="6:10" ht="30.75" hidden="1" thickBot="1">
      <c r="F5663" s="308">
        <v>496</v>
      </c>
      <c r="G5663" s="340" t="s">
        <v>4179</v>
      </c>
      <c r="J5663" s="635">
        <f t="shared" si="180"/>
        <v>0</v>
      </c>
    </row>
    <row r="5664" spans="6:10" ht="15.75" hidden="1" thickBot="1">
      <c r="F5664" s="308">
        <v>499</v>
      </c>
      <c r="G5664" s="340" t="s">
        <v>4180</v>
      </c>
      <c r="J5664" s="635">
        <f t="shared" si="180"/>
        <v>0</v>
      </c>
    </row>
    <row r="5665" spans="5:10" ht="15.75" hidden="1" thickBot="1">
      <c r="F5665" s="308">
        <v>511</v>
      </c>
      <c r="G5665" s="343" t="s">
        <v>4200</v>
      </c>
      <c r="J5665" s="635">
        <f t="shared" si="180"/>
        <v>0</v>
      </c>
    </row>
    <row r="5666" spans="5:10" ht="15.75" hidden="1" thickBot="1">
      <c r="F5666" s="308">
        <v>512</v>
      </c>
      <c r="G5666" s="343" t="s">
        <v>4201</v>
      </c>
      <c r="J5666" s="635">
        <f t="shared" si="180"/>
        <v>0</v>
      </c>
    </row>
    <row r="5667" spans="5:10" ht="15.75" hidden="1" thickBot="1">
      <c r="F5667" s="308">
        <v>513</v>
      </c>
      <c r="G5667" s="343" t="s">
        <v>4202</v>
      </c>
      <c r="J5667" s="635">
        <f t="shared" si="180"/>
        <v>0</v>
      </c>
    </row>
    <row r="5668" spans="5:10" ht="15.75" hidden="1" thickBot="1">
      <c r="F5668" s="308">
        <v>514</v>
      </c>
      <c r="G5668" s="340" t="s">
        <v>4203</v>
      </c>
      <c r="J5668" s="635">
        <f t="shared" si="180"/>
        <v>0</v>
      </c>
    </row>
    <row r="5669" spans="5:10" ht="15.75" hidden="1" thickBot="1">
      <c r="F5669" s="308">
        <v>515</v>
      </c>
      <c r="G5669" s="340" t="s">
        <v>3838</v>
      </c>
      <c r="J5669" s="635">
        <f t="shared" si="180"/>
        <v>0</v>
      </c>
    </row>
    <row r="5670" spans="5:10" ht="15.75" hidden="1" thickBot="1">
      <c r="F5670" s="308">
        <v>521</v>
      </c>
      <c r="G5670" s="340" t="s">
        <v>4204</v>
      </c>
      <c r="J5670" s="635">
        <f t="shared" si="180"/>
        <v>0</v>
      </c>
    </row>
    <row r="5671" spans="5:10" ht="15.75" hidden="1" thickBot="1">
      <c r="F5671" s="308">
        <v>522</v>
      </c>
      <c r="G5671" s="340" t="s">
        <v>4205</v>
      </c>
      <c r="J5671" s="635">
        <f t="shared" si="180"/>
        <v>0</v>
      </c>
    </row>
    <row r="5672" spans="5:10" ht="15.75" hidden="1" thickBot="1">
      <c r="F5672" s="308">
        <v>523</v>
      </c>
      <c r="G5672" s="340" t="s">
        <v>3843</v>
      </c>
      <c r="J5672" s="635">
        <f t="shared" si="180"/>
        <v>0</v>
      </c>
    </row>
    <row r="5673" spans="5:10" ht="15.75" hidden="1" thickBot="1">
      <c r="F5673" s="308">
        <v>531</v>
      </c>
      <c r="G5673" s="337" t="s">
        <v>4181</v>
      </c>
      <c r="J5673" s="635">
        <f t="shared" si="180"/>
        <v>0</v>
      </c>
    </row>
    <row r="5674" spans="5:10" ht="15.75" hidden="1" thickBot="1">
      <c r="F5674" s="308">
        <v>541</v>
      </c>
      <c r="G5674" s="340" t="s">
        <v>4206</v>
      </c>
      <c r="J5674" s="635">
        <f t="shared" si="180"/>
        <v>0</v>
      </c>
    </row>
    <row r="5675" spans="5:10" ht="15.75" hidden="1" thickBot="1">
      <c r="F5675" s="308">
        <v>542</v>
      </c>
      <c r="G5675" s="340" t="s">
        <v>4207</v>
      </c>
      <c r="J5675" s="635">
        <f t="shared" si="180"/>
        <v>0</v>
      </c>
    </row>
    <row r="5676" spans="5:10" ht="15.75" hidden="1" thickBot="1">
      <c r="F5676" s="308">
        <v>543</v>
      </c>
      <c r="G5676" s="340" t="s">
        <v>3848</v>
      </c>
      <c r="J5676" s="635">
        <f t="shared" si="180"/>
        <v>0</v>
      </c>
    </row>
    <row r="5677" spans="5:10" ht="30.75" hidden="1" thickBot="1">
      <c r="F5677" s="308">
        <v>551</v>
      </c>
      <c r="G5677" s="340" t="s">
        <v>4182</v>
      </c>
      <c r="J5677" s="635">
        <f t="shared" si="180"/>
        <v>0</v>
      </c>
    </row>
    <row r="5678" spans="5:10" ht="15.75" hidden="1" thickBot="1">
      <c r="F5678" s="309">
        <v>611</v>
      </c>
      <c r="G5678" s="344" t="s">
        <v>3854</v>
      </c>
      <c r="J5678" s="635">
        <f t="shared" si="180"/>
        <v>0</v>
      </c>
    </row>
    <row r="5679" spans="5:10" ht="15.75" hidden="1" thickBot="1">
      <c r="F5679" s="309">
        <v>620</v>
      </c>
      <c r="G5679" s="344" t="s">
        <v>88</v>
      </c>
      <c r="J5679" s="635">
        <f t="shared" si="180"/>
        <v>0</v>
      </c>
    </row>
    <row r="5680" spans="5:10" hidden="1">
      <c r="E5680" s="338"/>
      <c r="F5680" s="346"/>
      <c r="G5680" s="371" t="s">
        <v>4360</v>
      </c>
      <c r="H5680" s="636"/>
      <c r="I5680" s="662"/>
      <c r="J5680" s="637"/>
    </row>
    <row r="5681" spans="5:10" ht="15.75" hidden="1" thickBot="1">
      <c r="E5681" s="267"/>
      <c r="F5681" s="294" t="s">
        <v>234</v>
      </c>
      <c r="G5681" s="297" t="s">
        <v>235</v>
      </c>
      <c r="H5681" s="638">
        <f>SUM(H5620:H5679)</f>
        <v>0</v>
      </c>
      <c r="I5681" s="639"/>
      <c r="J5681" s="639">
        <f>SUM(H5681:I5681)</f>
        <v>0</v>
      </c>
    </row>
    <row r="5682" spans="5:10" ht="15.75" hidden="1" thickBot="1">
      <c r="F5682" s="294" t="s">
        <v>236</v>
      </c>
      <c r="G5682" s="297" t="s">
        <v>237</v>
      </c>
      <c r="J5682" s="639">
        <f t="shared" ref="J5682:J5696" si="181">SUM(H5682:I5682)</f>
        <v>0</v>
      </c>
    </row>
    <row r="5683" spans="5:10" ht="15.75" hidden="1" thickBot="1">
      <c r="F5683" s="294" t="s">
        <v>238</v>
      </c>
      <c r="G5683" s="297" t="s">
        <v>239</v>
      </c>
      <c r="J5683" s="639">
        <f t="shared" si="181"/>
        <v>0</v>
      </c>
    </row>
    <row r="5684" spans="5:10" ht="15.75" hidden="1" thickBot="1">
      <c r="F5684" s="294" t="s">
        <v>240</v>
      </c>
      <c r="G5684" s="297" t="s">
        <v>241</v>
      </c>
      <c r="J5684" s="639">
        <f t="shared" si="181"/>
        <v>0</v>
      </c>
    </row>
    <row r="5685" spans="5:10" ht="15.75" hidden="1" thickBot="1">
      <c r="F5685" s="294" t="s">
        <v>242</v>
      </c>
      <c r="G5685" s="297" t="s">
        <v>243</v>
      </c>
      <c r="J5685" s="639">
        <f t="shared" si="181"/>
        <v>0</v>
      </c>
    </row>
    <row r="5686" spans="5:10" ht="15.75" hidden="1" thickBot="1">
      <c r="F5686" s="294" t="s">
        <v>244</v>
      </c>
      <c r="G5686" s="297" t="s">
        <v>245</v>
      </c>
      <c r="J5686" s="639">
        <f t="shared" si="181"/>
        <v>0</v>
      </c>
    </row>
    <row r="5687" spans="5:10" ht="15.75" hidden="1" thickBot="1">
      <c r="F5687" s="294" t="s">
        <v>246</v>
      </c>
      <c r="G5687" s="683" t="s">
        <v>5121</v>
      </c>
      <c r="J5687" s="639">
        <f t="shared" si="181"/>
        <v>0</v>
      </c>
    </row>
    <row r="5688" spans="5:10" ht="15.75" hidden="1" thickBot="1">
      <c r="F5688" s="294" t="s">
        <v>247</v>
      </c>
      <c r="G5688" s="683" t="s">
        <v>5120</v>
      </c>
      <c r="J5688" s="639">
        <f t="shared" si="181"/>
        <v>0</v>
      </c>
    </row>
    <row r="5689" spans="5:10" ht="15.75" hidden="1" thickBot="1">
      <c r="F5689" s="294" t="s">
        <v>248</v>
      </c>
      <c r="G5689" s="297" t="s">
        <v>57</v>
      </c>
      <c r="J5689" s="639">
        <f t="shared" si="181"/>
        <v>0</v>
      </c>
    </row>
    <row r="5690" spans="5:10" ht="15.75" hidden="1" thickBot="1">
      <c r="F5690" s="294" t="s">
        <v>249</v>
      </c>
      <c r="G5690" s="297" t="s">
        <v>250</v>
      </c>
      <c r="J5690" s="639">
        <f t="shared" si="181"/>
        <v>0</v>
      </c>
    </row>
    <row r="5691" spans="5:10" ht="15.75" hidden="1" thickBot="1">
      <c r="F5691" s="294" t="s">
        <v>251</v>
      </c>
      <c r="G5691" s="297" t="s">
        <v>252</v>
      </c>
      <c r="J5691" s="639">
        <f t="shared" si="181"/>
        <v>0</v>
      </c>
    </row>
    <row r="5692" spans="5:10" ht="15.75" hidden="1" thickBot="1">
      <c r="F5692" s="294" t="s">
        <v>253</v>
      </c>
      <c r="G5692" s="297" t="s">
        <v>254</v>
      </c>
      <c r="J5692" s="639">
        <f t="shared" si="181"/>
        <v>0</v>
      </c>
    </row>
    <row r="5693" spans="5:10" ht="15.75" hidden="1" thickBot="1">
      <c r="F5693" s="294" t="s">
        <v>255</v>
      </c>
      <c r="G5693" s="297" t="s">
        <v>256</v>
      </c>
      <c r="J5693" s="639">
        <f t="shared" si="181"/>
        <v>0</v>
      </c>
    </row>
    <row r="5694" spans="5:10" ht="15.75" hidden="1" thickBot="1">
      <c r="F5694" s="294" t="s">
        <v>257</v>
      </c>
      <c r="G5694" s="297" t="s">
        <v>258</v>
      </c>
      <c r="J5694" s="639">
        <f t="shared" si="181"/>
        <v>0</v>
      </c>
    </row>
    <row r="5695" spans="5:10" ht="15.75" hidden="1" thickBot="1">
      <c r="F5695" s="294" t="s">
        <v>259</v>
      </c>
      <c r="G5695" s="297" t="s">
        <v>260</v>
      </c>
      <c r="J5695" s="639">
        <f t="shared" si="181"/>
        <v>0</v>
      </c>
    </row>
    <row r="5696" spans="5:10" ht="15.75" hidden="1" thickBot="1">
      <c r="F5696" s="294" t="s">
        <v>261</v>
      </c>
      <c r="G5696" s="297" t="s">
        <v>262</v>
      </c>
      <c r="H5696" s="638"/>
      <c r="I5696" s="639"/>
      <c r="J5696" s="639">
        <f t="shared" si="181"/>
        <v>0</v>
      </c>
    </row>
    <row r="5697" spans="5:10" ht="15.75" hidden="1" thickBot="1">
      <c r="G5697" s="274" t="s">
        <v>4361</v>
      </c>
      <c r="H5697" s="640">
        <f>SUM(H5681:H5696)</f>
        <v>0</v>
      </c>
      <c r="I5697" s="641">
        <f>SUM(I5682:I5696)</f>
        <v>0</v>
      </c>
      <c r="J5697" s="641">
        <f>SUM(J5681:J5696)</f>
        <v>0</v>
      </c>
    </row>
    <row r="5698" spans="5:10" hidden="1" collapsed="1">
      <c r="E5698" s="305"/>
      <c r="F5698" s="309"/>
      <c r="G5698" s="371" t="s">
        <v>4236</v>
      </c>
      <c r="H5698" s="636"/>
      <c r="I5698" s="662"/>
      <c r="J5698" s="637"/>
    </row>
    <row r="5699" spans="5:10" ht="15.75" hidden="1" thickBot="1">
      <c r="E5699" s="267"/>
      <c r="F5699" s="294" t="s">
        <v>234</v>
      </c>
      <c r="G5699" s="297" t="s">
        <v>235</v>
      </c>
      <c r="H5699" s="638">
        <f>SUM(H5620:H5679)</f>
        <v>0</v>
      </c>
      <c r="I5699" s="639"/>
      <c r="J5699" s="639">
        <f>SUM(H5699:I5699)</f>
        <v>0</v>
      </c>
    </row>
    <row r="5700" spans="5:10" ht="15.75" hidden="1" thickBot="1">
      <c r="F5700" s="294" t="s">
        <v>236</v>
      </c>
      <c r="G5700" s="297" t="s">
        <v>237</v>
      </c>
      <c r="J5700" s="639">
        <f t="shared" ref="J5700:J5714" si="182">SUM(H5700:I5700)</f>
        <v>0</v>
      </c>
    </row>
    <row r="5701" spans="5:10" ht="15.75" hidden="1" thickBot="1">
      <c r="F5701" s="294" t="s">
        <v>238</v>
      </c>
      <c r="G5701" s="297" t="s">
        <v>239</v>
      </c>
      <c r="J5701" s="639">
        <f t="shared" si="182"/>
        <v>0</v>
      </c>
    </row>
    <row r="5702" spans="5:10" ht="15.75" hidden="1" thickBot="1">
      <c r="F5702" s="294" t="s">
        <v>240</v>
      </c>
      <c r="G5702" s="297" t="s">
        <v>241</v>
      </c>
      <c r="J5702" s="639">
        <f t="shared" si="182"/>
        <v>0</v>
      </c>
    </row>
    <row r="5703" spans="5:10" ht="15.75" hidden="1" thickBot="1">
      <c r="F5703" s="294" t="s">
        <v>242</v>
      </c>
      <c r="G5703" s="297" t="s">
        <v>243</v>
      </c>
      <c r="J5703" s="639">
        <f t="shared" si="182"/>
        <v>0</v>
      </c>
    </row>
    <row r="5704" spans="5:10" ht="15.75" hidden="1" thickBot="1">
      <c r="F5704" s="294" t="s">
        <v>244</v>
      </c>
      <c r="G5704" s="297" t="s">
        <v>245</v>
      </c>
      <c r="J5704" s="639">
        <f t="shared" si="182"/>
        <v>0</v>
      </c>
    </row>
    <row r="5705" spans="5:10" ht="15.75" hidden="1" thickBot="1">
      <c r="F5705" s="294" t="s">
        <v>246</v>
      </c>
      <c r="G5705" s="683" t="s">
        <v>5121</v>
      </c>
      <c r="J5705" s="639">
        <f t="shared" si="182"/>
        <v>0</v>
      </c>
    </row>
    <row r="5706" spans="5:10" ht="15.75" hidden="1" thickBot="1">
      <c r="F5706" s="294" t="s">
        <v>247</v>
      </c>
      <c r="G5706" s="683" t="s">
        <v>5120</v>
      </c>
      <c r="J5706" s="639">
        <f t="shared" si="182"/>
        <v>0</v>
      </c>
    </row>
    <row r="5707" spans="5:10" ht="15.75" hidden="1" thickBot="1">
      <c r="F5707" s="294" t="s">
        <v>248</v>
      </c>
      <c r="G5707" s="297" t="s">
        <v>57</v>
      </c>
      <c r="J5707" s="639">
        <f t="shared" si="182"/>
        <v>0</v>
      </c>
    </row>
    <row r="5708" spans="5:10" ht="15.75" hidden="1" thickBot="1">
      <c r="F5708" s="294" t="s">
        <v>249</v>
      </c>
      <c r="G5708" s="297" t="s">
        <v>250</v>
      </c>
      <c r="J5708" s="639">
        <f t="shared" si="182"/>
        <v>0</v>
      </c>
    </row>
    <row r="5709" spans="5:10" ht="15.75" hidden="1" thickBot="1">
      <c r="F5709" s="294" t="s">
        <v>251</v>
      </c>
      <c r="G5709" s="297" t="s">
        <v>252</v>
      </c>
      <c r="J5709" s="639">
        <f t="shared" si="182"/>
        <v>0</v>
      </c>
    </row>
    <row r="5710" spans="5:10" ht="15.75" hidden="1" thickBot="1">
      <c r="F5710" s="294" t="s">
        <v>253</v>
      </c>
      <c r="G5710" s="297" t="s">
        <v>254</v>
      </c>
      <c r="J5710" s="639">
        <f t="shared" si="182"/>
        <v>0</v>
      </c>
    </row>
    <row r="5711" spans="5:10" ht="15.75" hidden="1" thickBot="1">
      <c r="F5711" s="294" t="s">
        <v>255</v>
      </c>
      <c r="G5711" s="297" t="s">
        <v>256</v>
      </c>
      <c r="J5711" s="639">
        <f t="shared" si="182"/>
        <v>0</v>
      </c>
    </row>
    <row r="5712" spans="5:10" ht="15.75" hidden="1" thickBot="1">
      <c r="F5712" s="294" t="s">
        <v>257</v>
      </c>
      <c r="G5712" s="297" t="s">
        <v>258</v>
      </c>
      <c r="J5712" s="639">
        <f t="shared" si="182"/>
        <v>0</v>
      </c>
    </row>
    <row r="5713" spans="1:25" ht="15.75" hidden="1" thickBot="1">
      <c r="F5713" s="294" t="s">
        <v>259</v>
      </c>
      <c r="G5713" s="297" t="s">
        <v>260</v>
      </c>
      <c r="J5713" s="639">
        <f t="shared" si="182"/>
        <v>0</v>
      </c>
    </row>
    <row r="5714" spans="1:25" ht="15.75" hidden="1" thickBot="1">
      <c r="F5714" s="294" t="s">
        <v>261</v>
      </c>
      <c r="G5714" s="297" t="s">
        <v>262</v>
      </c>
      <c r="H5714" s="638"/>
      <c r="I5714" s="639"/>
      <c r="J5714" s="639">
        <f t="shared" si="182"/>
        <v>0</v>
      </c>
    </row>
    <row r="5715" spans="1:25" ht="15.75" hidden="1" collapsed="1" thickBot="1">
      <c r="G5715" s="274" t="s">
        <v>4237</v>
      </c>
      <c r="H5715" s="640">
        <f>SUM(H5699:H5714)</f>
        <v>0</v>
      </c>
      <c r="I5715" s="641">
        <f>SUM(I5700:I5714)</f>
        <v>0</v>
      </c>
      <c r="J5715" s="641">
        <f>SUM(J5699:J5714)</f>
        <v>0</v>
      </c>
    </row>
    <row r="5716" spans="1:25" s="88" customFormat="1" hidden="1">
      <c r="A5716" s="306"/>
      <c r="B5716" s="301"/>
      <c r="C5716" s="363"/>
      <c r="F5716" s="311"/>
      <c r="G5716" s="320"/>
      <c r="H5716" s="651"/>
      <c r="I5716" s="652"/>
      <c r="J5716" s="652"/>
      <c r="K5716" s="575"/>
      <c r="L5716" s="575"/>
      <c r="M5716" s="575"/>
      <c r="N5716" s="575"/>
      <c r="O5716" s="575"/>
      <c r="P5716" s="575"/>
      <c r="Q5716" s="575"/>
      <c r="R5716" s="575"/>
      <c r="S5716" s="575"/>
      <c r="T5716" s="575"/>
      <c r="U5716" s="575"/>
      <c r="V5716" s="575"/>
      <c r="W5716" s="575"/>
      <c r="X5716" s="575"/>
      <c r="Y5716" s="575"/>
    </row>
    <row r="5717" spans="1:25">
      <c r="C5717" s="273" t="s">
        <v>4112</v>
      </c>
      <c r="D5717" s="264"/>
      <c r="G5717" s="307" t="s">
        <v>4098</v>
      </c>
    </row>
    <row r="5718" spans="1:25" s="88" customFormat="1">
      <c r="A5718" s="376"/>
      <c r="B5718" s="377"/>
      <c r="C5718" s="317"/>
      <c r="D5718" s="373">
        <v>421</v>
      </c>
      <c r="E5718" s="374"/>
      <c r="F5718" s="374"/>
      <c r="G5718" s="375" t="s">
        <v>138</v>
      </c>
      <c r="H5718" s="651"/>
      <c r="I5718" s="652"/>
      <c r="J5718" s="652"/>
      <c r="K5718" s="575"/>
      <c r="L5718" s="575"/>
      <c r="M5718" s="575"/>
      <c r="N5718" s="575"/>
      <c r="O5718" s="575"/>
      <c r="P5718" s="575"/>
      <c r="Q5718" s="575"/>
      <c r="R5718" s="575"/>
      <c r="S5718" s="575"/>
      <c r="T5718" s="575"/>
      <c r="U5718" s="575"/>
      <c r="V5718" s="575"/>
      <c r="W5718" s="575"/>
      <c r="X5718" s="575"/>
      <c r="Y5718" s="575"/>
    </row>
    <row r="5719" spans="1:25" hidden="1">
      <c r="F5719" s="308">
        <v>411</v>
      </c>
      <c r="G5719" s="340" t="s">
        <v>4173</v>
      </c>
      <c r="J5719" s="635">
        <f>SUM(H5719:I5719)</f>
        <v>0</v>
      </c>
    </row>
    <row r="5720" spans="1:25" hidden="1">
      <c r="F5720" s="308">
        <v>412</v>
      </c>
      <c r="G5720" s="337" t="s">
        <v>3770</v>
      </c>
      <c r="J5720" s="635">
        <f t="shared" ref="J5720:J5778" si="183">SUM(H5720:I5720)</f>
        <v>0</v>
      </c>
    </row>
    <row r="5721" spans="1:25" hidden="1">
      <c r="F5721" s="308">
        <v>413</v>
      </c>
      <c r="G5721" s="340" t="s">
        <v>4174</v>
      </c>
      <c r="J5721" s="635">
        <f t="shared" si="183"/>
        <v>0</v>
      </c>
    </row>
    <row r="5722" spans="1:25" hidden="1">
      <c r="F5722" s="308">
        <v>414</v>
      </c>
      <c r="G5722" s="340" t="s">
        <v>3773</v>
      </c>
      <c r="J5722" s="635">
        <f t="shared" si="183"/>
        <v>0</v>
      </c>
    </row>
    <row r="5723" spans="1:25" hidden="1">
      <c r="F5723" s="308">
        <v>415</v>
      </c>
      <c r="G5723" s="340" t="s">
        <v>4183</v>
      </c>
      <c r="J5723" s="635">
        <f t="shared" si="183"/>
        <v>0</v>
      </c>
    </row>
    <row r="5724" spans="1:25" hidden="1">
      <c r="F5724" s="308">
        <v>416</v>
      </c>
      <c r="G5724" s="340" t="s">
        <v>4184</v>
      </c>
      <c r="J5724" s="635">
        <f t="shared" si="183"/>
        <v>0</v>
      </c>
    </row>
    <row r="5725" spans="1:25" hidden="1">
      <c r="F5725" s="308">
        <v>417</v>
      </c>
      <c r="G5725" s="340" t="s">
        <v>4185</v>
      </c>
      <c r="J5725" s="635">
        <f t="shared" si="183"/>
        <v>0</v>
      </c>
    </row>
    <row r="5726" spans="1:25" hidden="1">
      <c r="F5726" s="308">
        <v>418</v>
      </c>
      <c r="G5726" s="340" t="s">
        <v>3779</v>
      </c>
      <c r="J5726" s="635">
        <f t="shared" si="183"/>
        <v>0</v>
      </c>
    </row>
    <row r="5727" spans="1:25" hidden="1">
      <c r="F5727" s="308">
        <v>421</v>
      </c>
      <c r="G5727" s="340" t="s">
        <v>3783</v>
      </c>
      <c r="J5727" s="635">
        <f t="shared" si="183"/>
        <v>0</v>
      </c>
    </row>
    <row r="5728" spans="1:25" hidden="1">
      <c r="F5728" s="308">
        <v>422</v>
      </c>
      <c r="G5728" s="340" t="s">
        <v>3784</v>
      </c>
      <c r="J5728" s="635">
        <f t="shared" si="183"/>
        <v>0</v>
      </c>
    </row>
    <row r="5729" spans="6:10" hidden="1">
      <c r="F5729" s="308">
        <v>423</v>
      </c>
      <c r="G5729" s="340" t="s">
        <v>3785</v>
      </c>
      <c r="J5729" s="635">
        <f t="shared" si="183"/>
        <v>0</v>
      </c>
    </row>
    <row r="5730" spans="6:10" hidden="1">
      <c r="F5730" s="308">
        <v>424</v>
      </c>
      <c r="G5730" s="340" t="s">
        <v>3787</v>
      </c>
      <c r="J5730" s="635">
        <f t="shared" si="183"/>
        <v>0</v>
      </c>
    </row>
    <row r="5731" spans="6:10" hidden="1">
      <c r="F5731" s="308">
        <v>425</v>
      </c>
      <c r="G5731" s="340" t="s">
        <v>4186</v>
      </c>
      <c r="J5731" s="635">
        <f t="shared" si="183"/>
        <v>0</v>
      </c>
    </row>
    <row r="5732" spans="6:10" hidden="1">
      <c r="F5732" s="308">
        <v>426</v>
      </c>
      <c r="G5732" s="340" t="s">
        <v>3791</v>
      </c>
      <c r="J5732" s="635">
        <f t="shared" si="183"/>
        <v>0</v>
      </c>
    </row>
    <row r="5733" spans="6:10" hidden="1">
      <c r="F5733" s="308">
        <v>431</v>
      </c>
      <c r="G5733" s="340" t="s">
        <v>4187</v>
      </c>
      <c r="J5733" s="635">
        <f t="shared" si="183"/>
        <v>0</v>
      </c>
    </row>
    <row r="5734" spans="6:10" hidden="1">
      <c r="F5734" s="308">
        <v>432</v>
      </c>
      <c r="G5734" s="340" t="s">
        <v>4188</v>
      </c>
      <c r="J5734" s="635">
        <f t="shared" si="183"/>
        <v>0</v>
      </c>
    </row>
    <row r="5735" spans="6:10" hidden="1">
      <c r="F5735" s="308">
        <v>433</v>
      </c>
      <c r="G5735" s="340" t="s">
        <v>4189</v>
      </c>
      <c r="J5735" s="635">
        <f t="shared" si="183"/>
        <v>0</v>
      </c>
    </row>
    <row r="5736" spans="6:10" hidden="1">
      <c r="F5736" s="308">
        <v>434</v>
      </c>
      <c r="G5736" s="340" t="s">
        <v>4190</v>
      </c>
      <c r="J5736" s="635">
        <f t="shared" si="183"/>
        <v>0</v>
      </c>
    </row>
    <row r="5737" spans="6:10" hidden="1">
      <c r="F5737" s="308">
        <v>435</v>
      </c>
      <c r="G5737" s="340" t="s">
        <v>3798</v>
      </c>
      <c r="J5737" s="635">
        <f t="shared" si="183"/>
        <v>0</v>
      </c>
    </row>
    <row r="5738" spans="6:10" ht="0.75" customHeight="1">
      <c r="F5738" s="308">
        <v>441</v>
      </c>
      <c r="G5738" s="340" t="s">
        <v>4191</v>
      </c>
      <c r="J5738" s="635">
        <f t="shared" si="183"/>
        <v>0</v>
      </c>
    </row>
    <row r="5739" spans="6:10" hidden="1">
      <c r="F5739" s="308">
        <v>442</v>
      </c>
      <c r="G5739" s="340" t="s">
        <v>4192</v>
      </c>
      <c r="J5739" s="635">
        <f t="shared" si="183"/>
        <v>0</v>
      </c>
    </row>
    <row r="5740" spans="6:10" hidden="1">
      <c r="F5740" s="308">
        <v>443</v>
      </c>
      <c r="G5740" s="340" t="s">
        <v>3803</v>
      </c>
      <c r="J5740" s="635">
        <f t="shared" si="183"/>
        <v>0</v>
      </c>
    </row>
    <row r="5741" spans="6:10" hidden="1">
      <c r="F5741" s="308">
        <v>444</v>
      </c>
      <c r="G5741" s="340" t="s">
        <v>3804</v>
      </c>
      <c r="J5741" s="635">
        <f t="shared" si="183"/>
        <v>0</v>
      </c>
    </row>
    <row r="5742" spans="6:10" ht="30" hidden="1">
      <c r="F5742" s="308">
        <v>4511</v>
      </c>
      <c r="G5742" s="268" t="s">
        <v>1690</v>
      </c>
      <c r="J5742" s="635">
        <f t="shared" si="183"/>
        <v>0</v>
      </c>
    </row>
    <row r="5743" spans="6:10" ht="30" hidden="1">
      <c r="F5743" s="308">
        <v>4512</v>
      </c>
      <c r="G5743" s="268" t="s">
        <v>1699</v>
      </c>
      <c r="J5743" s="635">
        <f t="shared" si="183"/>
        <v>0</v>
      </c>
    </row>
    <row r="5744" spans="6:10" hidden="1">
      <c r="F5744" s="308">
        <v>452</v>
      </c>
      <c r="G5744" s="340" t="s">
        <v>4193</v>
      </c>
      <c r="J5744" s="635">
        <f t="shared" si="183"/>
        <v>0</v>
      </c>
    </row>
    <row r="5745" spans="6:10" hidden="1">
      <c r="F5745" s="308">
        <v>453</v>
      </c>
      <c r="G5745" s="340" t="s">
        <v>4194</v>
      </c>
      <c r="J5745" s="635">
        <f t="shared" si="183"/>
        <v>0</v>
      </c>
    </row>
    <row r="5746" spans="6:10" hidden="1">
      <c r="F5746" s="308">
        <v>454</v>
      </c>
      <c r="G5746" s="340" t="s">
        <v>3809</v>
      </c>
      <c r="J5746" s="635">
        <f t="shared" si="183"/>
        <v>0</v>
      </c>
    </row>
    <row r="5747" spans="6:10" hidden="1">
      <c r="F5747" s="308">
        <v>461</v>
      </c>
      <c r="G5747" s="340" t="s">
        <v>4175</v>
      </c>
      <c r="J5747" s="635">
        <f t="shared" si="183"/>
        <v>0</v>
      </c>
    </row>
    <row r="5748" spans="6:10" hidden="1">
      <c r="F5748" s="308">
        <v>462</v>
      </c>
      <c r="G5748" s="340" t="s">
        <v>3812</v>
      </c>
      <c r="J5748" s="635">
        <f t="shared" si="183"/>
        <v>0</v>
      </c>
    </row>
    <row r="5749" spans="6:10" hidden="1">
      <c r="F5749" s="308">
        <v>4631</v>
      </c>
      <c r="G5749" s="340" t="s">
        <v>3813</v>
      </c>
      <c r="J5749" s="635">
        <f t="shared" si="183"/>
        <v>0</v>
      </c>
    </row>
    <row r="5750" spans="6:10" hidden="1">
      <c r="F5750" s="308">
        <v>4632</v>
      </c>
      <c r="G5750" s="340" t="s">
        <v>3814</v>
      </c>
      <c r="J5750" s="635">
        <f t="shared" si="183"/>
        <v>0</v>
      </c>
    </row>
    <row r="5751" spans="6:10" hidden="1">
      <c r="F5751" s="308">
        <v>464</v>
      </c>
      <c r="G5751" s="340" t="s">
        <v>3815</v>
      </c>
      <c r="J5751" s="635">
        <f t="shared" si="183"/>
        <v>0</v>
      </c>
    </row>
    <row r="5752" spans="6:10" hidden="1">
      <c r="F5752" s="308">
        <v>465</v>
      </c>
      <c r="G5752" s="340" t="s">
        <v>4176</v>
      </c>
      <c r="J5752" s="635">
        <f t="shared" si="183"/>
        <v>0</v>
      </c>
    </row>
    <row r="5753" spans="6:10" hidden="1">
      <c r="F5753" s="308">
        <v>472</v>
      </c>
      <c r="G5753" s="340" t="s">
        <v>3819</v>
      </c>
      <c r="J5753" s="635">
        <f t="shared" si="183"/>
        <v>0</v>
      </c>
    </row>
    <row r="5754" spans="6:10" hidden="1">
      <c r="F5754" s="308">
        <v>481</v>
      </c>
      <c r="G5754" s="340" t="s">
        <v>4195</v>
      </c>
      <c r="J5754" s="635">
        <f t="shared" si="183"/>
        <v>0</v>
      </c>
    </row>
    <row r="5755" spans="6:10" hidden="1">
      <c r="F5755" s="308">
        <v>482</v>
      </c>
      <c r="G5755" s="340" t="s">
        <v>4196</v>
      </c>
      <c r="J5755" s="635">
        <f t="shared" si="183"/>
        <v>0</v>
      </c>
    </row>
    <row r="5756" spans="6:10" hidden="1">
      <c r="F5756" s="308">
        <v>483</v>
      </c>
      <c r="G5756" s="343" t="s">
        <v>4197</v>
      </c>
      <c r="J5756" s="635">
        <f t="shared" si="183"/>
        <v>0</v>
      </c>
    </row>
    <row r="5757" spans="6:10" ht="30" hidden="1">
      <c r="F5757" s="308">
        <v>484</v>
      </c>
      <c r="G5757" s="340" t="s">
        <v>4198</v>
      </c>
      <c r="J5757" s="635">
        <f t="shared" si="183"/>
        <v>0</v>
      </c>
    </row>
    <row r="5758" spans="6:10" ht="30" hidden="1">
      <c r="F5758" s="308">
        <v>485</v>
      </c>
      <c r="G5758" s="340" t="s">
        <v>4199</v>
      </c>
      <c r="J5758" s="635">
        <f t="shared" si="183"/>
        <v>0</v>
      </c>
    </row>
    <row r="5759" spans="6:10" ht="30" hidden="1">
      <c r="F5759" s="308">
        <v>489</v>
      </c>
      <c r="G5759" s="340" t="s">
        <v>3827</v>
      </c>
      <c r="J5759" s="635">
        <f t="shared" si="183"/>
        <v>0</v>
      </c>
    </row>
    <row r="5760" spans="6:10" hidden="1">
      <c r="F5760" s="308">
        <v>494</v>
      </c>
      <c r="G5760" s="340" t="s">
        <v>4177</v>
      </c>
      <c r="J5760" s="635">
        <f t="shared" si="183"/>
        <v>0</v>
      </c>
    </row>
    <row r="5761" spans="5:10" ht="30" hidden="1">
      <c r="F5761" s="308">
        <v>495</v>
      </c>
      <c r="G5761" s="340" t="s">
        <v>4178</v>
      </c>
      <c r="J5761" s="635">
        <f t="shared" si="183"/>
        <v>0</v>
      </c>
    </row>
    <row r="5762" spans="5:10" ht="30" hidden="1">
      <c r="F5762" s="308">
        <v>496</v>
      </c>
      <c r="G5762" s="340" t="s">
        <v>4179</v>
      </c>
      <c r="J5762" s="635">
        <f t="shared" si="183"/>
        <v>0</v>
      </c>
    </row>
    <row r="5763" spans="5:10" hidden="1">
      <c r="F5763" s="308">
        <v>499</v>
      </c>
      <c r="G5763" s="340" t="s">
        <v>4180</v>
      </c>
      <c r="J5763" s="635">
        <f t="shared" si="183"/>
        <v>0</v>
      </c>
    </row>
    <row r="5764" spans="5:10" hidden="1">
      <c r="F5764" s="308">
        <v>511</v>
      </c>
      <c r="G5764" s="343" t="s">
        <v>4200</v>
      </c>
      <c r="J5764" s="635">
        <f t="shared" si="183"/>
        <v>0</v>
      </c>
    </row>
    <row r="5765" spans="5:10" hidden="1">
      <c r="F5765" s="308">
        <v>512</v>
      </c>
      <c r="G5765" s="343" t="s">
        <v>4201</v>
      </c>
      <c r="J5765" s="635">
        <f t="shared" si="183"/>
        <v>0</v>
      </c>
    </row>
    <row r="5766" spans="5:10" hidden="1">
      <c r="F5766" s="308">
        <v>513</v>
      </c>
      <c r="G5766" s="343" t="s">
        <v>4202</v>
      </c>
      <c r="J5766" s="635">
        <f t="shared" si="183"/>
        <v>0</v>
      </c>
    </row>
    <row r="5767" spans="5:10" ht="15.75" thickBot="1">
      <c r="E5767" s="263">
        <v>80</v>
      </c>
      <c r="F5767" s="308">
        <v>4511</v>
      </c>
      <c r="G5767" s="562" t="s">
        <v>5260</v>
      </c>
      <c r="H5767" s="634">
        <v>25000000</v>
      </c>
      <c r="J5767" s="635">
        <f t="shared" si="183"/>
        <v>25000000</v>
      </c>
    </row>
    <row r="5768" spans="5:10" ht="15.75" hidden="1" thickBot="1">
      <c r="F5768" s="308">
        <v>515</v>
      </c>
      <c r="G5768" s="340" t="s">
        <v>3838</v>
      </c>
      <c r="J5768" s="635">
        <f t="shared" si="183"/>
        <v>0</v>
      </c>
    </row>
    <row r="5769" spans="5:10" ht="15.75" hidden="1" thickBot="1">
      <c r="F5769" s="308">
        <v>521</v>
      </c>
      <c r="G5769" s="340" t="s">
        <v>4204</v>
      </c>
      <c r="J5769" s="635">
        <f t="shared" si="183"/>
        <v>0</v>
      </c>
    </row>
    <row r="5770" spans="5:10" ht="15.75" hidden="1" thickBot="1">
      <c r="F5770" s="308">
        <v>522</v>
      </c>
      <c r="G5770" s="340" t="s">
        <v>4205</v>
      </c>
      <c r="J5770" s="635">
        <f t="shared" si="183"/>
        <v>0</v>
      </c>
    </row>
    <row r="5771" spans="5:10" ht="15.75" hidden="1" thickBot="1">
      <c r="F5771" s="308">
        <v>523</v>
      </c>
      <c r="G5771" s="340" t="s">
        <v>3843</v>
      </c>
      <c r="J5771" s="635">
        <f t="shared" si="183"/>
        <v>0</v>
      </c>
    </row>
    <row r="5772" spans="5:10" ht="15.75" hidden="1" thickBot="1">
      <c r="F5772" s="308">
        <v>531</v>
      </c>
      <c r="G5772" s="337" t="s">
        <v>4181</v>
      </c>
      <c r="J5772" s="635">
        <f t="shared" si="183"/>
        <v>0</v>
      </c>
    </row>
    <row r="5773" spans="5:10" ht="15.75" hidden="1" thickBot="1">
      <c r="F5773" s="308">
        <v>541</v>
      </c>
      <c r="G5773" s="340" t="s">
        <v>4206</v>
      </c>
      <c r="J5773" s="635">
        <f t="shared" si="183"/>
        <v>0</v>
      </c>
    </row>
    <row r="5774" spans="5:10" ht="15.75" hidden="1" thickBot="1">
      <c r="F5774" s="308">
        <v>542</v>
      </c>
      <c r="G5774" s="340" t="s">
        <v>4207</v>
      </c>
      <c r="J5774" s="635">
        <f t="shared" si="183"/>
        <v>0</v>
      </c>
    </row>
    <row r="5775" spans="5:10" ht="15.75" hidden="1" thickBot="1">
      <c r="F5775" s="308">
        <v>543</v>
      </c>
      <c r="G5775" s="340" t="s">
        <v>3848</v>
      </c>
      <c r="J5775" s="635">
        <f t="shared" si="183"/>
        <v>0</v>
      </c>
    </row>
    <row r="5776" spans="5:10" ht="30.75" hidden="1" thickBot="1">
      <c r="F5776" s="308">
        <v>551</v>
      </c>
      <c r="G5776" s="340" t="s">
        <v>4182</v>
      </c>
      <c r="J5776" s="635">
        <f t="shared" si="183"/>
        <v>0</v>
      </c>
    </row>
    <row r="5777" spans="5:10" ht="15.75" hidden="1" thickBot="1">
      <c r="F5777" s="309">
        <v>611</v>
      </c>
      <c r="G5777" s="344" t="s">
        <v>3854</v>
      </c>
      <c r="J5777" s="635">
        <f t="shared" si="183"/>
        <v>0</v>
      </c>
    </row>
    <row r="5778" spans="5:10" ht="15.75" hidden="1" thickBot="1">
      <c r="F5778" s="309">
        <v>620</v>
      </c>
      <c r="G5778" s="344" t="s">
        <v>88</v>
      </c>
      <c r="J5778" s="635">
        <f t="shared" si="183"/>
        <v>0</v>
      </c>
    </row>
    <row r="5779" spans="5:10">
      <c r="E5779" s="338"/>
      <c r="F5779" s="346"/>
      <c r="G5779" s="371" t="s">
        <v>4360</v>
      </c>
      <c r="H5779" s="636"/>
      <c r="I5779" s="662"/>
      <c r="J5779" s="637"/>
    </row>
    <row r="5780" spans="5:10" ht="15.75" thickBot="1">
      <c r="E5780" s="267"/>
      <c r="F5780" s="294" t="s">
        <v>234</v>
      </c>
      <c r="G5780" s="297" t="s">
        <v>235</v>
      </c>
      <c r="H5780" s="638">
        <f>SUM(H5719:H5778)</f>
        <v>25000000</v>
      </c>
      <c r="I5780" s="639"/>
      <c r="J5780" s="639">
        <f>SUM(H5780:I5780)</f>
        <v>25000000</v>
      </c>
    </row>
    <row r="5781" spans="5:10" ht="15.75" hidden="1" thickBot="1">
      <c r="F5781" s="294" t="s">
        <v>236</v>
      </c>
      <c r="G5781" s="297" t="s">
        <v>237</v>
      </c>
      <c r="J5781" s="639">
        <f t="shared" ref="J5781:J5795" si="184">SUM(H5781:I5781)</f>
        <v>0</v>
      </c>
    </row>
    <row r="5782" spans="5:10" ht="15.75" hidden="1" thickBot="1">
      <c r="F5782" s="294" t="s">
        <v>238</v>
      </c>
      <c r="G5782" s="297" t="s">
        <v>239</v>
      </c>
      <c r="J5782" s="639">
        <f t="shared" si="184"/>
        <v>0</v>
      </c>
    </row>
    <row r="5783" spans="5:10" ht="15.75" hidden="1" thickBot="1">
      <c r="F5783" s="294" t="s">
        <v>240</v>
      </c>
      <c r="G5783" s="297" t="s">
        <v>241</v>
      </c>
      <c r="J5783" s="639">
        <f t="shared" si="184"/>
        <v>0</v>
      </c>
    </row>
    <row r="5784" spans="5:10" ht="15.75" hidden="1" thickBot="1">
      <c r="F5784" s="294" t="s">
        <v>242</v>
      </c>
      <c r="G5784" s="297" t="s">
        <v>243</v>
      </c>
      <c r="J5784" s="639">
        <f t="shared" si="184"/>
        <v>0</v>
      </c>
    </row>
    <row r="5785" spans="5:10" ht="15.75" hidden="1" thickBot="1">
      <c r="F5785" s="294" t="s">
        <v>244</v>
      </c>
      <c r="G5785" s="297" t="s">
        <v>245</v>
      </c>
      <c r="J5785" s="639">
        <f t="shared" si="184"/>
        <v>0</v>
      </c>
    </row>
    <row r="5786" spans="5:10" ht="15.75" hidden="1" thickBot="1">
      <c r="F5786" s="294" t="s">
        <v>246</v>
      </c>
      <c r="G5786" s="683" t="s">
        <v>5121</v>
      </c>
      <c r="J5786" s="639">
        <f t="shared" si="184"/>
        <v>0</v>
      </c>
    </row>
    <row r="5787" spans="5:10" ht="15.75" hidden="1" thickBot="1">
      <c r="F5787" s="294" t="s">
        <v>247</v>
      </c>
      <c r="G5787" s="683" t="s">
        <v>5120</v>
      </c>
      <c r="J5787" s="639">
        <f t="shared" si="184"/>
        <v>0</v>
      </c>
    </row>
    <row r="5788" spans="5:10" ht="15.75" hidden="1" thickBot="1">
      <c r="F5788" s="294" t="s">
        <v>248</v>
      </c>
      <c r="G5788" s="297" t="s">
        <v>57</v>
      </c>
      <c r="J5788" s="639">
        <f t="shared" si="184"/>
        <v>0</v>
      </c>
    </row>
    <row r="5789" spans="5:10" ht="15.75" hidden="1" thickBot="1">
      <c r="F5789" s="294" t="s">
        <v>249</v>
      </c>
      <c r="G5789" s="297" t="s">
        <v>250</v>
      </c>
      <c r="J5789" s="639">
        <f t="shared" si="184"/>
        <v>0</v>
      </c>
    </row>
    <row r="5790" spans="5:10" ht="15.75" hidden="1" thickBot="1">
      <c r="F5790" s="294" t="s">
        <v>251</v>
      </c>
      <c r="G5790" s="297" t="s">
        <v>252</v>
      </c>
      <c r="J5790" s="639">
        <f t="shared" si="184"/>
        <v>0</v>
      </c>
    </row>
    <row r="5791" spans="5:10" ht="15.75" hidden="1" thickBot="1">
      <c r="F5791" s="294" t="s">
        <v>253</v>
      </c>
      <c r="G5791" s="297" t="s">
        <v>254</v>
      </c>
      <c r="J5791" s="639">
        <f t="shared" si="184"/>
        <v>0</v>
      </c>
    </row>
    <row r="5792" spans="5:10" ht="15.75" hidden="1" thickBot="1">
      <c r="F5792" s="294" t="s">
        <v>255</v>
      </c>
      <c r="G5792" s="297" t="s">
        <v>256</v>
      </c>
      <c r="J5792" s="639">
        <f t="shared" si="184"/>
        <v>0</v>
      </c>
    </row>
    <row r="5793" spans="5:10" ht="15.75" hidden="1" thickBot="1">
      <c r="F5793" s="294" t="s">
        <v>257</v>
      </c>
      <c r="G5793" s="297" t="s">
        <v>258</v>
      </c>
      <c r="J5793" s="639">
        <f t="shared" si="184"/>
        <v>0</v>
      </c>
    </row>
    <row r="5794" spans="5:10" ht="15.75" hidden="1" thickBot="1">
      <c r="F5794" s="294" t="s">
        <v>259</v>
      </c>
      <c r="G5794" s="297" t="s">
        <v>260</v>
      </c>
      <c r="J5794" s="639">
        <f t="shared" si="184"/>
        <v>0</v>
      </c>
    </row>
    <row r="5795" spans="5:10" ht="15.75" hidden="1" thickBot="1">
      <c r="F5795" s="294" t="s">
        <v>261</v>
      </c>
      <c r="G5795" s="297" t="s">
        <v>262</v>
      </c>
      <c r="H5795" s="638"/>
      <c r="I5795" s="639"/>
      <c r="J5795" s="639">
        <f t="shared" si="184"/>
        <v>0</v>
      </c>
    </row>
    <row r="5796" spans="5:10" ht="15.75" thickBot="1">
      <c r="G5796" s="274" t="s">
        <v>4361</v>
      </c>
      <c r="H5796" s="640">
        <f>SUM(H5780:H5795)</f>
        <v>25000000</v>
      </c>
      <c r="I5796" s="641">
        <f>SUM(I5781:I5795)</f>
        <v>0</v>
      </c>
      <c r="J5796" s="641">
        <f>SUM(J5780:J5795)</f>
        <v>25000000</v>
      </c>
    </row>
    <row r="5797" spans="5:10" collapsed="1">
      <c r="E5797" s="305"/>
      <c r="F5797" s="309"/>
      <c r="G5797" s="276" t="s">
        <v>4238</v>
      </c>
      <c r="H5797" s="642"/>
      <c r="I5797" s="663"/>
      <c r="J5797" s="643"/>
    </row>
    <row r="5798" spans="5:10" ht="15.75" thickBot="1">
      <c r="E5798" s="267"/>
      <c r="F5798" s="294" t="s">
        <v>234</v>
      </c>
      <c r="G5798" s="297" t="s">
        <v>235</v>
      </c>
      <c r="H5798" s="638">
        <f>SUM(H5719:H5778)</f>
        <v>25000000</v>
      </c>
      <c r="I5798" s="639"/>
      <c r="J5798" s="639">
        <f>SUM(H5798:I5798)</f>
        <v>25000000</v>
      </c>
    </row>
    <row r="5799" spans="5:10" ht="15.75" hidden="1" thickBot="1">
      <c r="F5799" s="294" t="s">
        <v>236</v>
      </c>
      <c r="G5799" s="297" t="s">
        <v>237</v>
      </c>
      <c r="J5799" s="639">
        <f t="shared" ref="J5799:J5813" si="185">SUM(H5799:I5799)</f>
        <v>0</v>
      </c>
    </row>
    <row r="5800" spans="5:10" ht="15.75" hidden="1" thickBot="1">
      <c r="F5800" s="294" t="s">
        <v>238</v>
      </c>
      <c r="G5800" s="297" t="s">
        <v>239</v>
      </c>
      <c r="J5800" s="639">
        <f t="shared" si="185"/>
        <v>0</v>
      </c>
    </row>
    <row r="5801" spans="5:10" ht="15.75" hidden="1" thickBot="1">
      <c r="F5801" s="294" t="s">
        <v>240</v>
      </c>
      <c r="G5801" s="297" t="s">
        <v>241</v>
      </c>
      <c r="J5801" s="639">
        <f t="shared" si="185"/>
        <v>0</v>
      </c>
    </row>
    <row r="5802" spans="5:10" ht="15.75" hidden="1" thickBot="1">
      <c r="F5802" s="294" t="s">
        <v>242</v>
      </c>
      <c r="G5802" s="297" t="s">
        <v>243</v>
      </c>
      <c r="J5802" s="639">
        <f t="shared" si="185"/>
        <v>0</v>
      </c>
    </row>
    <row r="5803" spans="5:10" ht="15.75" hidden="1" thickBot="1">
      <c r="F5803" s="294" t="s">
        <v>244</v>
      </c>
      <c r="G5803" s="297" t="s">
        <v>245</v>
      </c>
      <c r="J5803" s="639">
        <f t="shared" si="185"/>
        <v>0</v>
      </c>
    </row>
    <row r="5804" spans="5:10" ht="15.75" hidden="1" thickBot="1">
      <c r="F5804" s="294" t="s">
        <v>246</v>
      </c>
      <c r="G5804" s="683" t="s">
        <v>5121</v>
      </c>
      <c r="J5804" s="639">
        <f t="shared" si="185"/>
        <v>0</v>
      </c>
    </row>
    <row r="5805" spans="5:10" ht="15.75" hidden="1" thickBot="1">
      <c r="F5805" s="294" t="s">
        <v>247</v>
      </c>
      <c r="G5805" s="683" t="s">
        <v>5120</v>
      </c>
      <c r="J5805" s="639">
        <f t="shared" si="185"/>
        <v>0</v>
      </c>
    </row>
    <row r="5806" spans="5:10" ht="15.75" hidden="1" thickBot="1">
      <c r="F5806" s="294" t="s">
        <v>248</v>
      </c>
      <c r="G5806" s="297" t="s">
        <v>57</v>
      </c>
      <c r="J5806" s="639">
        <f t="shared" si="185"/>
        <v>0</v>
      </c>
    </row>
    <row r="5807" spans="5:10" ht="15.75" hidden="1" thickBot="1">
      <c r="F5807" s="294" t="s">
        <v>249</v>
      </c>
      <c r="G5807" s="297" t="s">
        <v>250</v>
      </c>
      <c r="J5807" s="639">
        <f t="shared" si="185"/>
        <v>0</v>
      </c>
    </row>
    <row r="5808" spans="5:10" ht="15.75" hidden="1" thickBot="1">
      <c r="F5808" s="294" t="s">
        <v>251</v>
      </c>
      <c r="G5808" s="297" t="s">
        <v>252</v>
      </c>
      <c r="J5808" s="639">
        <f t="shared" si="185"/>
        <v>0</v>
      </c>
    </row>
    <row r="5809" spans="1:25" ht="15.75" hidden="1" thickBot="1">
      <c r="F5809" s="294" t="s">
        <v>253</v>
      </c>
      <c r="G5809" s="297" t="s">
        <v>254</v>
      </c>
      <c r="J5809" s="639">
        <f t="shared" si="185"/>
        <v>0</v>
      </c>
    </row>
    <row r="5810" spans="1:25" ht="15.75" hidden="1" thickBot="1">
      <c r="F5810" s="294" t="s">
        <v>255</v>
      </c>
      <c r="G5810" s="297" t="s">
        <v>256</v>
      </c>
      <c r="J5810" s="639">
        <f t="shared" si="185"/>
        <v>0</v>
      </c>
    </row>
    <row r="5811" spans="1:25" ht="15.75" hidden="1" thickBot="1">
      <c r="F5811" s="294" t="s">
        <v>257</v>
      </c>
      <c r="G5811" s="297" t="s">
        <v>258</v>
      </c>
      <c r="J5811" s="639">
        <f t="shared" si="185"/>
        <v>0</v>
      </c>
    </row>
    <row r="5812" spans="1:25" ht="15.75" hidden="1" thickBot="1">
      <c r="F5812" s="294" t="s">
        <v>259</v>
      </c>
      <c r="G5812" s="297" t="s">
        <v>260</v>
      </c>
      <c r="J5812" s="639">
        <f t="shared" si="185"/>
        <v>0</v>
      </c>
    </row>
    <row r="5813" spans="1:25" ht="15.75" hidden="1" thickBot="1">
      <c r="F5813" s="294" t="s">
        <v>261</v>
      </c>
      <c r="G5813" s="297" t="s">
        <v>262</v>
      </c>
      <c r="H5813" s="638"/>
      <c r="I5813" s="639"/>
      <c r="J5813" s="639">
        <f t="shared" si="185"/>
        <v>0</v>
      </c>
    </row>
    <row r="5814" spans="1:25" ht="15" customHeight="1" collapsed="1" thickBot="1">
      <c r="G5814" s="274" t="s">
        <v>4239</v>
      </c>
      <c r="H5814" s="640">
        <f>SUM(H5798:H5813)</f>
        <v>25000000</v>
      </c>
      <c r="I5814" s="641">
        <f>SUM(I5799:I5813)</f>
        <v>0</v>
      </c>
      <c r="J5814" s="641">
        <f>SUM(J5798:J5813)</f>
        <v>25000000</v>
      </c>
    </row>
    <row r="5815" spans="1:25" s="88" customFormat="1" hidden="1">
      <c r="A5815" s="306"/>
      <c r="B5815" s="301"/>
      <c r="C5815" s="361"/>
      <c r="D5815" s="296"/>
      <c r="E5815" s="296"/>
      <c r="F5815" s="302"/>
      <c r="G5815" s="339"/>
      <c r="H5815" s="667"/>
      <c r="I5815" s="650"/>
      <c r="J5815" s="668"/>
      <c r="K5815" s="575"/>
      <c r="L5815" s="575"/>
      <c r="M5815" s="575"/>
      <c r="N5815" s="575"/>
      <c r="O5815" s="575"/>
      <c r="P5815" s="575"/>
      <c r="Q5815" s="575"/>
      <c r="R5815" s="575"/>
      <c r="S5815" s="575"/>
      <c r="T5815" s="575"/>
      <c r="U5815" s="575"/>
      <c r="V5815" s="575"/>
      <c r="W5815" s="575"/>
      <c r="X5815" s="575"/>
      <c r="Y5815" s="575"/>
    </row>
    <row r="5816" spans="1:25" hidden="1">
      <c r="C5816" s="273" t="s">
        <v>4607</v>
      </c>
      <c r="D5816" s="264"/>
      <c r="G5816" s="307" t="s">
        <v>5079</v>
      </c>
    </row>
    <row r="5817" spans="1:25" hidden="1">
      <c r="C5817" s="273"/>
      <c r="D5817" s="373">
        <v>421</v>
      </c>
      <c r="E5817" s="374"/>
      <c r="F5817" s="374"/>
      <c r="G5817" s="375" t="s">
        <v>138</v>
      </c>
    </row>
    <row r="5818" spans="1:25" hidden="1">
      <c r="F5818" s="308">
        <v>411</v>
      </c>
      <c r="G5818" s="340" t="s">
        <v>4173</v>
      </c>
      <c r="J5818" s="635">
        <f>SUM(H5818:I5818)</f>
        <v>0</v>
      </c>
    </row>
    <row r="5819" spans="1:25" hidden="1">
      <c r="F5819" s="308">
        <v>412</v>
      </c>
      <c r="G5819" s="337" t="s">
        <v>3770</v>
      </c>
      <c r="J5819" s="635">
        <f t="shared" ref="J5819:J5877" si="186">SUM(H5819:I5819)</f>
        <v>0</v>
      </c>
    </row>
    <row r="5820" spans="1:25" hidden="1">
      <c r="F5820" s="308">
        <v>413</v>
      </c>
      <c r="G5820" s="340" t="s">
        <v>4174</v>
      </c>
      <c r="J5820" s="635">
        <f t="shared" si="186"/>
        <v>0</v>
      </c>
    </row>
    <row r="5821" spans="1:25" hidden="1">
      <c r="F5821" s="308">
        <v>414</v>
      </c>
      <c r="G5821" s="340" t="s">
        <v>3773</v>
      </c>
      <c r="J5821" s="635">
        <f t="shared" si="186"/>
        <v>0</v>
      </c>
    </row>
    <row r="5822" spans="1:25" hidden="1">
      <c r="F5822" s="308">
        <v>415</v>
      </c>
      <c r="G5822" s="340" t="s">
        <v>4183</v>
      </c>
      <c r="J5822" s="635">
        <f t="shared" si="186"/>
        <v>0</v>
      </c>
    </row>
    <row r="5823" spans="1:25" hidden="1">
      <c r="F5823" s="308">
        <v>416</v>
      </c>
      <c r="G5823" s="340" t="s">
        <v>4184</v>
      </c>
      <c r="J5823" s="635">
        <f t="shared" si="186"/>
        <v>0</v>
      </c>
    </row>
    <row r="5824" spans="1:25" hidden="1">
      <c r="F5824" s="308">
        <v>417</v>
      </c>
      <c r="G5824" s="340" t="s">
        <v>4185</v>
      </c>
      <c r="J5824" s="635">
        <f t="shared" si="186"/>
        <v>0</v>
      </c>
    </row>
    <row r="5825" spans="6:10" hidden="1">
      <c r="F5825" s="308">
        <v>418</v>
      </c>
      <c r="G5825" s="340" t="s">
        <v>3779</v>
      </c>
      <c r="J5825" s="635">
        <f t="shared" si="186"/>
        <v>0</v>
      </c>
    </row>
    <row r="5826" spans="6:10" hidden="1">
      <c r="F5826" s="308">
        <v>421</v>
      </c>
      <c r="G5826" s="340" t="s">
        <v>3783</v>
      </c>
      <c r="J5826" s="635">
        <f t="shared" si="186"/>
        <v>0</v>
      </c>
    </row>
    <row r="5827" spans="6:10" hidden="1">
      <c r="F5827" s="308">
        <v>422</v>
      </c>
      <c r="G5827" s="340" t="s">
        <v>3784</v>
      </c>
      <c r="J5827" s="635">
        <f t="shared" si="186"/>
        <v>0</v>
      </c>
    </row>
    <row r="5828" spans="6:10" hidden="1">
      <c r="F5828" s="308">
        <v>423</v>
      </c>
      <c r="G5828" s="340" t="s">
        <v>3785</v>
      </c>
      <c r="J5828" s="635">
        <f t="shared" si="186"/>
        <v>0</v>
      </c>
    </row>
    <row r="5829" spans="6:10" hidden="1">
      <c r="F5829" s="308">
        <v>424</v>
      </c>
      <c r="G5829" s="340" t="s">
        <v>3787</v>
      </c>
      <c r="J5829" s="635">
        <f t="shared" si="186"/>
        <v>0</v>
      </c>
    </row>
    <row r="5830" spans="6:10" hidden="1">
      <c r="F5830" s="308">
        <v>425</v>
      </c>
      <c r="G5830" s="340" t="s">
        <v>4186</v>
      </c>
      <c r="J5830" s="635">
        <f t="shared" si="186"/>
        <v>0</v>
      </c>
    </row>
    <row r="5831" spans="6:10" hidden="1">
      <c r="F5831" s="308">
        <v>426</v>
      </c>
      <c r="G5831" s="340" t="s">
        <v>3791</v>
      </c>
      <c r="J5831" s="635">
        <f t="shared" si="186"/>
        <v>0</v>
      </c>
    </row>
    <row r="5832" spans="6:10" hidden="1">
      <c r="F5832" s="308">
        <v>431</v>
      </c>
      <c r="G5832" s="340" t="s">
        <v>4187</v>
      </c>
      <c r="J5832" s="635">
        <f t="shared" si="186"/>
        <v>0</v>
      </c>
    </row>
    <row r="5833" spans="6:10" hidden="1">
      <c r="F5833" s="308">
        <v>432</v>
      </c>
      <c r="G5833" s="340" t="s">
        <v>4188</v>
      </c>
      <c r="J5833" s="635">
        <f t="shared" si="186"/>
        <v>0</v>
      </c>
    </row>
    <row r="5834" spans="6:10" hidden="1">
      <c r="F5834" s="308">
        <v>433</v>
      </c>
      <c r="G5834" s="340" t="s">
        <v>4189</v>
      </c>
      <c r="J5834" s="635">
        <f t="shared" si="186"/>
        <v>0</v>
      </c>
    </row>
    <row r="5835" spans="6:10" hidden="1">
      <c r="F5835" s="308">
        <v>434</v>
      </c>
      <c r="G5835" s="340" t="s">
        <v>4190</v>
      </c>
      <c r="J5835" s="635">
        <f t="shared" si="186"/>
        <v>0</v>
      </c>
    </row>
    <row r="5836" spans="6:10" hidden="1">
      <c r="F5836" s="308">
        <v>435</v>
      </c>
      <c r="G5836" s="340" t="s">
        <v>3798</v>
      </c>
      <c r="J5836" s="635">
        <f t="shared" si="186"/>
        <v>0</v>
      </c>
    </row>
    <row r="5837" spans="6:10" hidden="1">
      <c r="F5837" s="308">
        <v>441</v>
      </c>
      <c r="G5837" s="340" t="s">
        <v>4191</v>
      </c>
      <c r="J5837" s="635">
        <f t="shared" si="186"/>
        <v>0</v>
      </c>
    </row>
    <row r="5838" spans="6:10" hidden="1">
      <c r="F5838" s="308">
        <v>442</v>
      </c>
      <c r="G5838" s="340" t="s">
        <v>4192</v>
      </c>
      <c r="J5838" s="635">
        <f t="shared" si="186"/>
        <v>0</v>
      </c>
    </row>
    <row r="5839" spans="6:10" hidden="1">
      <c r="F5839" s="308">
        <v>443</v>
      </c>
      <c r="G5839" s="340" t="s">
        <v>3803</v>
      </c>
      <c r="J5839" s="635">
        <f t="shared" si="186"/>
        <v>0</v>
      </c>
    </row>
    <row r="5840" spans="6:10" hidden="1">
      <c r="F5840" s="308">
        <v>444</v>
      </c>
      <c r="G5840" s="340" t="s">
        <v>3804</v>
      </c>
      <c r="J5840" s="635">
        <f t="shared" si="186"/>
        <v>0</v>
      </c>
    </row>
    <row r="5841" spans="6:10" ht="30" hidden="1">
      <c r="F5841" s="308">
        <v>4511</v>
      </c>
      <c r="G5841" s="268" t="s">
        <v>1690</v>
      </c>
      <c r="J5841" s="635">
        <f t="shared" si="186"/>
        <v>0</v>
      </c>
    </row>
    <row r="5842" spans="6:10" ht="30" hidden="1">
      <c r="F5842" s="308">
        <v>4512</v>
      </c>
      <c r="G5842" s="268" t="s">
        <v>1699</v>
      </c>
      <c r="J5842" s="635">
        <f t="shared" si="186"/>
        <v>0</v>
      </c>
    </row>
    <row r="5843" spans="6:10" hidden="1">
      <c r="F5843" s="308">
        <v>452</v>
      </c>
      <c r="G5843" s="340" t="s">
        <v>4193</v>
      </c>
      <c r="J5843" s="635">
        <f t="shared" si="186"/>
        <v>0</v>
      </c>
    </row>
    <row r="5844" spans="6:10" hidden="1">
      <c r="F5844" s="308">
        <v>453</v>
      </c>
      <c r="G5844" s="340" t="s">
        <v>4194</v>
      </c>
      <c r="J5844" s="635">
        <f t="shared" si="186"/>
        <v>0</v>
      </c>
    </row>
    <row r="5845" spans="6:10" hidden="1">
      <c r="F5845" s="308">
        <v>454</v>
      </c>
      <c r="G5845" s="340" t="s">
        <v>3809</v>
      </c>
      <c r="J5845" s="635">
        <f t="shared" si="186"/>
        <v>0</v>
      </c>
    </row>
    <row r="5846" spans="6:10" hidden="1">
      <c r="F5846" s="308">
        <v>461</v>
      </c>
      <c r="G5846" s="340" t="s">
        <v>4175</v>
      </c>
      <c r="J5846" s="635">
        <f t="shared" si="186"/>
        <v>0</v>
      </c>
    </row>
    <row r="5847" spans="6:10" hidden="1">
      <c r="F5847" s="308">
        <v>462</v>
      </c>
      <c r="G5847" s="340" t="s">
        <v>3812</v>
      </c>
      <c r="J5847" s="635">
        <f t="shared" si="186"/>
        <v>0</v>
      </c>
    </row>
    <row r="5848" spans="6:10" hidden="1">
      <c r="F5848" s="308">
        <v>4631</v>
      </c>
      <c r="G5848" s="340" t="s">
        <v>3813</v>
      </c>
      <c r="J5848" s="635">
        <f t="shared" si="186"/>
        <v>0</v>
      </c>
    </row>
    <row r="5849" spans="6:10" hidden="1">
      <c r="F5849" s="308">
        <v>4632</v>
      </c>
      <c r="G5849" s="340" t="s">
        <v>3814</v>
      </c>
      <c r="J5849" s="635">
        <f t="shared" si="186"/>
        <v>0</v>
      </c>
    </row>
    <row r="5850" spans="6:10" hidden="1">
      <c r="F5850" s="308">
        <v>464</v>
      </c>
      <c r="G5850" s="340" t="s">
        <v>3815</v>
      </c>
      <c r="J5850" s="635">
        <f t="shared" si="186"/>
        <v>0</v>
      </c>
    </row>
    <row r="5851" spans="6:10" hidden="1">
      <c r="F5851" s="308">
        <v>465</v>
      </c>
      <c r="G5851" s="340" t="s">
        <v>4176</v>
      </c>
      <c r="J5851" s="635">
        <f t="shared" si="186"/>
        <v>0</v>
      </c>
    </row>
    <row r="5852" spans="6:10" hidden="1">
      <c r="F5852" s="308">
        <v>472</v>
      </c>
      <c r="G5852" s="340" t="s">
        <v>3819</v>
      </c>
      <c r="J5852" s="635">
        <f t="shared" si="186"/>
        <v>0</v>
      </c>
    </row>
    <row r="5853" spans="6:10" hidden="1">
      <c r="F5853" s="308">
        <v>481</v>
      </c>
      <c r="G5853" s="340" t="s">
        <v>4195</v>
      </c>
      <c r="J5853" s="635">
        <f t="shared" si="186"/>
        <v>0</v>
      </c>
    </row>
    <row r="5854" spans="6:10" hidden="1">
      <c r="F5854" s="308">
        <v>482</v>
      </c>
      <c r="G5854" s="340" t="s">
        <v>4196</v>
      </c>
      <c r="J5854" s="635">
        <f t="shared" si="186"/>
        <v>0</v>
      </c>
    </row>
    <row r="5855" spans="6:10" hidden="1">
      <c r="F5855" s="308">
        <v>483</v>
      </c>
      <c r="G5855" s="343" t="s">
        <v>4197</v>
      </c>
      <c r="J5855" s="635">
        <f t="shared" si="186"/>
        <v>0</v>
      </c>
    </row>
    <row r="5856" spans="6:10" ht="30" hidden="1">
      <c r="F5856" s="308">
        <v>484</v>
      </c>
      <c r="G5856" s="340" t="s">
        <v>4198</v>
      </c>
      <c r="J5856" s="635">
        <f t="shared" si="186"/>
        <v>0</v>
      </c>
    </row>
    <row r="5857" spans="6:10" ht="30" hidden="1">
      <c r="F5857" s="308">
        <v>485</v>
      </c>
      <c r="G5857" s="340" t="s">
        <v>4199</v>
      </c>
      <c r="J5857" s="635">
        <f t="shared" si="186"/>
        <v>0</v>
      </c>
    </row>
    <row r="5858" spans="6:10" ht="30" hidden="1">
      <c r="F5858" s="308">
        <v>489</v>
      </c>
      <c r="G5858" s="340" t="s">
        <v>3827</v>
      </c>
      <c r="J5858" s="635">
        <f t="shared" si="186"/>
        <v>0</v>
      </c>
    </row>
    <row r="5859" spans="6:10" hidden="1">
      <c r="F5859" s="308">
        <v>494</v>
      </c>
      <c r="G5859" s="340" t="s">
        <v>4177</v>
      </c>
      <c r="J5859" s="635">
        <f t="shared" si="186"/>
        <v>0</v>
      </c>
    </row>
    <row r="5860" spans="6:10" ht="30" hidden="1">
      <c r="F5860" s="308">
        <v>495</v>
      </c>
      <c r="G5860" s="340" t="s">
        <v>4178</v>
      </c>
      <c r="J5860" s="635">
        <f t="shared" si="186"/>
        <v>0</v>
      </c>
    </row>
    <row r="5861" spans="6:10" ht="30" hidden="1">
      <c r="F5861" s="308">
        <v>496</v>
      </c>
      <c r="G5861" s="340" t="s">
        <v>4179</v>
      </c>
      <c r="J5861" s="635">
        <f t="shared" si="186"/>
        <v>0</v>
      </c>
    </row>
    <row r="5862" spans="6:10" hidden="1">
      <c r="F5862" s="308">
        <v>499</v>
      </c>
      <c r="G5862" s="340" t="s">
        <v>4180</v>
      </c>
      <c r="J5862" s="635">
        <f t="shared" si="186"/>
        <v>0</v>
      </c>
    </row>
    <row r="5863" spans="6:10" hidden="1">
      <c r="F5863" s="308">
        <v>511</v>
      </c>
      <c r="G5863" s="343" t="s">
        <v>4200</v>
      </c>
      <c r="J5863" s="635">
        <f t="shared" si="186"/>
        <v>0</v>
      </c>
    </row>
    <row r="5864" spans="6:10" hidden="1">
      <c r="F5864" s="308">
        <v>512</v>
      </c>
      <c r="G5864" s="343" t="s">
        <v>4201</v>
      </c>
      <c r="J5864" s="635">
        <f t="shared" si="186"/>
        <v>0</v>
      </c>
    </row>
    <row r="5865" spans="6:10" hidden="1">
      <c r="F5865" s="308">
        <v>513</v>
      </c>
      <c r="G5865" s="343" t="s">
        <v>4202</v>
      </c>
      <c r="J5865" s="635">
        <f t="shared" si="186"/>
        <v>0</v>
      </c>
    </row>
    <row r="5866" spans="6:10" ht="15.75" hidden="1" thickBot="1">
      <c r="F5866" s="308">
        <v>514</v>
      </c>
      <c r="G5866" s="340" t="s">
        <v>4203</v>
      </c>
      <c r="J5866" s="635">
        <f t="shared" si="186"/>
        <v>0</v>
      </c>
    </row>
    <row r="5867" spans="6:10" ht="15.75" hidden="1" thickBot="1">
      <c r="F5867" s="308">
        <v>515</v>
      </c>
      <c r="G5867" s="340" t="s">
        <v>3838</v>
      </c>
      <c r="J5867" s="635">
        <f t="shared" si="186"/>
        <v>0</v>
      </c>
    </row>
    <row r="5868" spans="6:10" ht="15.75" hidden="1" thickBot="1">
      <c r="F5868" s="308">
        <v>521</v>
      </c>
      <c r="G5868" s="340" t="s">
        <v>4204</v>
      </c>
      <c r="J5868" s="635">
        <f t="shared" si="186"/>
        <v>0</v>
      </c>
    </row>
    <row r="5869" spans="6:10" ht="15.75" hidden="1" thickBot="1">
      <c r="F5869" s="308">
        <v>522</v>
      </c>
      <c r="G5869" s="340" t="s">
        <v>4205</v>
      </c>
      <c r="J5869" s="635">
        <f t="shared" si="186"/>
        <v>0</v>
      </c>
    </row>
    <row r="5870" spans="6:10" ht="15.75" hidden="1" thickBot="1">
      <c r="F5870" s="308">
        <v>523</v>
      </c>
      <c r="G5870" s="340" t="s">
        <v>3843</v>
      </c>
      <c r="J5870" s="635">
        <f t="shared" si="186"/>
        <v>0</v>
      </c>
    </row>
    <row r="5871" spans="6:10" ht="15.75" hidden="1" thickBot="1">
      <c r="F5871" s="308">
        <v>531</v>
      </c>
      <c r="G5871" s="337" t="s">
        <v>4181</v>
      </c>
      <c r="J5871" s="635">
        <f t="shared" si="186"/>
        <v>0</v>
      </c>
    </row>
    <row r="5872" spans="6:10" ht="15.75" hidden="1" thickBot="1">
      <c r="F5872" s="308">
        <v>541</v>
      </c>
      <c r="G5872" s="340" t="s">
        <v>4206</v>
      </c>
      <c r="J5872" s="635">
        <f t="shared" si="186"/>
        <v>0</v>
      </c>
    </row>
    <row r="5873" spans="5:10" ht="15.75" hidden="1" thickBot="1">
      <c r="F5873" s="308">
        <v>542</v>
      </c>
      <c r="G5873" s="340" t="s">
        <v>4207</v>
      </c>
      <c r="J5873" s="635">
        <f t="shared" si="186"/>
        <v>0</v>
      </c>
    </row>
    <row r="5874" spans="5:10" ht="15.75" hidden="1" thickBot="1">
      <c r="F5874" s="308">
        <v>543</v>
      </c>
      <c r="G5874" s="340" t="s">
        <v>3848</v>
      </c>
      <c r="J5874" s="635">
        <f t="shared" si="186"/>
        <v>0</v>
      </c>
    </row>
    <row r="5875" spans="5:10" ht="30.75" hidden="1" thickBot="1">
      <c r="F5875" s="308">
        <v>551</v>
      </c>
      <c r="G5875" s="340" t="s">
        <v>4182</v>
      </c>
      <c r="J5875" s="635">
        <f t="shared" si="186"/>
        <v>0</v>
      </c>
    </row>
    <row r="5876" spans="5:10" ht="15.75" hidden="1" thickBot="1">
      <c r="F5876" s="309">
        <v>611</v>
      </c>
      <c r="G5876" s="344" t="s">
        <v>3854</v>
      </c>
      <c r="J5876" s="635">
        <f t="shared" si="186"/>
        <v>0</v>
      </c>
    </row>
    <row r="5877" spans="5:10" ht="15.75" hidden="1" thickBot="1">
      <c r="F5877" s="309">
        <v>620</v>
      </c>
      <c r="G5877" s="344" t="s">
        <v>88</v>
      </c>
      <c r="J5877" s="635">
        <f t="shared" si="186"/>
        <v>0</v>
      </c>
    </row>
    <row r="5878" spans="5:10" hidden="1">
      <c r="E5878" s="338"/>
      <c r="F5878" s="346"/>
      <c r="G5878" s="371" t="s">
        <v>4360</v>
      </c>
      <c r="H5878" s="636"/>
      <c r="I5878" s="662"/>
      <c r="J5878" s="637"/>
    </row>
    <row r="5879" spans="5:10" ht="15.75" hidden="1" thickBot="1">
      <c r="E5879" s="267"/>
      <c r="F5879" s="294" t="s">
        <v>234</v>
      </c>
      <c r="G5879" s="297" t="s">
        <v>235</v>
      </c>
      <c r="H5879" s="638">
        <f>SUM(H5818:H5877)</f>
        <v>0</v>
      </c>
      <c r="I5879" s="639"/>
      <c r="J5879" s="639">
        <f>SUM(H5879:I5879)</f>
        <v>0</v>
      </c>
    </row>
    <row r="5880" spans="5:10" ht="15.75" hidden="1" thickBot="1">
      <c r="F5880" s="294" t="s">
        <v>236</v>
      </c>
      <c r="G5880" s="297" t="s">
        <v>237</v>
      </c>
      <c r="J5880" s="639">
        <f t="shared" ref="J5880:J5894" si="187">SUM(H5880:I5880)</f>
        <v>0</v>
      </c>
    </row>
    <row r="5881" spans="5:10" ht="15.75" hidden="1" thickBot="1">
      <c r="F5881" s="294" t="s">
        <v>238</v>
      </c>
      <c r="G5881" s="297" t="s">
        <v>239</v>
      </c>
      <c r="J5881" s="639">
        <f t="shared" si="187"/>
        <v>0</v>
      </c>
    </row>
    <row r="5882" spans="5:10" ht="15.75" hidden="1" thickBot="1">
      <c r="F5882" s="294" t="s">
        <v>240</v>
      </c>
      <c r="G5882" s="297" t="s">
        <v>241</v>
      </c>
      <c r="J5882" s="639">
        <f t="shared" si="187"/>
        <v>0</v>
      </c>
    </row>
    <row r="5883" spans="5:10" ht="15.75" hidden="1" thickBot="1">
      <c r="F5883" s="294" t="s">
        <v>242</v>
      </c>
      <c r="G5883" s="297" t="s">
        <v>243</v>
      </c>
      <c r="J5883" s="639">
        <f t="shared" si="187"/>
        <v>0</v>
      </c>
    </row>
    <row r="5884" spans="5:10" ht="15.75" hidden="1" thickBot="1">
      <c r="F5884" s="294" t="s">
        <v>244</v>
      </c>
      <c r="G5884" s="297" t="s">
        <v>245</v>
      </c>
      <c r="J5884" s="639">
        <f t="shared" si="187"/>
        <v>0</v>
      </c>
    </row>
    <row r="5885" spans="5:10" ht="15.75" hidden="1" thickBot="1">
      <c r="F5885" s="294" t="s">
        <v>246</v>
      </c>
      <c r="G5885" s="683" t="s">
        <v>5121</v>
      </c>
      <c r="J5885" s="639">
        <f t="shared" si="187"/>
        <v>0</v>
      </c>
    </row>
    <row r="5886" spans="5:10" ht="15.75" hidden="1" thickBot="1">
      <c r="F5886" s="294" t="s">
        <v>247</v>
      </c>
      <c r="G5886" s="683" t="s">
        <v>5120</v>
      </c>
      <c r="J5886" s="639">
        <f t="shared" si="187"/>
        <v>0</v>
      </c>
    </row>
    <row r="5887" spans="5:10" ht="15.75" hidden="1" thickBot="1">
      <c r="F5887" s="294" t="s">
        <v>248</v>
      </c>
      <c r="G5887" s="297" t="s">
        <v>57</v>
      </c>
      <c r="J5887" s="639">
        <f t="shared" si="187"/>
        <v>0</v>
      </c>
    </row>
    <row r="5888" spans="5:10" ht="15.75" hidden="1" thickBot="1">
      <c r="F5888" s="294" t="s">
        <v>249</v>
      </c>
      <c r="G5888" s="297" t="s">
        <v>250</v>
      </c>
      <c r="J5888" s="639">
        <f t="shared" si="187"/>
        <v>0</v>
      </c>
    </row>
    <row r="5889" spans="5:10" ht="15.75" hidden="1" thickBot="1">
      <c r="F5889" s="294" t="s">
        <v>251</v>
      </c>
      <c r="G5889" s="297" t="s">
        <v>252</v>
      </c>
      <c r="J5889" s="639">
        <f t="shared" si="187"/>
        <v>0</v>
      </c>
    </row>
    <row r="5890" spans="5:10" ht="15.75" hidden="1" thickBot="1">
      <c r="F5890" s="294" t="s">
        <v>253</v>
      </c>
      <c r="G5890" s="297" t="s">
        <v>254</v>
      </c>
      <c r="J5890" s="639">
        <f t="shared" si="187"/>
        <v>0</v>
      </c>
    </row>
    <row r="5891" spans="5:10" ht="15.75" hidden="1" thickBot="1">
      <c r="F5891" s="294" t="s">
        <v>255</v>
      </c>
      <c r="G5891" s="297" t="s">
        <v>256</v>
      </c>
      <c r="J5891" s="639">
        <f t="shared" si="187"/>
        <v>0</v>
      </c>
    </row>
    <row r="5892" spans="5:10" ht="15.75" hidden="1" thickBot="1">
      <c r="F5892" s="294" t="s">
        <v>257</v>
      </c>
      <c r="G5892" s="297" t="s">
        <v>258</v>
      </c>
      <c r="J5892" s="639">
        <f t="shared" si="187"/>
        <v>0</v>
      </c>
    </row>
    <row r="5893" spans="5:10" ht="15.75" hidden="1" thickBot="1">
      <c r="F5893" s="294" t="s">
        <v>259</v>
      </c>
      <c r="G5893" s="297" t="s">
        <v>260</v>
      </c>
      <c r="J5893" s="639">
        <f t="shared" si="187"/>
        <v>0</v>
      </c>
    </row>
    <row r="5894" spans="5:10" ht="15.75" hidden="1" thickBot="1">
      <c r="F5894" s="294" t="s">
        <v>261</v>
      </c>
      <c r="G5894" s="297" t="s">
        <v>262</v>
      </c>
      <c r="H5894" s="638"/>
      <c r="I5894" s="639"/>
      <c r="J5894" s="639">
        <f t="shared" si="187"/>
        <v>0</v>
      </c>
    </row>
    <row r="5895" spans="5:10" ht="15.75" hidden="1" thickBot="1">
      <c r="G5895" s="274" t="s">
        <v>4361</v>
      </c>
      <c r="H5895" s="640">
        <f>SUM(H5879:H5894)</f>
        <v>0</v>
      </c>
      <c r="I5895" s="641">
        <f>SUM(I5880:I5894)</f>
        <v>0</v>
      </c>
      <c r="J5895" s="641">
        <f>SUM(J5879:J5894)</f>
        <v>0</v>
      </c>
    </row>
    <row r="5896" spans="5:10" hidden="1" collapsed="1">
      <c r="E5896" s="305"/>
      <c r="F5896" s="309"/>
      <c r="G5896" s="276" t="s">
        <v>5010</v>
      </c>
      <c r="H5896" s="642"/>
      <c r="I5896" s="663"/>
      <c r="J5896" s="643"/>
    </row>
    <row r="5897" spans="5:10" ht="15.75" hidden="1" thickBot="1">
      <c r="E5897" s="267"/>
      <c r="F5897" s="294" t="s">
        <v>234</v>
      </c>
      <c r="G5897" s="297" t="s">
        <v>235</v>
      </c>
      <c r="H5897" s="638">
        <f>SUM(H5818:H5877)</f>
        <v>0</v>
      </c>
      <c r="I5897" s="639"/>
      <c r="J5897" s="639">
        <f>SUM(H5897:I5897)</f>
        <v>0</v>
      </c>
    </row>
    <row r="5898" spans="5:10" ht="15.75" hidden="1" thickBot="1">
      <c r="F5898" s="294" t="s">
        <v>236</v>
      </c>
      <c r="G5898" s="297" t="s">
        <v>237</v>
      </c>
      <c r="J5898" s="639">
        <f t="shared" ref="J5898:J5912" si="188">SUM(H5898:I5898)</f>
        <v>0</v>
      </c>
    </row>
    <row r="5899" spans="5:10" ht="15.75" hidden="1" thickBot="1">
      <c r="F5899" s="294" t="s">
        <v>238</v>
      </c>
      <c r="G5899" s="297" t="s">
        <v>239</v>
      </c>
      <c r="J5899" s="639">
        <f t="shared" si="188"/>
        <v>0</v>
      </c>
    </row>
    <row r="5900" spans="5:10" ht="15.75" hidden="1" thickBot="1">
      <c r="F5900" s="294" t="s">
        <v>240</v>
      </c>
      <c r="G5900" s="297" t="s">
        <v>241</v>
      </c>
      <c r="J5900" s="639">
        <f t="shared" si="188"/>
        <v>0</v>
      </c>
    </row>
    <row r="5901" spans="5:10" ht="15.75" hidden="1" thickBot="1">
      <c r="F5901" s="294" t="s">
        <v>242</v>
      </c>
      <c r="G5901" s="297" t="s">
        <v>243</v>
      </c>
      <c r="J5901" s="639">
        <f t="shared" si="188"/>
        <v>0</v>
      </c>
    </row>
    <row r="5902" spans="5:10" ht="15.75" hidden="1" thickBot="1">
      <c r="F5902" s="294" t="s">
        <v>244</v>
      </c>
      <c r="G5902" s="297" t="s">
        <v>245</v>
      </c>
      <c r="J5902" s="639">
        <f t="shared" si="188"/>
        <v>0</v>
      </c>
    </row>
    <row r="5903" spans="5:10" ht="15.75" hidden="1" thickBot="1">
      <c r="F5903" s="294" t="s">
        <v>246</v>
      </c>
      <c r="G5903" s="683" t="s">
        <v>5121</v>
      </c>
      <c r="J5903" s="639">
        <f t="shared" si="188"/>
        <v>0</v>
      </c>
    </row>
    <row r="5904" spans="5:10" ht="15.75" hidden="1" thickBot="1">
      <c r="F5904" s="294" t="s">
        <v>247</v>
      </c>
      <c r="G5904" s="683" t="s">
        <v>5120</v>
      </c>
      <c r="J5904" s="639">
        <f t="shared" si="188"/>
        <v>0</v>
      </c>
    </row>
    <row r="5905" spans="1:25" ht="15.75" hidden="1" thickBot="1">
      <c r="F5905" s="294" t="s">
        <v>248</v>
      </c>
      <c r="G5905" s="297" t="s">
        <v>57</v>
      </c>
      <c r="J5905" s="639">
        <f t="shared" si="188"/>
        <v>0</v>
      </c>
    </row>
    <row r="5906" spans="1:25" ht="15.75" hidden="1" thickBot="1">
      <c r="F5906" s="294" t="s">
        <v>249</v>
      </c>
      <c r="G5906" s="297" t="s">
        <v>250</v>
      </c>
      <c r="J5906" s="639">
        <f t="shared" si="188"/>
        <v>0</v>
      </c>
    </row>
    <row r="5907" spans="1:25" ht="15.75" hidden="1" thickBot="1">
      <c r="F5907" s="294" t="s">
        <v>251</v>
      </c>
      <c r="G5907" s="297" t="s">
        <v>252</v>
      </c>
      <c r="J5907" s="639">
        <f t="shared" si="188"/>
        <v>0</v>
      </c>
    </row>
    <row r="5908" spans="1:25" ht="15.75" hidden="1" thickBot="1">
      <c r="F5908" s="294" t="s">
        <v>253</v>
      </c>
      <c r="G5908" s="297" t="s">
        <v>254</v>
      </c>
      <c r="J5908" s="639">
        <f t="shared" si="188"/>
        <v>0</v>
      </c>
    </row>
    <row r="5909" spans="1:25" ht="15.75" hidden="1" thickBot="1">
      <c r="F5909" s="294" t="s">
        <v>255</v>
      </c>
      <c r="G5909" s="297" t="s">
        <v>256</v>
      </c>
      <c r="J5909" s="639">
        <f t="shared" si="188"/>
        <v>0</v>
      </c>
    </row>
    <row r="5910" spans="1:25" ht="15.75" hidden="1" thickBot="1">
      <c r="F5910" s="294" t="s">
        <v>257</v>
      </c>
      <c r="G5910" s="297" t="s">
        <v>258</v>
      </c>
      <c r="J5910" s="639">
        <f t="shared" si="188"/>
        <v>0</v>
      </c>
    </row>
    <row r="5911" spans="1:25" ht="15.75" hidden="1" thickBot="1">
      <c r="F5911" s="294" t="s">
        <v>259</v>
      </c>
      <c r="G5911" s="297" t="s">
        <v>260</v>
      </c>
      <c r="J5911" s="639">
        <f t="shared" si="188"/>
        <v>0</v>
      </c>
    </row>
    <row r="5912" spans="1:25" ht="15.75" hidden="1" thickBot="1">
      <c r="F5912" s="294" t="s">
        <v>261</v>
      </c>
      <c r="G5912" s="297" t="s">
        <v>262</v>
      </c>
      <c r="H5912" s="638"/>
      <c r="I5912" s="639"/>
      <c r="J5912" s="639">
        <f t="shared" si="188"/>
        <v>0</v>
      </c>
    </row>
    <row r="5913" spans="1:25" ht="15.75" hidden="1" collapsed="1" thickBot="1">
      <c r="G5913" s="274" t="s">
        <v>5011</v>
      </c>
      <c r="H5913" s="640">
        <f>SUM(H5897:H5912)</f>
        <v>0</v>
      </c>
      <c r="I5913" s="641">
        <f>SUM(I5898:I5912)</f>
        <v>0</v>
      </c>
      <c r="J5913" s="641">
        <f>SUM(J5897:J5912)</f>
        <v>0</v>
      </c>
    </row>
    <row r="5914" spans="1:25" s="88" customFormat="1" hidden="1">
      <c r="A5914" s="306"/>
      <c r="B5914" s="301"/>
      <c r="C5914" s="361"/>
      <c r="D5914" s="296"/>
      <c r="E5914" s="296"/>
      <c r="F5914" s="302"/>
      <c r="G5914" s="339"/>
      <c r="H5914" s="667"/>
      <c r="I5914" s="650"/>
      <c r="J5914" s="668"/>
      <c r="K5914" s="575"/>
      <c r="L5914" s="575"/>
      <c r="M5914" s="575"/>
      <c r="N5914" s="575"/>
      <c r="O5914" s="575"/>
      <c r="P5914" s="575"/>
      <c r="Q5914" s="575"/>
      <c r="R5914" s="575"/>
      <c r="S5914" s="575"/>
      <c r="T5914" s="575"/>
      <c r="U5914" s="575"/>
      <c r="V5914" s="575"/>
      <c r="W5914" s="575"/>
      <c r="X5914" s="575"/>
      <c r="Y5914" s="575"/>
    </row>
    <row r="5915" spans="1:25" s="88" customFormat="1">
      <c r="A5915" s="306"/>
      <c r="B5915" s="301"/>
      <c r="C5915" s="361"/>
      <c r="D5915" s="296"/>
      <c r="E5915" s="296"/>
      <c r="F5915" s="309"/>
      <c r="G5915" s="295" t="s">
        <v>4241</v>
      </c>
      <c r="H5915" s="646"/>
      <c r="I5915" s="664"/>
      <c r="J5915" s="647"/>
      <c r="K5915" s="575"/>
      <c r="L5915" s="575"/>
      <c r="M5915" s="575"/>
      <c r="N5915" s="575"/>
      <c r="O5915" s="575"/>
      <c r="P5915" s="575"/>
      <c r="Q5915" s="575"/>
      <c r="R5915" s="575"/>
      <c r="S5915" s="575"/>
      <c r="T5915" s="575"/>
      <c r="U5915" s="575"/>
      <c r="V5915" s="575"/>
      <c r="W5915" s="575"/>
      <c r="X5915" s="575"/>
      <c r="Y5915" s="575"/>
    </row>
    <row r="5916" spans="1:25" s="88" customFormat="1" ht="15.75" thickBot="1">
      <c r="A5916" s="306"/>
      <c r="B5916" s="301"/>
      <c r="C5916" s="361"/>
      <c r="D5916" s="296"/>
      <c r="E5916" s="296"/>
      <c r="F5916" s="294" t="s">
        <v>234</v>
      </c>
      <c r="G5916" s="297" t="s">
        <v>235</v>
      </c>
      <c r="H5916" s="638">
        <f>SUM(H5897,H5798,H5699)</f>
        <v>25000000</v>
      </c>
      <c r="I5916" s="639"/>
      <c r="J5916" s="639">
        <f>SUM(H5916:I5916)</f>
        <v>25000000</v>
      </c>
      <c r="K5916" s="575"/>
      <c r="L5916" s="575"/>
      <c r="M5916" s="575"/>
      <c r="N5916" s="575"/>
      <c r="O5916" s="575"/>
      <c r="P5916" s="575"/>
      <c r="Q5916" s="575"/>
      <c r="R5916" s="575"/>
      <c r="S5916" s="575"/>
      <c r="T5916" s="575"/>
      <c r="U5916" s="575"/>
      <c r="V5916" s="575"/>
      <c r="W5916" s="575"/>
      <c r="X5916" s="575"/>
      <c r="Y5916" s="575"/>
    </row>
    <row r="5917" spans="1:25" s="88" customFormat="1" ht="15.75" hidden="1" thickBot="1">
      <c r="A5917" s="306"/>
      <c r="B5917" s="301"/>
      <c r="C5917" s="361"/>
      <c r="D5917" s="296"/>
      <c r="E5917" s="296"/>
      <c r="F5917" s="294" t="s">
        <v>236</v>
      </c>
      <c r="G5917" s="297" t="s">
        <v>237</v>
      </c>
      <c r="H5917" s="634"/>
      <c r="I5917" s="635"/>
      <c r="J5917" s="639">
        <f t="shared" ref="J5917:J5931" si="189">SUM(H5917:I5917)</f>
        <v>0</v>
      </c>
      <c r="K5917" s="575"/>
      <c r="L5917" s="575"/>
      <c r="M5917" s="575"/>
      <c r="N5917" s="575"/>
      <c r="O5917" s="575"/>
      <c r="P5917" s="575"/>
      <c r="Q5917" s="575"/>
      <c r="R5917" s="575"/>
      <c r="S5917" s="575"/>
      <c r="T5917" s="575"/>
      <c r="U5917" s="575"/>
      <c r="V5917" s="575"/>
      <c r="W5917" s="575"/>
      <c r="X5917" s="575"/>
      <c r="Y5917" s="575"/>
    </row>
    <row r="5918" spans="1:25" s="88" customFormat="1" ht="15.75" hidden="1" thickBot="1">
      <c r="A5918" s="306"/>
      <c r="B5918" s="301"/>
      <c r="C5918" s="361"/>
      <c r="D5918" s="296"/>
      <c r="E5918" s="296"/>
      <c r="F5918" s="294" t="s">
        <v>238</v>
      </c>
      <c r="G5918" s="297" t="s">
        <v>239</v>
      </c>
      <c r="H5918" s="634"/>
      <c r="I5918" s="635"/>
      <c r="J5918" s="639">
        <f t="shared" si="189"/>
        <v>0</v>
      </c>
      <c r="K5918" s="575"/>
      <c r="L5918" s="575"/>
      <c r="M5918" s="575"/>
      <c r="N5918" s="575"/>
      <c r="O5918" s="575"/>
      <c r="P5918" s="575"/>
      <c r="Q5918" s="575"/>
      <c r="R5918" s="575"/>
      <c r="S5918" s="575"/>
      <c r="T5918" s="575"/>
      <c r="U5918" s="575"/>
      <c r="V5918" s="575"/>
      <c r="W5918" s="575"/>
      <c r="X5918" s="575"/>
      <c r="Y5918" s="575"/>
    </row>
    <row r="5919" spans="1:25" s="88" customFormat="1" ht="15.75" hidden="1" thickBot="1">
      <c r="A5919" s="306"/>
      <c r="B5919" s="301"/>
      <c r="C5919" s="361"/>
      <c r="D5919" s="296"/>
      <c r="E5919" s="296"/>
      <c r="F5919" s="294" t="s">
        <v>240</v>
      </c>
      <c r="G5919" s="297" t="s">
        <v>241</v>
      </c>
      <c r="H5919" s="634"/>
      <c r="I5919" s="635"/>
      <c r="J5919" s="639">
        <f t="shared" si="189"/>
        <v>0</v>
      </c>
      <c r="K5919" s="575"/>
      <c r="L5919" s="575"/>
      <c r="M5919" s="575"/>
      <c r="N5919" s="575"/>
      <c r="O5919" s="575"/>
      <c r="P5919" s="575"/>
      <c r="Q5919" s="575"/>
      <c r="R5919" s="575"/>
      <c r="S5919" s="575"/>
      <c r="T5919" s="575"/>
      <c r="U5919" s="575"/>
      <c r="V5919" s="575"/>
      <c r="W5919" s="575"/>
      <c r="X5919" s="575"/>
      <c r="Y5919" s="575"/>
    </row>
    <row r="5920" spans="1:25" s="88" customFormat="1" ht="15.75" hidden="1" thickBot="1">
      <c r="A5920" s="306"/>
      <c r="B5920" s="301"/>
      <c r="C5920" s="361"/>
      <c r="D5920" s="296"/>
      <c r="E5920" s="296"/>
      <c r="F5920" s="294" t="s">
        <v>242</v>
      </c>
      <c r="G5920" s="297" t="s">
        <v>243</v>
      </c>
      <c r="H5920" s="634"/>
      <c r="I5920" s="635"/>
      <c r="J5920" s="639">
        <f t="shared" si="189"/>
        <v>0</v>
      </c>
      <c r="K5920" s="575"/>
      <c r="L5920" s="575"/>
      <c r="M5920" s="575"/>
      <c r="N5920" s="575"/>
      <c r="O5920" s="575"/>
      <c r="P5920" s="575"/>
      <c r="Q5920" s="575"/>
      <c r="R5920" s="575"/>
      <c r="S5920" s="575"/>
      <c r="T5920" s="575"/>
      <c r="U5920" s="575"/>
      <c r="V5920" s="575"/>
      <c r="W5920" s="575"/>
      <c r="X5920" s="575"/>
      <c r="Y5920" s="575"/>
    </row>
    <row r="5921" spans="1:25" s="88" customFormat="1" ht="15.75" hidden="1" thickBot="1">
      <c r="A5921" s="306"/>
      <c r="B5921" s="301"/>
      <c r="C5921" s="361"/>
      <c r="D5921" s="296"/>
      <c r="E5921" s="296"/>
      <c r="F5921" s="294" t="s">
        <v>244</v>
      </c>
      <c r="G5921" s="297" t="s">
        <v>245</v>
      </c>
      <c r="H5921" s="634"/>
      <c r="I5921" s="635"/>
      <c r="J5921" s="639">
        <f t="shared" si="189"/>
        <v>0</v>
      </c>
      <c r="K5921" s="575"/>
      <c r="L5921" s="575"/>
      <c r="M5921" s="575"/>
      <c r="N5921" s="575"/>
      <c r="O5921" s="575"/>
      <c r="P5921" s="575"/>
      <c r="Q5921" s="575"/>
      <c r="R5921" s="575"/>
      <c r="S5921" s="575"/>
      <c r="T5921" s="575"/>
      <c r="U5921" s="575"/>
      <c r="V5921" s="575"/>
      <c r="W5921" s="575"/>
      <c r="X5921" s="575"/>
      <c r="Y5921" s="575"/>
    </row>
    <row r="5922" spans="1:25" s="88" customFormat="1" ht="15.75" hidden="1" thickBot="1">
      <c r="A5922" s="306"/>
      <c r="B5922" s="301"/>
      <c r="C5922" s="361"/>
      <c r="D5922" s="296"/>
      <c r="E5922" s="296"/>
      <c r="F5922" s="294" t="s">
        <v>246</v>
      </c>
      <c r="G5922" s="683" t="s">
        <v>5121</v>
      </c>
      <c r="H5922" s="634"/>
      <c r="I5922" s="635"/>
      <c r="J5922" s="639">
        <f t="shared" si="189"/>
        <v>0</v>
      </c>
      <c r="K5922" s="575"/>
      <c r="L5922" s="575"/>
      <c r="M5922" s="575"/>
      <c r="N5922" s="575"/>
      <c r="O5922" s="575"/>
      <c r="P5922" s="575"/>
      <c r="Q5922" s="575"/>
      <c r="R5922" s="575"/>
      <c r="S5922" s="575"/>
      <c r="T5922" s="575"/>
      <c r="U5922" s="575"/>
      <c r="V5922" s="575"/>
      <c r="W5922" s="575"/>
      <c r="X5922" s="575"/>
      <c r="Y5922" s="575"/>
    </row>
    <row r="5923" spans="1:25" s="88" customFormat="1" ht="15.75" hidden="1" thickBot="1">
      <c r="A5923" s="306"/>
      <c r="B5923" s="301"/>
      <c r="C5923" s="361"/>
      <c r="D5923" s="296"/>
      <c r="E5923" s="296"/>
      <c r="F5923" s="294" t="s">
        <v>247</v>
      </c>
      <c r="G5923" s="683" t="s">
        <v>5120</v>
      </c>
      <c r="H5923" s="634"/>
      <c r="I5923" s="635"/>
      <c r="J5923" s="639">
        <f t="shared" si="189"/>
        <v>0</v>
      </c>
      <c r="K5923" s="575"/>
      <c r="L5923" s="575"/>
      <c r="M5923" s="575"/>
      <c r="N5923" s="575"/>
      <c r="O5923" s="575"/>
      <c r="P5923" s="575"/>
      <c r="Q5923" s="575"/>
      <c r="R5923" s="575"/>
      <c r="S5923" s="575"/>
      <c r="T5923" s="575"/>
      <c r="U5923" s="575"/>
      <c r="V5923" s="575"/>
      <c r="W5923" s="575"/>
      <c r="X5923" s="575"/>
      <c r="Y5923" s="575"/>
    </row>
    <row r="5924" spans="1:25" s="88" customFormat="1" ht="15.75" hidden="1" thickBot="1">
      <c r="A5924" s="306"/>
      <c r="B5924" s="301"/>
      <c r="C5924" s="361"/>
      <c r="D5924" s="296"/>
      <c r="E5924" s="296"/>
      <c r="F5924" s="294" t="s">
        <v>248</v>
      </c>
      <c r="G5924" s="297" t="s">
        <v>57</v>
      </c>
      <c r="H5924" s="634"/>
      <c r="I5924" s="635"/>
      <c r="J5924" s="639">
        <f t="shared" si="189"/>
        <v>0</v>
      </c>
      <c r="K5924" s="575"/>
      <c r="L5924" s="575"/>
      <c r="M5924" s="575"/>
      <c r="N5924" s="575"/>
      <c r="O5924" s="575"/>
      <c r="P5924" s="575"/>
      <c r="Q5924" s="575"/>
      <c r="R5924" s="575"/>
      <c r="S5924" s="575"/>
      <c r="T5924" s="575"/>
      <c r="U5924" s="575"/>
      <c r="V5924" s="575"/>
      <c r="W5924" s="575"/>
      <c r="X5924" s="575"/>
      <c r="Y5924" s="575"/>
    </row>
    <row r="5925" spans="1:25" s="88" customFormat="1" ht="15.75" hidden="1" thickBot="1">
      <c r="A5925" s="306"/>
      <c r="B5925" s="301"/>
      <c r="C5925" s="361"/>
      <c r="D5925" s="296"/>
      <c r="E5925" s="296"/>
      <c r="F5925" s="294" t="s">
        <v>249</v>
      </c>
      <c r="G5925" s="297" t="s">
        <v>250</v>
      </c>
      <c r="H5925" s="634"/>
      <c r="I5925" s="635"/>
      <c r="J5925" s="639">
        <f t="shared" si="189"/>
        <v>0</v>
      </c>
      <c r="K5925" s="575"/>
      <c r="L5925" s="575"/>
      <c r="M5925" s="575"/>
      <c r="N5925" s="575"/>
      <c r="O5925" s="575"/>
      <c r="P5925" s="575"/>
      <c r="Q5925" s="575"/>
      <c r="R5925" s="575"/>
      <c r="S5925" s="575"/>
      <c r="T5925" s="575"/>
      <c r="U5925" s="575"/>
      <c r="V5925" s="575"/>
      <c r="W5925" s="575"/>
      <c r="X5925" s="575"/>
      <c r="Y5925" s="575"/>
    </row>
    <row r="5926" spans="1:25" s="88" customFormat="1" ht="15.75" hidden="1" thickBot="1">
      <c r="A5926" s="306"/>
      <c r="B5926" s="301"/>
      <c r="C5926" s="361"/>
      <c r="D5926" s="296"/>
      <c r="E5926" s="296"/>
      <c r="F5926" s="294" t="s">
        <v>251</v>
      </c>
      <c r="G5926" s="297" t="s">
        <v>252</v>
      </c>
      <c r="H5926" s="634"/>
      <c r="I5926" s="635"/>
      <c r="J5926" s="639">
        <f t="shared" si="189"/>
        <v>0</v>
      </c>
      <c r="K5926" s="575"/>
      <c r="L5926" s="575"/>
      <c r="M5926" s="575"/>
      <c r="N5926" s="575"/>
      <c r="O5926" s="575"/>
      <c r="P5926" s="575"/>
      <c r="Q5926" s="575"/>
      <c r="R5926" s="575"/>
      <c r="S5926" s="575"/>
      <c r="T5926" s="575"/>
      <c r="U5926" s="575"/>
      <c r="V5926" s="575"/>
      <c r="W5926" s="575"/>
      <c r="X5926" s="575"/>
      <c r="Y5926" s="575"/>
    </row>
    <row r="5927" spans="1:25" s="88" customFormat="1" ht="15.75" hidden="1" thickBot="1">
      <c r="A5927" s="306"/>
      <c r="B5927" s="301"/>
      <c r="C5927" s="361"/>
      <c r="D5927" s="296"/>
      <c r="E5927" s="296"/>
      <c r="F5927" s="294" t="s">
        <v>253</v>
      </c>
      <c r="G5927" s="297" t="s">
        <v>254</v>
      </c>
      <c r="H5927" s="634"/>
      <c r="I5927" s="635"/>
      <c r="J5927" s="639">
        <f t="shared" si="189"/>
        <v>0</v>
      </c>
      <c r="K5927" s="575"/>
      <c r="L5927" s="575"/>
      <c r="M5927" s="575"/>
      <c r="N5927" s="575"/>
      <c r="O5927" s="575"/>
      <c r="P5927" s="575"/>
      <c r="Q5927" s="575"/>
      <c r="R5927" s="575"/>
      <c r="S5927" s="575"/>
      <c r="T5927" s="575"/>
      <c r="U5927" s="575"/>
      <c r="V5927" s="575"/>
      <c r="W5927" s="575"/>
      <c r="X5927" s="575"/>
      <c r="Y5927" s="575"/>
    </row>
    <row r="5928" spans="1:25" s="88" customFormat="1" ht="15.75" hidden="1" thickBot="1">
      <c r="A5928" s="306"/>
      <c r="B5928" s="301"/>
      <c r="C5928" s="361"/>
      <c r="D5928" s="296"/>
      <c r="E5928" s="296"/>
      <c r="F5928" s="294" t="s">
        <v>255</v>
      </c>
      <c r="G5928" s="297" t="s">
        <v>256</v>
      </c>
      <c r="H5928" s="634"/>
      <c r="I5928" s="635"/>
      <c r="J5928" s="639">
        <f t="shared" si="189"/>
        <v>0</v>
      </c>
      <c r="K5928" s="575"/>
      <c r="L5928" s="575"/>
      <c r="M5928" s="575"/>
      <c r="N5928" s="575"/>
      <c r="O5928" s="575"/>
      <c r="P5928" s="575"/>
      <c r="Q5928" s="575"/>
      <c r="R5928" s="575"/>
      <c r="S5928" s="575"/>
      <c r="T5928" s="575"/>
      <c r="U5928" s="575"/>
      <c r="V5928" s="575"/>
      <c r="W5928" s="575"/>
      <c r="X5928" s="575"/>
      <c r="Y5928" s="575"/>
    </row>
    <row r="5929" spans="1:25" s="88" customFormat="1" ht="15.75" hidden="1" thickBot="1">
      <c r="A5929" s="306"/>
      <c r="B5929" s="301"/>
      <c r="C5929" s="361"/>
      <c r="D5929" s="296"/>
      <c r="E5929" s="296"/>
      <c r="F5929" s="294" t="s">
        <v>257</v>
      </c>
      <c r="G5929" s="297" t="s">
        <v>258</v>
      </c>
      <c r="H5929" s="634"/>
      <c r="I5929" s="635"/>
      <c r="J5929" s="639">
        <f t="shared" si="189"/>
        <v>0</v>
      </c>
      <c r="K5929" s="575"/>
      <c r="L5929" s="575"/>
      <c r="M5929" s="575"/>
      <c r="N5929" s="575"/>
      <c r="O5929" s="575"/>
      <c r="P5929" s="575"/>
      <c r="Q5929" s="575"/>
      <c r="R5929" s="575"/>
      <c r="S5929" s="575"/>
      <c r="T5929" s="575"/>
      <c r="U5929" s="575"/>
      <c r="V5929" s="575"/>
      <c r="W5929" s="575"/>
      <c r="X5929" s="575"/>
      <c r="Y5929" s="575"/>
    </row>
    <row r="5930" spans="1:25" s="88" customFormat="1" ht="15.75" hidden="1" thickBot="1">
      <c r="A5930" s="306"/>
      <c r="B5930" s="301"/>
      <c r="C5930" s="361"/>
      <c r="D5930" s="296"/>
      <c r="E5930" s="296"/>
      <c r="F5930" s="294" t="s">
        <v>259</v>
      </c>
      <c r="G5930" s="297" t="s">
        <v>260</v>
      </c>
      <c r="H5930" s="634"/>
      <c r="I5930" s="635"/>
      <c r="J5930" s="639">
        <f t="shared" si="189"/>
        <v>0</v>
      </c>
      <c r="K5930" s="575"/>
      <c r="L5930" s="575"/>
      <c r="M5930" s="575"/>
      <c r="N5930" s="575"/>
      <c r="O5930" s="575"/>
      <c r="P5930" s="575"/>
      <c r="Q5930" s="575"/>
      <c r="R5930" s="575"/>
      <c r="S5930" s="575"/>
      <c r="T5930" s="575"/>
      <c r="U5930" s="575"/>
      <c r="V5930" s="575"/>
      <c r="W5930" s="575"/>
      <c r="X5930" s="575"/>
      <c r="Y5930" s="575"/>
    </row>
    <row r="5931" spans="1:25" s="88" customFormat="1" ht="15.75" hidden="1" thickBot="1">
      <c r="A5931" s="306"/>
      <c r="B5931" s="301"/>
      <c r="C5931" s="361"/>
      <c r="D5931" s="296"/>
      <c r="E5931" s="296"/>
      <c r="F5931" s="294" t="s">
        <v>261</v>
      </c>
      <c r="G5931" s="297" t="s">
        <v>262</v>
      </c>
      <c r="H5931" s="638"/>
      <c r="I5931" s="639"/>
      <c r="J5931" s="639">
        <f t="shared" si="189"/>
        <v>0</v>
      </c>
      <c r="K5931" s="575"/>
      <c r="L5931" s="575"/>
      <c r="M5931" s="575"/>
      <c r="N5931" s="575"/>
      <c r="O5931" s="575"/>
      <c r="P5931" s="575"/>
      <c r="Q5931" s="575"/>
      <c r="R5931" s="575"/>
      <c r="S5931" s="575"/>
      <c r="T5931" s="575"/>
      <c r="U5931" s="575"/>
      <c r="V5931" s="575"/>
      <c r="W5931" s="575"/>
      <c r="X5931" s="575"/>
      <c r="Y5931" s="575"/>
    </row>
    <row r="5932" spans="1:25" s="88" customFormat="1" ht="15.75" thickBot="1">
      <c r="A5932" s="306"/>
      <c r="B5932" s="301"/>
      <c r="C5932" s="361"/>
      <c r="D5932" s="296"/>
      <c r="E5932" s="296"/>
      <c r="F5932" s="263"/>
      <c r="G5932" s="274" t="s">
        <v>4242</v>
      </c>
      <c r="H5932" s="640">
        <f>SUM(H5916:H5931)</f>
        <v>25000000</v>
      </c>
      <c r="I5932" s="641">
        <f>SUM(I5917:I5931)</f>
        <v>0</v>
      </c>
      <c r="J5932" s="641">
        <f>SUM(J5916:J5931)</f>
        <v>25000000</v>
      </c>
      <c r="K5932" s="575"/>
      <c r="L5932" s="575"/>
      <c r="M5932" s="575"/>
      <c r="N5932" s="575"/>
      <c r="O5932" s="575"/>
      <c r="P5932" s="575"/>
      <c r="Q5932" s="575"/>
      <c r="R5932" s="575"/>
      <c r="S5932" s="575"/>
      <c r="T5932" s="575"/>
      <c r="U5932" s="575"/>
      <c r="V5932" s="575"/>
      <c r="W5932" s="575"/>
      <c r="X5932" s="575"/>
      <c r="Y5932" s="575"/>
    </row>
    <row r="5933" spans="1:25" s="88" customFormat="1" ht="0.75" customHeight="1">
      <c r="A5933" s="551"/>
      <c r="B5933" s="301"/>
      <c r="C5933" s="361"/>
      <c r="D5933" s="296"/>
      <c r="E5933" s="296"/>
      <c r="F5933" s="263"/>
      <c r="G5933" s="331"/>
      <c r="H5933" s="644"/>
      <c r="I5933" s="645"/>
      <c r="J5933" s="645"/>
      <c r="K5933" s="575"/>
      <c r="L5933" s="575"/>
      <c r="M5933" s="575"/>
      <c r="N5933" s="575"/>
      <c r="O5933" s="575"/>
      <c r="P5933" s="575"/>
      <c r="Q5933" s="575"/>
      <c r="R5933" s="575"/>
      <c r="S5933" s="575"/>
      <c r="T5933" s="575"/>
      <c r="U5933" s="575"/>
      <c r="V5933" s="575"/>
      <c r="W5933" s="575"/>
      <c r="X5933" s="575"/>
      <c r="Y5933" s="575"/>
    </row>
    <row r="5934" spans="1:25" s="88" customFormat="1">
      <c r="A5934" s="551"/>
      <c r="B5934" s="301"/>
      <c r="C5934" s="361"/>
      <c r="D5934" s="296"/>
      <c r="E5934" s="296"/>
      <c r="F5934" s="570"/>
      <c r="G5934" s="295" t="s">
        <v>5207</v>
      </c>
      <c r="H5934" s="646"/>
      <c r="I5934" s="664"/>
      <c r="J5934" s="647"/>
      <c r="K5934" s="575"/>
      <c r="L5934" s="575"/>
      <c r="M5934" s="575"/>
      <c r="N5934" s="575"/>
      <c r="O5934" s="575"/>
      <c r="P5934" s="575"/>
      <c r="Q5934" s="575"/>
      <c r="R5934" s="575"/>
      <c r="S5934" s="575"/>
      <c r="T5934" s="575"/>
      <c r="U5934" s="575"/>
      <c r="V5934" s="575"/>
      <c r="W5934" s="575"/>
      <c r="X5934" s="575"/>
      <c r="Y5934" s="575"/>
    </row>
    <row r="5935" spans="1:25" s="88" customFormat="1" ht="15.75" thickBot="1">
      <c r="A5935" s="551"/>
      <c r="B5935" s="301"/>
      <c r="C5935" s="361"/>
      <c r="D5935" s="296"/>
      <c r="E5935" s="296"/>
      <c r="F5935" s="294" t="s">
        <v>234</v>
      </c>
      <c r="G5935" s="297" t="s">
        <v>235</v>
      </c>
      <c r="H5935" s="638">
        <f>SUM(H5916)</f>
        <v>25000000</v>
      </c>
      <c r="I5935" s="639"/>
      <c r="J5935" s="639">
        <f>SUM(H5935:I5935)</f>
        <v>25000000</v>
      </c>
      <c r="K5935" s="575"/>
      <c r="L5935" s="575"/>
      <c r="M5935" s="575"/>
      <c r="N5935" s="575"/>
      <c r="O5935" s="575"/>
      <c r="P5935" s="575"/>
      <c r="Q5935" s="575"/>
      <c r="R5935" s="575"/>
      <c r="S5935" s="575"/>
      <c r="T5935" s="575"/>
      <c r="U5935" s="575"/>
      <c r="V5935" s="575"/>
      <c r="W5935" s="575"/>
      <c r="X5935" s="575"/>
      <c r="Y5935" s="575"/>
    </row>
    <row r="5936" spans="1:25" s="88" customFormat="1" ht="15.75" hidden="1" thickBot="1">
      <c r="A5936" s="551"/>
      <c r="B5936" s="301"/>
      <c r="C5936" s="361"/>
      <c r="D5936" s="296"/>
      <c r="E5936" s="296"/>
      <c r="F5936" s="294" t="s">
        <v>236</v>
      </c>
      <c r="G5936" s="297" t="s">
        <v>237</v>
      </c>
      <c r="H5936" s="634"/>
      <c r="I5936" s="635"/>
      <c r="J5936" s="639">
        <f t="shared" ref="J5936:J5950" si="190">SUM(H5936:I5936)</f>
        <v>0</v>
      </c>
      <c r="K5936" s="575"/>
      <c r="L5936" s="575"/>
      <c r="M5936" s="575"/>
      <c r="N5936" s="575"/>
      <c r="O5936" s="575"/>
      <c r="P5936" s="575"/>
      <c r="Q5936" s="575"/>
      <c r="R5936" s="575"/>
      <c r="S5936" s="575"/>
      <c r="T5936" s="575"/>
      <c r="U5936" s="575"/>
      <c r="V5936" s="575"/>
      <c r="W5936" s="575"/>
      <c r="X5936" s="575"/>
      <c r="Y5936" s="575"/>
    </row>
    <row r="5937" spans="1:25" s="88" customFormat="1" ht="15.75" hidden="1" thickBot="1">
      <c r="A5937" s="551"/>
      <c r="B5937" s="301"/>
      <c r="C5937" s="361"/>
      <c r="D5937" s="296"/>
      <c r="E5937" s="296"/>
      <c r="F5937" s="294" t="s">
        <v>238</v>
      </c>
      <c r="G5937" s="297" t="s">
        <v>239</v>
      </c>
      <c r="H5937" s="634"/>
      <c r="I5937" s="635"/>
      <c r="J5937" s="639">
        <f t="shared" si="190"/>
        <v>0</v>
      </c>
      <c r="K5937" s="575"/>
      <c r="L5937" s="575"/>
      <c r="M5937" s="575"/>
      <c r="N5937" s="575"/>
      <c r="O5937" s="575"/>
      <c r="P5937" s="575"/>
      <c r="Q5937" s="575"/>
      <c r="R5937" s="575"/>
      <c r="S5937" s="575"/>
      <c r="T5937" s="575"/>
      <c r="U5937" s="575"/>
      <c r="V5937" s="575"/>
      <c r="W5937" s="575"/>
      <c r="X5937" s="575"/>
      <c r="Y5937" s="575"/>
    </row>
    <row r="5938" spans="1:25" s="88" customFormat="1" ht="15.75" hidden="1" thickBot="1">
      <c r="A5938" s="551"/>
      <c r="B5938" s="301"/>
      <c r="C5938" s="361"/>
      <c r="D5938" s="296"/>
      <c r="E5938" s="296"/>
      <c r="F5938" s="294" t="s">
        <v>240</v>
      </c>
      <c r="G5938" s="297" t="s">
        <v>241</v>
      </c>
      <c r="H5938" s="634"/>
      <c r="I5938" s="635"/>
      <c r="J5938" s="639">
        <f t="shared" si="190"/>
        <v>0</v>
      </c>
      <c r="K5938" s="575"/>
      <c r="L5938" s="575"/>
      <c r="M5938" s="575"/>
      <c r="N5938" s="575"/>
      <c r="O5938" s="575"/>
      <c r="P5938" s="575"/>
      <c r="Q5938" s="575"/>
      <c r="R5938" s="575"/>
      <c r="S5938" s="575"/>
      <c r="T5938" s="575"/>
      <c r="U5938" s="575"/>
      <c r="V5938" s="575"/>
      <c r="W5938" s="575"/>
      <c r="X5938" s="575"/>
      <c r="Y5938" s="575"/>
    </row>
    <row r="5939" spans="1:25" s="88" customFormat="1" ht="15.75" hidden="1" thickBot="1">
      <c r="A5939" s="551"/>
      <c r="B5939" s="301"/>
      <c r="C5939" s="361"/>
      <c r="D5939" s="296"/>
      <c r="E5939" s="296"/>
      <c r="F5939" s="294" t="s">
        <v>242</v>
      </c>
      <c r="G5939" s="297" t="s">
        <v>243</v>
      </c>
      <c r="H5939" s="634"/>
      <c r="I5939" s="635"/>
      <c r="J5939" s="639">
        <f t="shared" si="190"/>
        <v>0</v>
      </c>
      <c r="K5939" s="575"/>
      <c r="L5939" s="575"/>
      <c r="M5939" s="575"/>
      <c r="N5939" s="575"/>
      <c r="O5939" s="575"/>
      <c r="P5939" s="575"/>
      <c r="Q5939" s="575"/>
      <c r="R5939" s="575"/>
      <c r="S5939" s="575"/>
      <c r="T5939" s="575"/>
      <c r="U5939" s="575"/>
      <c r="V5939" s="575"/>
      <c r="W5939" s="575"/>
      <c r="X5939" s="575"/>
      <c r="Y5939" s="575"/>
    </row>
    <row r="5940" spans="1:25" s="88" customFormat="1" ht="15.75" hidden="1" thickBot="1">
      <c r="A5940" s="551"/>
      <c r="B5940" s="301"/>
      <c r="C5940" s="361"/>
      <c r="D5940" s="296"/>
      <c r="E5940" s="296"/>
      <c r="F5940" s="294" t="s">
        <v>244</v>
      </c>
      <c r="G5940" s="297" t="s">
        <v>245</v>
      </c>
      <c r="H5940" s="634"/>
      <c r="I5940" s="635"/>
      <c r="J5940" s="639">
        <f t="shared" si="190"/>
        <v>0</v>
      </c>
      <c r="K5940" s="575"/>
      <c r="L5940" s="575"/>
      <c r="M5940" s="575"/>
      <c r="N5940" s="575"/>
      <c r="O5940" s="575"/>
      <c r="P5940" s="575"/>
      <c r="Q5940" s="575"/>
      <c r="R5940" s="575"/>
      <c r="S5940" s="575"/>
      <c r="T5940" s="575"/>
      <c r="U5940" s="575"/>
      <c r="V5940" s="575"/>
      <c r="W5940" s="575"/>
      <c r="X5940" s="575"/>
      <c r="Y5940" s="575"/>
    </row>
    <row r="5941" spans="1:25" s="88" customFormat="1" ht="15.75" hidden="1" thickBot="1">
      <c r="A5941" s="551"/>
      <c r="B5941" s="301"/>
      <c r="C5941" s="361"/>
      <c r="D5941" s="296"/>
      <c r="E5941" s="296"/>
      <c r="F5941" s="294" t="s">
        <v>246</v>
      </c>
      <c r="G5941" s="683" t="s">
        <v>5121</v>
      </c>
      <c r="H5941" s="634"/>
      <c r="I5941" s="635"/>
      <c r="J5941" s="639">
        <f t="shared" si="190"/>
        <v>0</v>
      </c>
      <c r="K5941" s="575"/>
      <c r="L5941" s="575"/>
      <c r="M5941" s="575"/>
      <c r="N5941" s="575"/>
      <c r="O5941" s="575"/>
      <c r="P5941" s="575"/>
      <c r="Q5941" s="575"/>
      <c r="R5941" s="575"/>
      <c r="S5941" s="575"/>
      <c r="T5941" s="575"/>
      <c r="U5941" s="575"/>
      <c r="V5941" s="575"/>
      <c r="W5941" s="575"/>
      <c r="X5941" s="575"/>
      <c r="Y5941" s="575"/>
    </row>
    <row r="5942" spans="1:25" s="88" customFormat="1" ht="15.75" hidden="1" thickBot="1">
      <c r="A5942" s="551"/>
      <c r="B5942" s="301"/>
      <c r="C5942" s="361"/>
      <c r="D5942" s="296"/>
      <c r="E5942" s="296"/>
      <c r="F5942" s="294" t="s">
        <v>247</v>
      </c>
      <c r="G5942" s="683" t="s">
        <v>5120</v>
      </c>
      <c r="H5942" s="634"/>
      <c r="I5942" s="635"/>
      <c r="J5942" s="639">
        <f t="shared" si="190"/>
        <v>0</v>
      </c>
      <c r="K5942" s="575"/>
      <c r="L5942" s="575"/>
      <c r="M5942" s="575"/>
      <c r="N5942" s="575"/>
      <c r="O5942" s="575"/>
      <c r="P5942" s="575"/>
      <c r="Q5942" s="575"/>
      <c r="R5942" s="575"/>
      <c r="S5942" s="575"/>
      <c r="T5942" s="575"/>
      <c r="U5942" s="575"/>
      <c r="V5942" s="575"/>
      <c r="W5942" s="575"/>
      <c r="X5942" s="575"/>
      <c r="Y5942" s="575"/>
    </row>
    <row r="5943" spans="1:25" s="88" customFormat="1" ht="15.75" hidden="1" thickBot="1">
      <c r="A5943" s="551"/>
      <c r="B5943" s="301"/>
      <c r="C5943" s="361"/>
      <c r="D5943" s="296"/>
      <c r="E5943" s="296"/>
      <c r="F5943" s="294" t="s">
        <v>248</v>
      </c>
      <c r="G5943" s="297" t="s">
        <v>57</v>
      </c>
      <c r="H5943" s="634"/>
      <c r="I5943" s="635"/>
      <c r="J5943" s="639">
        <f t="shared" si="190"/>
        <v>0</v>
      </c>
      <c r="K5943" s="575"/>
      <c r="L5943" s="575"/>
      <c r="M5943" s="575"/>
      <c r="N5943" s="575"/>
      <c r="O5943" s="575"/>
      <c r="P5943" s="575"/>
      <c r="Q5943" s="575"/>
      <c r="R5943" s="575"/>
      <c r="S5943" s="575"/>
      <c r="T5943" s="575"/>
      <c r="U5943" s="575"/>
      <c r="V5943" s="575"/>
      <c r="W5943" s="575"/>
      <c r="X5943" s="575"/>
      <c r="Y5943" s="575"/>
    </row>
    <row r="5944" spans="1:25" s="88" customFormat="1" ht="15.75" hidden="1" thickBot="1">
      <c r="A5944" s="551"/>
      <c r="B5944" s="301"/>
      <c r="C5944" s="361"/>
      <c r="D5944" s="296"/>
      <c r="E5944" s="296"/>
      <c r="F5944" s="294" t="s">
        <v>249</v>
      </c>
      <c r="G5944" s="297" t="s">
        <v>250</v>
      </c>
      <c r="H5944" s="634"/>
      <c r="I5944" s="635"/>
      <c r="J5944" s="639">
        <f t="shared" si="190"/>
        <v>0</v>
      </c>
      <c r="K5944" s="575"/>
      <c r="L5944" s="575"/>
      <c r="M5944" s="575"/>
      <c r="N5944" s="575"/>
      <c r="O5944" s="575"/>
      <c r="P5944" s="575"/>
      <c r="Q5944" s="575"/>
      <c r="R5944" s="575"/>
      <c r="S5944" s="575"/>
      <c r="T5944" s="575"/>
      <c r="U5944" s="575"/>
      <c r="V5944" s="575"/>
      <c r="W5944" s="575"/>
      <c r="X5944" s="575"/>
      <c r="Y5944" s="575"/>
    </row>
    <row r="5945" spans="1:25" s="88" customFormat="1" ht="15.75" hidden="1" thickBot="1">
      <c r="A5945" s="551"/>
      <c r="B5945" s="301"/>
      <c r="C5945" s="361"/>
      <c r="D5945" s="296"/>
      <c r="E5945" s="296"/>
      <c r="F5945" s="294" t="s">
        <v>251</v>
      </c>
      <c r="G5945" s="297" t="s">
        <v>252</v>
      </c>
      <c r="H5945" s="634"/>
      <c r="I5945" s="635"/>
      <c r="J5945" s="639">
        <f t="shared" si="190"/>
        <v>0</v>
      </c>
      <c r="K5945" s="575"/>
      <c r="L5945" s="575"/>
      <c r="M5945" s="575"/>
      <c r="N5945" s="575"/>
      <c r="O5945" s="575"/>
      <c r="P5945" s="575"/>
      <c r="Q5945" s="575"/>
      <c r="R5945" s="575"/>
      <c r="S5945" s="575"/>
      <c r="T5945" s="575"/>
      <c r="U5945" s="575"/>
      <c r="V5945" s="575"/>
      <c r="W5945" s="575"/>
      <c r="X5945" s="575"/>
      <c r="Y5945" s="575"/>
    </row>
    <row r="5946" spans="1:25" s="88" customFormat="1" ht="15.75" hidden="1" thickBot="1">
      <c r="A5946" s="551"/>
      <c r="B5946" s="301"/>
      <c r="C5946" s="361"/>
      <c r="D5946" s="296"/>
      <c r="E5946" s="296"/>
      <c r="F5946" s="294" t="s">
        <v>253</v>
      </c>
      <c r="G5946" s="297" t="s">
        <v>254</v>
      </c>
      <c r="H5946" s="634"/>
      <c r="I5946" s="635"/>
      <c r="J5946" s="639">
        <f t="shared" si="190"/>
        <v>0</v>
      </c>
      <c r="K5946" s="575"/>
      <c r="L5946" s="575"/>
      <c r="M5946" s="575"/>
      <c r="N5946" s="575"/>
      <c r="O5946" s="575"/>
      <c r="P5946" s="575"/>
      <c r="Q5946" s="575"/>
      <c r="R5946" s="575"/>
      <c r="S5946" s="575"/>
      <c r="T5946" s="575"/>
      <c r="U5946" s="575"/>
      <c r="V5946" s="575"/>
      <c r="W5946" s="575"/>
      <c r="X5946" s="575"/>
      <c r="Y5946" s="575"/>
    </row>
    <row r="5947" spans="1:25" s="88" customFormat="1" ht="15.75" hidden="1" thickBot="1">
      <c r="A5947" s="551"/>
      <c r="B5947" s="301"/>
      <c r="C5947" s="361"/>
      <c r="D5947" s="296"/>
      <c r="E5947" s="296"/>
      <c r="F5947" s="294" t="s">
        <v>255</v>
      </c>
      <c r="G5947" s="297" t="s">
        <v>256</v>
      </c>
      <c r="H5947" s="634"/>
      <c r="I5947" s="635"/>
      <c r="J5947" s="639">
        <f t="shared" si="190"/>
        <v>0</v>
      </c>
      <c r="K5947" s="575"/>
      <c r="L5947" s="575"/>
      <c r="M5947" s="575"/>
      <c r="N5947" s="575"/>
      <c r="O5947" s="575"/>
      <c r="P5947" s="575"/>
      <c r="Q5947" s="575"/>
      <c r="R5947" s="575"/>
      <c r="S5947" s="575"/>
      <c r="T5947" s="575"/>
      <c r="U5947" s="575"/>
      <c r="V5947" s="575"/>
      <c r="W5947" s="575"/>
      <c r="X5947" s="575"/>
      <c r="Y5947" s="575"/>
    </row>
    <row r="5948" spans="1:25" s="88" customFormat="1" ht="15.75" hidden="1" thickBot="1">
      <c r="A5948" s="551"/>
      <c r="B5948" s="301"/>
      <c r="C5948" s="361"/>
      <c r="D5948" s="296"/>
      <c r="E5948" s="296"/>
      <c r="F5948" s="294" t="s">
        <v>257</v>
      </c>
      <c r="G5948" s="297" t="s">
        <v>258</v>
      </c>
      <c r="H5948" s="634"/>
      <c r="I5948" s="635"/>
      <c r="J5948" s="639">
        <f t="shared" si="190"/>
        <v>0</v>
      </c>
      <c r="K5948" s="575"/>
      <c r="L5948" s="575"/>
      <c r="M5948" s="575"/>
      <c r="N5948" s="575"/>
      <c r="O5948" s="575"/>
      <c r="P5948" s="575"/>
      <c r="Q5948" s="575"/>
      <c r="R5948" s="575"/>
      <c r="S5948" s="575"/>
      <c r="T5948" s="575"/>
      <c r="U5948" s="575"/>
      <c r="V5948" s="575"/>
      <c r="W5948" s="575"/>
      <c r="X5948" s="575"/>
      <c r="Y5948" s="575"/>
    </row>
    <row r="5949" spans="1:25" s="88" customFormat="1" ht="15.75" hidden="1" thickBot="1">
      <c r="A5949" s="551"/>
      <c r="B5949" s="301"/>
      <c r="C5949" s="361"/>
      <c r="D5949" s="296"/>
      <c r="E5949" s="296"/>
      <c r="F5949" s="294" t="s">
        <v>259</v>
      </c>
      <c r="G5949" s="297" t="s">
        <v>260</v>
      </c>
      <c r="H5949" s="634"/>
      <c r="I5949" s="635"/>
      <c r="J5949" s="639">
        <f t="shared" si="190"/>
        <v>0</v>
      </c>
      <c r="K5949" s="575"/>
      <c r="L5949" s="575"/>
      <c r="M5949" s="575"/>
      <c r="N5949" s="575"/>
      <c r="O5949" s="575"/>
      <c r="P5949" s="575"/>
      <c r="Q5949" s="575"/>
      <c r="R5949" s="575"/>
      <c r="S5949" s="575"/>
      <c r="T5949" s="575"/>
      <c r="U5949" s="575"/>
      <c r="V5949" s="575"/>
      <c r="W5949" s="575"/>
      <c r="X5949" s="575"/>
      <c r="Y5949" s="575"/>
    </row>
    <row r="5950" spans="1:25" s="88" customFormat="1" ht="15.75" hidden="1" thickBot="1">
      <c r="A5950" s="551"/>
      <c r="B5950" s="301"/>
      <c r="C5950" s="361"/>
      <c r="D5950" s="296"/>
      <c r="E5950" s="296"/>
      <c r="F5950" s="294" t="s">
        <v>261</v>
      </c>
      <c r="G5950" s="297" t="s">
        <v>262</v>
      </c>
      <c r="H5950" s="638"/>
      <c r="I5950" s="639"/>
      <c r="J5950" s="639">
        <f t="shared" si="190"/>
        <v>0</v>
      </c>
      <c r="K5950" s="575"/>
      <c r="L5950" s="575"/>
      <c r="M5950" s="575"/>
      <c r="N5950" s="575"/>
      <c r="O5950" s="575"/>
      <c r="P5950" s="575"/>
      <c r="Q5950" s="575"/>
      <c r="R5950" s="575"/>
      <c r="S5950" s="575"/>
      <c r="T5950" s="575"/>
      <c r="U5950" s="575"/>
      <c r="V5950" s="575"/>
      <c r="W5950" s="575"/>
      <c r="X5950" s="575"/>
      <c r="Y5950" s="575"/>
    </row>
    <row r="5951" spans="1:25" s="88" customFormat="1" ht="15.75" thickBot="1">
      <c r="A5951" s="551"/>
      <c r="B5951" s="301"/>
      <c r="C5951" s="361"/>
      <c r="D5951" s="296"/>
      <c r="E5951" s="296"/>
      <c r="F5951" s="263"/>
      <c r="G5951" s="274" t="s">
        <v>5208</v>
      </c>
      <c r="H5951" s="640">
        <f>SUM(H5935:H5950)</f>
        <v>25000000</v>
      </c>
      <c r="I5951" s="641">
        <f>SUM(I5936:I5950)</f>
        <v>0</v>
      </c>
      <c r="J5951" s="641">
        <f>SUM(J5935:J5950)</f>
        <v>25000000</v>
      </c>
      <c r="K5951" s="575"/>
      <c r="L5951" s="575"/>
      <c r="M5951" s="575"/>
      <c r="N5951" s="575"/>
      <c r="O5951" s="575"/>
      <c r="P5951" s="575"/>
      <c r="Q5951" s="575"/>
      <c r="R5951" s="575"/>
      <c r="S5951" s="575"/>
      <c r="T5951" s="575"/>
      <c r="U5951" s="575"/>
      <c r="V5951" s="575"/>
      <c r="W5951" s="575"/>
      <c r="X5951" s="575"/>
      <c r="Y5951" s="575"/>
    </row>
    <row r="5952" spans="1:25" s="88" customFormat="1" ht="1.5" customHeight="1">
      <c r="A5952" s="551"/>
      <c r="B5952" s="301"/>
      <c r="C5952" s="361"/>
      <c r="D5952" s="296"/>
      <c r="E5952" s="296"/>
      <c r="F5952" s="263"/>
      <c r="G5952" s="331"/>
      <c r="H5952" s="644"/>
      <c r="I5952" s="645"/>
      <c r="J5952" s="645"/>
      <c r="K5952" s="575"/>
      <c r="L5952" s="575"/>
      <c r="M5952" s="575"/>
      <c r="N5952" s="575"/>
      <c r="O5952" s="575"/>
      <c r="P5952" s="575"/>
      <c r="Q5952" s="575"/>
      <c r="R5952" s="575"/>
      <c r="S5952" s="575"/>
      <c r="T5952" s="575"/>
      <c r="U5952" s="575"/>
      <c r="V5952" s="575"/>
      <c r="W5952" s="575"/>
      <c r="X5952" s="575"/>
      <c r="Y5952" s="575"/>
    </row>
    <row r="5953" spans="1:25" s="88" customFormat="1" hidden="1">
      <c r="A5953" s="551"/>
      <c r="B5953" s="301"/>
      <c r="C5953" s="361"/>
      <c r="D5953" s="296"/>
      <c r="E5953" s="296"/>
      <c r="F5953" s="263"/>
      <c r="G5953" s="331"/>
      <c r="H5953" s="644"/>
      <c r="I5953" s="645"/>
      <c r="J5953" s="645"/>
      <c r="K5953" s="575"/>
      <c r="L5953" s="575"/>
      <c r="M5953" s="575"/>
      <c r="N5953" s="575"/>
      <c r="O5953" s="575"/>
      <c r="P5953" s="575"/>
      <c r="Q5953" s="575"/>
      <c r="R5953" s="575"/>
      <c r="S5953" s="575"/>
      <c r="T5953" s="575"/>
      <c r="U5953" s="575"/>
      <c r="V5953" s="575"/>
      <c r="W5953" s="575"/>
      <c r="X5953" s="575"/>
      <c r="Y5953" s="575"/>
    </row>
    <row r="5954" spans="1:25" hidden="1">
      <c r="A5954" s="289">
        <v>4</v>
      </c>
      <c r="B5954" s="289">
        <v>6</v>
      </c>
      <c r="C5954" s="265"/>
      <c r="D5954" s="261"/>
      <c r="E5954" s="261"/>
      <c r="F5954" s="261"/>
      <c r="G5954" s="277" t="s">
        <v>5101</v>
      </c>
      <c r="H5954" s="632"/>
      <c r="I5954" s="633"/>
      <c r="J5954" s="633"/>
    </row>
    <row r="5955" spans="1:25" s="88" customFormat="1" hidden="1">
      <c r="A5955" s="551"/>
      <c r="B5955" s="301"/>
      <c r="C5955" s="310" t="s">
        <v>3558</v>
      </c>
      <c r="D5955" s="263"/>
      <c r="E5955" s="263"/>
      <c r="F5955" s="263"/>
      <c r="G5955" s="351" t="s">
        <v>4232</v>
      </c>
      <c r="H5955" s="667"/>
      <c r="I5955" s="650"/>
      <c r="J5955" s="668"/>
      <c r="K5955" s="575"/>
      <c r="L5955" s="575"/>
      <c r="M5955" s="575"/>
      <c r="N5955" s="575"/>
      <c r="O5955" s="575"/>
      <c r="P5955" s="575"/>
      <c r="Q5955" s="575"/>
      <c r="R5955" s="575"/>
      <c r="S5955" s="575"/>
      <c r="T5955" s="575"/>
      <c r="U5955" s="575"/>
      <c r="V5955" s="575"/>
      <c r="W5955" s="575"/>
      <c r="X5955" s="575"/>
      <c r="Y5955" s="575"/>
    </row>
    <row r="5956" spans="1:25" s="88" customFormat="1" hidden="1">
      <c r="A5956" s="551"/>
      <c r="B5956" s="301"/>
      <c r="C5956" s="321" t="s">
        <v>4056</v>
      </c>
      <c r="D5956" s="264"/>
      <c r="E5956" s="264"/>
      <c r="F5956" s="322"/>
      <c r="G5956" s="352" t="s">
        <v>4058</v>
      </c>
      <c r="H5956" s="667"/>
      <c r="I5956" s="650"/>
      <c r="J5956" s="668"/>
      <c r="K5956" s="575"/>
      <c r="L5956" s="575"/>
      <c r="M5956" s="575"/>
      <c r="N5956" s="575"/>
      <c r="O5956" s="575"/>
      <c r="P5956" s="575"/>
      <c r="Q5956" s="575"/>
      <c r="R5956" s="575"/>
      <c r="S5956" s="575"/>
      <c r="T5956" s="575"/>
      <c r="U5956" s="575"/>
      <c r="V5956" s="575"/>
      <c r="W5956" s="575"/>
      <c r="X5956" s="575"/>
      <c r="Y5956" s="575"/>
    </row>
    <row r="5957" spans="1:25" s="88" customFormat="1" hidden="1">
      <c r="A5957" s="551"/>
      <c r="B5957" s="301"/>
      <c r="C5957" s="310"/>
      <c r="D5957" s="357">
        <v>620</v>
      </c>
      <c r="E5957" s="357"/>
      <c r="F5957" s="357"/>
      <c r="G5957" s="370" t="s">
        <v>182</v>
      </c>
      <c r="H5957" s="667"/>
      <c r="I5957" s="650"/>
      <c r="J5957" s="668"/>
      <c r="K5957" s="575"/>
      <c r="L5957" s="575"/>
      <c r="M5957" s="575"/>
      <c r="N5957" s="575"/>
      <c r="O5957" s="575"/>
      <c r="P5957" s="575"/>
      <c r="Q5957" s="575"/>
      <c r="R5957" s="575"/>
      <c r="S5957" s="575"/>
      <c r="T5957" s="575"/>
      <c r="U5957" s="575"/>
      <c r="V5957" s="575"/>
      <c r="W5957" s="575"/>
      <c r="X5957" s="575"/>
      <c r="Y5957" s="575"/>
    </row>
    <row r="5958" spans="1:25" s="88" customFormat="1" hidden="1">
      <c r="A5958" s="551"/>
      <c r="B5958" s="301"/>
      <c r="C5958" s="310"/>
      <c r="D5958" s="357"/>
      <c r="E5958" s="357"/>
      <c r="F5958" s="263">
        <v>411</v>
      </c>
      <c r="G5958" s="562" t="s">
        <v>4173</v>
      </c>
      <c r="H5958" s="667"/>
      <c r="I5958" s="650"/>
      <c r="J5958" s="668"/>
      <c r="K5958" s="575"/>
      <c r="L5958" s="575"/>
      <c r="M5958" s="575"/>
      <c r="N5958" s="575"/>
      <c r="O5958" s="575"/>
      <c r="P5958" s="575"/>
      <c r="Q5958" s="575"/>
      <c r="R5958" s="575"/>
      <c r="S5958" s="575"/>
      <c r="T5958" s="575"/>
      <c r="U5958" s="575"/>
      <c r="V5958" s="575"/>
      <c r="W5958" s="575"/>
      <c r="X5958" s="575"/>
      <c r="Y5958" s="575"/>
    </row>
    <row r="5959" spans="1:25" s="88" customFormat="1" hidden="1">
      <c r="A5959" s="551"/>
      <c r="B5959" s="301"/>
      <c r="C5959" s="310"/>
      <c r="D5959" s="357"/>
      <c r="E5959" s="357"/>
      <c r="F5959" s="263">
        <v>412</v>
      </c>
      <c r="G5959" s="558" t="s">
        <v>3770</v>
      </c>
      <c r="H5959" s="667"/>
      <c r="I5959" s="650"/>
      <c r="J5959" s="668"/>
      <c r="K5959" s="575"/>
      <c r="L5959" s="575"/>
      <c r="M5959" s="575"/>
      <c r="N5959" s="575"/>
      <c r="O5959" s="575"/>
      <c r="P5959" s="575"/>
      <c r="Q5959" s="575"/>
      <c r="R5959" s="575"/>
      <c r="S5959" s="575"/>
      <c r="T5959" s="575"/>
      <c r="U5959" s="575"/>
      <c r="V5959" s="575"/>
      <c r="W5959" s="575"/>
      <c r="X5959" s="575"/>
      <c r="Y5959" s="575"/>
    </row>
    <row r="5960" spans="1:25" s="88" customFormat="1" hidden="1">
      <c r="A5960" s="551"/>
      <c r="B5960" s="301"/>
      <c r="C5960" s="361"/>
      <c r="D5960" s="296"/>
      <c r="E5960" s="296"/>
      <c r="F5960" s="569">
        <v>422</v>
      </c>
      <c r="G5960" s="562" t="s">
        <v>3784</v>
      </c>
      <c r="H5960" s="667"/>
      <c r="I5960" s="650"/>
      <c r="J5960" s="668"/>
      <c r="K5960" s="575"/>
      <c r="L5960" s="575"/>
      <c r="M5960" s="575"/>
      <c r="N5960" s="575"/>
      <c r="O5960" s="575"/>
      <c r="P5960" s="575"/>
      <c r="Q5960" s="575"/>
      <c r="R5960" s="575"/>
      <c r="S5960" s="575"/>
      <c r="T5960" s="575"/>
      <c r="U5960" s="575"/>
      <c r="V5960" s="575"/>
      <c r="W5960" s="575"/>
      <c r="X5960" s="575"/>
      <c r="Y5960" s="575"/>
    </row>
    <row r="5961" spans="1:25" s="88" customFormat="1" hidden="1">
      <c r="A5961" s="551"/>
      <c r="B5961" s="301"/>
      <c r="C5961" s="361"/>
      <c r="D5961" s="296"/>
      <c r="E5961" s="296"/>
      <c r="F5961" s="569">
        <v>423</v>
      </c>
      <c r="G5961" s="562" t="s">
        <v>3785</v>
      </c>
      <c r="H5961" s="667"/>
      <c r="I5961" s="650"/>
      <c r="J5961" s="668"/>
      <c r="K5961" s="575"/>
      <c r="L5961" s="575"/>
      <c r="M5961" s="575"/>
      <c r="N5961" s="575"/>
      <c r="O5961" s="575"/>
      <c r="P5961" s="575"/>
      <c r="Q5961" s="575"/>
      <c r="R5961" s="575"/>
      <c r="S5961" s="575"/>
      <c r="T5961" s="575"/>
      <c r="U5961" s="575"/>
      <c r="V5961" s="575"/>
      <c r="W5961" s="575"/>
      <c r="X5961" s="575"/>
      <c r="Y5961" s="575"/>
    </row>
    <row r="5962" spans="1:25" s="88" customFormat="1" hidden="1">
      <c r="A5962" s="551"/>
      <c r="B5962" s="301"/>
      <c r="C5962" s="361"/>
      <c r="D5962" s="296"/>
      <c r="E5962" s="296"/>
      <c r="F5962" s="569">
        <v>424</v>
      </c>
      <c r="G5962" s="562" t="s">
        <v>3787</v>
      </c>
      <c r="H5962" s="667"/>
      <c r="I5962" s="650"/>
      <c r="J5962" s="668"/>
      <c r="K5962" s="575"/>
      <c r="L5962" s="575"/>
      <c r="M5962" s="575"/>
      <c r="N5962" s="575"/>
      <c r="O5962" s="575"/>
      <c r="P5962" s="575"/>
      <c r="Q5962" s="575"/>
      <c r="R5962" s="575"/>
      <c r="S5962" s="575"/>
      <c r="T5962" s="575"/>
      <c r="U5962" s="575"/>
      <c r="V5962" s="575"/>
      <c r="W5962" s="575"/>
      <c r="X5962" s="575"/>
      <c r="Y5962" s="575"/>
    </row>
    <row r="5963" spans="1:25" s="88" customFormat="1" hidden="1">
      <c r="A5963" s="551"/>
      <c r="B5963" s="301"/>
      <c r="C5963" s="361"/>
      <c r="D5963" s="296"/>
      <c r="E5963" s="296"/>
      <c r="F5963" s="569">
        <v>425</v>
      </c>
      <c r="G5963" s="562" t="s">
        <v>4186</v>
      </c>
      <c r="H5963" s="667"/>
      <c r="I5963" s="650"/>
      <c r="J5963" s="668"/>
      <c r="K5963" s="575"/>
      <c r="L5963" s="575"/>
      <c r="M5963" s="575"/>
      <c r="N5963" s="575"/>
      <c r="O5963" s="575"/>
      <c r="P5963" s="575"/>
      <c r="Q5963" s="575"/>
      <c r="R5963" s="575"/>
      <c r="S5963" s="575"/>
      <c r="T5963" s="575"/>
      <c r="U5963" s="575"/>
      <c r="V5963" s="575"/>
      <c r="W5963" s="575"/>
      <c r="X5963" s="575"/>
      <c r="Y5963" s="575"/>
    </row>
    <row r="5964" spans="1:25" s="88" customFormat="1" hidden="1">
      <c r="A5964" s="551"/>
      <c r="B5964" s="301"/>
      <c r="C5964" s="361"/>
      <c r="D5964" s="296"/>
      <c r="E5964" s="296"/>
      <c r="F5964" s="569">
        <v>426</v>
      </c>
      <c r="G5964" s="562" t="s">
        <v>3791</v>
      </c>
      <c r="H5964" s="667"/>
      <c r="I5964" s="650"/>
      <c r="J5964" s="668"/>
      <c r="K5964" s="575"/>
      <c r="L5964" s="575"/>
      <c r="M5964" s="575"/>
      <c r="N5964" s="575"/>
      <c r="O5964" s="575"/>
      <c r="P5964" s="575"/>
      <c r="Q5964" s="575"/>
      <c r="R5964" s="575"/>
      <c r="S5964" s="575"/>
      <c r="T5964" s="575"/>
      <c r="U5964" s="575"/>
      <c r="V5964" s="575"/>
      <c r="W5964" s="575"/>
      <c r="X5964" s="575"/>
      <c r="Y5964" s="575"/>
    </row>
    <row r="5965" spans="1:25" s="88" customFormat="1" hidden="1">
      <c r="A5965" s="551"/>
      <c r="B5965" s="301"/>
      <c r="C5965" s="361"/>
      <c r="D5965" s="296"/>
      <c r="E5965" s="296"/>
      <c r="F5965" s="569">
        <v>482</v>
      </c>
      <c r="G5965" s="562" t="s">
        <v>4196</v>
      </c>
      <c r="H5965" s="667"/>
      <c r="I5965" s="650"/>
      <c r="J5965" s="668"/>
      <c r="K5965" s="575"/>
      <c r="L5965" s="575"/>
      <c r="M5965" s="575"/>
      <c r="N5965" s="575"/>
      <c r="O5965" s="575"/>
      <c r="P5965" s="575"/>
      <c r="Q5965" s="575"/>
      <c r="R5965" s="575"/>
      <c r="S5965" s="575"/>
      <c r="T5965" s="575"/>
      <c r="U5965" s="575"/>
      <c r="V5965" s="575"/>
      <c r="W5965" s="575"/>
      <c r="X5965" s="575"/>
      <c r="Y5965" s="575"/>
    </row>
    <row r="5966" spans="1:25" s="88" customFormat="1" hidden="1">
      <c r="A5966" s="551"/>
      <c r="B5966" s="301"/>
      <c r="C5966" s="361"/>
      <c r="D5966" s="296"/>
      <c r="E5966" s="296"/>
      <c r="F5966" s="569">
        <v>511</v>
      </c>
      <c r="G5966" s="566" t="s">
        <v>4200</v>
      </c>
      <c r="H5966" s="667"/>
      <c r="I5966" s="650"/>
      <c r="J5966" s="668"/>
      <c r="K5966" s="575"/>
      <c r="L5966" s="575"/>
      <c r="M5966" s="575"/>
      <c r="N5966" s="575"/>
      <c r="O5966" s="575"/>
      <c r="P5966" s="575"/>
      <c r="Q5966" s="575"/>
      <c r="R5966" s="575"/>
      <c r="S5966" s="575"/>
      <c r="T5966" s="575"/>
      <c r="U5966" s="575"/>
      <c r="V5966" s="575"/>
      <c r="W5966" s="575"/>
      <c r="X5966" s="575"/>
      <c r="Y5966" s="575"/>
    </row>
    <row r="5967" spans="1:25" hidden="1">
      <c r="E5967" s="559"/>
      <c r="F5967" s="570"/>
      <c r="G5967" s="372" t="s">
        <v>4350</v>
      </c>
      <c r="H5967" s="636"/>
      <c r="I5967" s="662"/>
      <c r="J5967" s="637"/>
    </row>
    <row r="5968" spans="1:25" hidden="1">
      <c r="E5968" s="267"/>
      <c r="F5968" s="294" t="s">
        <v>234</v>
      </c>
      <c r="G5968" s="297" t="s">
        <v>235</v>
      </c>
      <c r="H5968" s="638">
        <f>SUM(H5958:H5966)</f>
        <v>0</v>
      </c>
      <c r="I5968" s="639"/>
      <c r="J5968" s="639">
        <f t="shared" ref="J5968:J5983" si="191">SUM(H5968:I5968)</f>
        <v>0</v>
      </c>
    </row>
    <row r="5969" spans="6:10" hidden="1">
      <c r="F5969" s="294" t="s">
        <v>236</v>
      </c>
      <c r="G5969" s="297" t="s">
        <v>237</v>
      </c>
      <c r="J5969" s="639">
        <f t="shared" si="191"/>
        <v>0</v>
      </c>
    </row>
    <row r="5970" spans="6:10" hidden="1">
      <c r="F5970" s="294" t="s">
        <v>238</v>
      </c>
      <c r="G5970" s="297" t="s">
        <v>239</v>
      </c>
      <c r="J5970" s="639">
        <f t="shared" si="191"/>
        <v>0</v>
      </c>
    </row>
    <row r="5971" spans="6:10" hidden="1">
      <c r="F5971" s="294" t="s">
        <v>240</v>
      </c>
      <c r="G5971" s="297" t="s">
        <v>241</v>
      </c>
      <c r="J5971" s="639">
        <f t="shared" si="191"/>
        <v>0</v>
      </c>
    </row>
    <row r="5972" spans="6:10" hidden="1">
      <c r="F5972" s="294" t="s">
        <v>242</v>
      </c>
      <c r="G5972" s="297" t="s">
        <v>243</v>
      </c>
      <c r="J5972" s="639">
        <f t="shared" si="191"/>
        <v>0</v>
      </c>
    </row>
    <row r="5973" spans="6:10" hidden="1">
      <c r="F5973" s="294" t="s">
        <v>244</v>
      </c>
      <c r="G5973" s="297" t="s">
        <v>245</v>
      </c>
      <c r="J5973" s="639">
        <f t="shared" si="191"/>
        <v>0</v>
      </c>
    </row>
    <row r="5974" spans="6:10" hidden="1">
      <c r="F5974" s="294" t="s">
        <v>246</v>
      </c>
      <c r="G5974" s="683" t="s">
        <v>5121</v>
      </c>
      <c r="J5974" s="639">
        <f t="shared" si="191"/>
        <v>0</v>
      </c>
    </row>
    <row r="5975" spans="6:10" hidden="1">
      <c r="F5975" s="294" t="s">
        <v>247</v>
      </c>
      <c r="G5975" s="683" t="s">
        <v>5120</v>
      </c>
      <c r="J5975" s="639">
        <f t="shared" si="191"/>
        <v>0</v>
      </c>
    </row>
    <row r="5976" spans="6:10" hidden="1">
      <c r="F5976" s="294" t="s">
        <v>248</v>
      </c>
      <c r="G5976" s="297" t="s">
        <v>57</v>
      </c>
      <c r="J5976" s="639">
        <f t="shared" si="191"/>
        <v>0</v>
      </c>
    </row>
    <row r="5977" spans="6:10" hidden="1">
      <c r="F5977" s="294" t="s">
        <v>249</v>
      </c>
      <c r="G5977" s="297" t="s">
        <v>250</v>
      </c>
      <c r="J5977" s="639">
        <f t="shared" si="191"/>
        <v>0</v>
      </c>
    </row>
    <row r="5978" spans="6:10" hidden="1">
      <c r="F5978" s="294" t="s">
        <v>251</v>
      </c>
      <c r="G5978" s="297" t="s">
        <v>252</v>
      </c>
      <c r="J5978" s="639">
        <f t="shared" si="191"/>
        <v>0</v>
      </c>
    </row>
    <row r="5979" spans="6:10" hidden="1">
      <c r="F5979" s="294" t="s">
        <v>253</v>
      </c>
      <c r="G5979" s="297" t="s">
        <v>254</v>
      </c>
      <c r="J5979" s="639">
        <f t="shared" si="191"/>
        <v>0</v>
      </c>
    </row>
    <row r="5980" spans="6:10" hidden="1">
      <c r="F5980" s="294" t="s">
        <v>255</v>
      </c>
      <c r="G5980" s="297" t="s">
        <v>256</v>
      </c>
      <c r="J5980" s="639">
        <f t="shared" si="191"/>
        <v>0</v>
      </c>
    </row>
    <row r="5981" spans="6:10" hidden="1">
      <c r="F5981" s="294" t="s">
        <v>257</v>
      </c>
      <c r="G5981" s="297" t="s">
        <v>258</v>
      </c>
      <c r="J5981" s="639">
        <f t="shared" si="191"/>
        <v>0</v>
      </c>
    </row>
    <row r="5982" spans="6:10" hidden="1">
      <c r="F5982" s="294" t="s">
        <v>259</v>
      </c>
      <c r="G5982" s="297" t="s">
        <v>260</v>
      </c>
      <c r="J5982" s="639">
        <f t="shared" si="191"/>
        <v>0</v>
      </c>
    </row>
    <row r="5983" spans="6:10" hidden="1">
      <c r="F5983" s="294" t="s">
        <v>261</v>
      </c>
      <c r="G5983" s="297" t="s">
        <v>262</v>
      </c>
      <c r="H5983" s="638"/>
      <c r="I5983" s="639"/>
      <c r="J5983" s="639">
        <f t="shared" si="191"/>
        <v>0</v>
      </c>
    </row>
    <row r="5984" spans="6:10" ht="15.75" hidden="1" thickBot="1">
      <c r="G5984" s="274" t="s">
        <v>4351</v>
      </c>
      <c r="H5984" s="640">
        <f>SUM(H5968:H5983)</f>
        <v>0</v>
      </c>
      <c r="I5984" s="641">
        <f>SUM(I5969:I5983)</f>
        <v>0</v>
      </c>
      <c r="J5984" s="641">
        <f>SUM(J5968:J5983)</f>
        <v>0</v>
      </c>
    </row>
    <row r="5985" spans="5:10" hidden="1" collapsed="1">
      <c r="E5985" s="559"/>
      <c r="F5985" s="570"/>
      <c r="G5985" s="276" t="s">
        <v>4352</v>
      </c>
      <c r="H5985" s="642"/>
      <c r="I5985" s="663"/>
      <c r="J5985" s="643"/>
    </row>
    <row r="5986" spans="5:10" hidden="1">
      <c r="E5986" s="267"/>
      <c r="F5986" s="294" t="s">
        <v>234</v>
      </c>
      <c r="G5986" s="297" t="s">
        <v>235</v>
      </c>
      <c r="H5986" s="638">
        <f>SUM(H5958:H5966)</f>
        <v>0</v>
      </c>
      <c r="I5986" s="639"/>
      <c r="J5986" s="639">
        <f>SUM(H5986:I5986)</f>
        <v>0</v>
      </c>
    </row>
    <row r="5987" spans="5:10" hidden="1">
      <c r="F5987" s="294" t="s">
        <v>236</v>
      </c>
      <c r="G5987" s="297" t="s">
        <v>237</v>
      </c>
      <c r="J5987" s="639">
        <f t="shared" ref="J5987:J6001" si="192">SUM(H5987:I5987)</f>
        <v>0</v>
      </c>
    </row>
    <row r="5988" spans="5:10" hidden="1">
      <c r="F5988" s="294" t="s">
        <v>238</v>
      </c>
      <c r="G5988" s="297" t="s">
        <v>239</v>
      </c>
      <c r="J5988" s="639">
        <f t="shared" si="192"/>
        <v>0</v>
      </c>
    </row>
    <row r="5989" spans="5:10" hidden="1">
      <c r="F5989" s="294" t="s">
        <v>240</v>
      </c>
      <c r="G5989" s="297" t="s">
        <v>241</v>
      </c>
      <c r="J5989" s="639">
        <f t="shared" si="192"/>
        <v>0</v>
      </c>
    </row>
    <row r="5990" spans="5:10" hidden="1">
      <c r="F5990" s="294" t="s">
        <v>242</v>
      </c>
      <c r="G5990" s="297" t="s">
        <v>243</v>
      </c>
      <c r="J5990" s="639">
        <f t="shared" si="192"/>
        <v>0</v>
      </c>
    </row>
    <row r="5991" spans="5:10" hidden="1">
      <c r="F5991" s="294" t="s">
        <v>244</v>
      </c>
      <c r="G5991" s="297" t="s">
        <v>245</v>
      </c>
      <c r="J5991" s="639">
        <f t="shared" si="192"/>
        <v>0</v>
      </c>
    </row>
    <row r="5992" spans="5:10" hidden="1">
      <c r="F5992" s="294" t="s">
        <v>246</v>
      </c>
      <c r="G5992" s="683" t="s">
        <v>5121</v>
      </c>
      <c r="J5992" s="639">
        <f t="shared" si="192"/>
        <v>0</v>
      </c>
    </row>
    <row r="5993" spans="5:10" hidden="1">
      <c r="F5993" s="294" t="s">
        <v>247</v>
      </c>
      <c r="G5993" s="683" t="s">
        <v>5120</v>
      </c>
      <c r="J5993" s="639">
        <f t="shared" si="192"/>
        <v>0</v>
      </c>
    </row>
    <row r="5994" spans="5:10" hidden="1">
      <c r="F5994" s="294" t="s">
        <v>248</v>
      </c>
      <c r="G5994" s="297" t="s">
        <v>57</v>
      </c>
      <c r="J5994" s="639">
        <f t="shared" si="192"/>
        <v>0</v>
      </c>
    </row>
    <row r="5995" spans="5:10" hidden="1">
      <c r="F5995" s="294" t="s">
        <v>249</v>
      </c>
      <c r="G5995" s="297" t="s">
        <v>250</v>
      </c>
      <c r="J5995" s="639">
        <f t="shared" si="192"/>
        <v>0</v>
      </c>
    </row>
    <row r="5996" spans="5:10" hidden="1">
      <c r="F5996" s="294" t="s">
        <v>251</v>
      </c>
      <c r="G5996" s="297" t="s">
        <v>252</v>
      </c>
      <c r="J5996" s="639">
        <f t="shared" si="192"/>
        <v>0</v>
      </c>
    </row>
    <row r="5997" spans="5:10" hidden="1">
      <c r="F5997" s="294" t="s">
        <v>253</v>
      </c>
      <c r="G5997" s="297" t="s">
        <v>254</v>
      </c>
      <c r="J5997" s="639">
        <f t="shared" si="192"/>
        <v>0</v>
      </c>
    </row>
    <row r="5998" spans="5:10" hidden="1">
      <c r="F5998" s="294" t="s">
        <v>255</v>
      </c>
      <c r="G5998" s="297" t="s">
        <v>256</v>
      </c>
      <c r="J5998" s="639">
        <f t="shared" si="192"/>
        <v>0</v>
      </c>
    </row>
    <row r="5999" spans="5:10" hidden="1">
      <c r="F5999" s="294" t="s">
        <v>257</v>
      </c>
      <c r="G5999" s="297" t="s">
        <v>258</v>
      </c>
      <c r="J5999" s="639">
        <f t="shared" si="192"/>
        <v>0</v>
      </c>
    </row>
    <row r="6000" spans="5:10" hidden="1">
      <c r="F6000" s="294" t="s">
        <v>259</v>
      </c>
      <c r="G6000" s="297" t="s">
        <v>260</v>
      </c>
      <c r="J6000" s="639">
        <f t="shared" si="192"/>
        <v>0</v>
      </c>
    </row>
    <row r="6001" spans="1:25" hidden="1">
      <c r="F6001" s="294" t="s">
        <v>261</v>
      </c>
      <c r="G6001" s="297" t="s">
        <v>262</v>
      </c>
      <c r="H6001" s="638"/>
      <c r="I6001" s="639"/>
      <c r="J6001" s="639">
        <f t="shared" si="192"/>
        <v>0</v>
      </c>
    </row>
    <row r="6002" spans="1:25" ht="15.75" hidden="1" collapsed="1" thickBot="1">
      <c r="G6002" s="274" t="s">
        <v>4353</v>
      </c>
      <c r="H6002" s="640">
        <f>SUM(H5986:H6001)</f>
        <v>0</v>
      </c>
      <c r="I6002" s="641">
        <f>SUM(I5987:I6001)</f>
        <v>0</v>
      </c>
      <c r="J6002" s="641">
        <f>SUM(J5986:J6001)</f>
        <v>0</v>
      </c>
    </row>
    <row r="6003" spans="1:25" hidden="1">
      <c r="G6003" s="331"/>
      <c r="H6003" s="644"/>
      <c r="I6003" s="645"/>
      <c r="J6003" s="645"/>
    </row>
    <row r="6004" spans="1:25" s="88" customFormat="1" hidden="1">
      <c r="A6004" s="551"/>
      <c r="B6004" s="301"/>
      <c r="C6004" s="321" t="s">
        <v>5099</v>
      </c>
      <c r="D6004" s="264"/>
      <c r="E6004" s="264"/>
      <c r="F6004" s="322"/>
      <c r="G6004" s="352" t="s">
        <v>5100</v>
      </c>
      <c r="H6004" s="667"/>
      <c r="I6004" s="650"/>
      <c r="J6004" s="668"/>
      <c r="K6004" s="575"/>
      <c r="L6004" s="575"/>
      <c r="M6004" s="575"/>
      <c r="N6004" s="575"/>
      <c r="O6004" s="575"/>
      <c r="P6004" s="575"/>
      <c r="Q6004" s="575"/>
      <c r="R6004" s="575"/>
      <c r="S6004" s="575"/>
      <c r="T6004" s="575"/>
      <c r="U6004" s="575"/>
      <c r="V6004" s="575"/>
      <c r="W6004" s="575"/>
      <c r="X6004" s="575"/>
      <c r="Y6004" s="575"/>
    </row>
    <row r="6005" spans="1:25" s="88" customFormat="1" hidden="1">
      <c r="A6005" s="551"/>
      <c r="B6005" s="301"/>
      <c r="C6005" s="310"/>
      <c r="D6005" s="357">
        <v>620</v>
      </c>
      <c r="E6005" s="357"/>
      <c r="F6005" s="357"/>
      <c r="G6005" s="370" t="s">
        <v>182</v>
      </c>
      <c r="H6005" s="667"/>
      <c r="I6005" s="650"/>
      <c r="J6005" s="668"/>
      <c r="K6005" s="575"/>
      <c r="L6005" s="575"/>
      <c r="M6005" s="575"/>
      <c r="N6005" s="575"/>
      <c r="O6005" s="575"/>
      <c r="P6005" s="575"/>
      <c r="Q6005" s="575"/>
      <c r="R6005" s="575"/>
      <c r="S6005" s="575"/>
      <c r="T6005" s="575"/>
      <c r="U6005" s="575"/>
      <c r="V6005" s="575"/>
      <c r="W6005" s="575"/>
      <c r="X6005" s="575"/>
      <c r="Y6005" s="575"/>
    </row>
    <row r="6006" spans="1:25" s="88" customFormat="1" hidden="1">
      <c r="A6006" s="551"/>
      <c r="B6006" s="301"/>
      <c r="C6006" s="310"/>
      <c r="D6006" s="357"/>
      <c r="E6006" s="357"/>
      <c r="F6006" s="263">
        <v>411</v>
      </c>
      <c r="G6006" s="562" t="s">
        <v>4173</v>
      </c>
      <c r="H6006" s="667"/>
      <c r="I6006" s="650"/>
      <c r="J6006" s="668"/>
      <c r="K6006" s="575"/>
      <c r="L6006" s="575"/>
      <c r="M6006" s="575"/>
      <c r="N6006" s="575"/>
      <c r="O6006" s="575"/>
      <c r="P6006" s="575"/>
      <c r="Q6006" s="575"/>
      <c r="R6006" s="575"/>
      <c r="S6006" s="575"/>
      <c r="T6006" s="575"/>
      <c r="U6006" s="575"/>
      <c r="V6006" s="575"/>
      <c r="W6006" s="575"/>
      <c r="X6006" s="575"/>
      <c r="Y6006" s="575"/>
    </row>
    <row r="6007" spans="1:25" s="88" customFormat="1" hidden="1">
      <c r="A6007" s="551"/>
      <c r="B6007" s="301"/>
      <c r="C6007" s="310"/>
      <c r="D6007" s="357"/>
      <c r="E6007" s="357"/>
      <c r="F6007" s="263">
        <v>412</v>
      </c>
      <c r="G6007" s="558" t="s">
        <v>3770</v>
      </c>
      <c r="H6007" s="667"/>
      <c r="I6007" s="650"/>
      <c r="J6007" s="668"/>
      <c r="K6007" s="575"/>
      <c r="L6007" s="575"/>
      <c r="M6007" s="575"/>
      <c r="N6007" s="575"/>
      <c r="O6007" s="575"/>
      <c r="P6007" s="575"/>
      <c r="Q6007" s="575"/>
      <c r="R6007" s="575"/>
      <c r="S6007" s="575"/>
      <c r="T6007" s="575"/>
      <c r="U6007" s="575"/>
      <c r="V6007" s="575"/>
      <c r="W6007" s="575"/>
      <c r="X6007" s="575"/>
      <c r="Y6007" s="575"/>
    </row>
    <row r="6008" spans="1:25" s="88" customFormat="1" hidden="1">
      <c r="A6008" s="551"/>
      <c r="B6008" s="301"/>
      <c r="C6008" s="361"/>
      <c r="D6008" s="296"/>
      <c r="E6008" s="296"/>
      <c r="F6008" s="569">
        <v>422</v>
      </c>
      <c r="G6008" s="562" t="s">
        <v>3784</v>
      </c>
      <c r="H6008" s="667"/>
      <c r="I6008" s="650"/>
      <c r="J6008" s="668"/>
      <c r="K6008" s="575"/>
      <c r="L6008" s="575"/>
      <c r="M6008" s="575"/>
      <c r="N6008" s="575"/>
      <c r="O6008" s="575"/>
      <c r="P6008" s="575"/>
      <c r="Q6008" s="575"/>
      <c r="R6008" s="575"/>
      <c r="S6008" s="575"/>
      <c r="T6008" s="575"/>
      <c r="U6008" s="575"/>
      <c r="V6008" s="575"/>
      <c r="W6008" s="575"/>
      <c r="X6008" s="575"/>
      <c r="Y6008" s="575"/>
    </row>
    <row r="6009" spans="1:25" s="88" customFormat="1" hidden="1">
      <c r="A6009" s="551"/>
      <c r="B6009" s="301"/>
      <c r="C6009" s="361"/>
      <c r="D6009" s="296"/>
      <c r="E6009" s="296"/>
      <c r="F6009" s="569">
        <v>423</v>
      </c>
      <c r="G6009" s="562" t="s">
        <v>3785</v>
      </c>
      <c r="H6009" s="667"/>
      <c r="I6009" s="650"/>
      <c r="J6009" s="668"/>
      <c r="K6009" s="575"/>
      <c r="L6009" s="575"/>
      <c r="M6009" s="575"/>
      <c r="N6009" s="575"/>
      <c r="O6009" s="575"/>
      <c r="P6009" s="575"/>
      <c r="Q6009" s="575"/>
      <c r="R6009" s="575"/>
      <c r="S6009" s="575"/>
      <c r="T6009" s="575"/>
      <c r="U6009" s="575"/>
      <c r="V6009" s="575"/>
      <c r="W6009" s="575"/>
      <c r="X6009" s="575"/>
      <c r="Y6009" s="575"/>
    </row>
    <row r="6010" spans="1:25" s="88" customFormat="1" hidden="1">
      <c r="A6010" s="551"/>
      <c r="B6010" s="301"/>
      <c r="C6010" s="361"/>
      <c r="D6010" s="296"/>
      <c r="E6010" s="296"/>
      <c r="F6010" s="569">
        <v>424</v>
      </c>
      <c r="G6010" s="562" t="s">
        <v>3787</v>
      </c>
      <c r="H6010" s="667"/>
      <c r="I6010" s="650"/>
      <c r="J6010" s="668"/>
      <c r="K6010" s="575"/>
      <c r="L6010" s="575"/>
      <c r="M6010" s="575"/>
      <c r="N6010" s="575"/>
      <c r="O6010" s="575"/>
      <c r="P6010" s="575"/>
      <c r="Q6010" s="575"/>
      <c r="R6010" s="575"/>
      <c r="S6010" s="575"/>
      <c r="T6010" s="575"/>
      <c r="U6010" s="575"/>
      <c r="V6010" s="575"/>
      <c r="W6010" s="575"/>
      <c r="X6010" s="575"/>
      <c r="Y6010" s="575"/>
    </row>
    <row r="6011" spans="1:25" s="88" customFormat="1" hidden="1">
      <c r="A6011" s="551"/>
      <c r="B6011" s="301"/>
      <c r="C6011" s="361"/>
      <c r="D6011" s="296"/>
      <c r="E6011" s="296"/>
      <c r="F6011" s="569">
        <v>425</v>
      </c>
      <c r="G6011" s="562" t="s">
        <v>4186</v>
      </c>
      <c r="H6011" s="667"/>
      <c r="I6011" s="650"/>
      <c r="J6011" s="668"/>
      <c r="K6011" s="575"/>
      <c r="L6011" s="575"/>
      <c r="M6011" s="575"/>
      <c r="N6011" s="575"/>
      <c r="O6011" s="575"/>
      <c r="P6011" s="575"/>
      <c r="Q6011" s="575"/>
      <c r="R6011" s="575"/>
      <c r="S6011" s="575"/>
      <c r="T6011" s="575"/>
      <c r="U6011" s="575"/>
      <c r="V6011" s="575"/>
      <c r="W6011" s="575"/>
      <c r="X6011" s="575"/>
      <c r="Y6011" s="575"/>
    </row>
    <row r="6012" spans="1:25" s="88" customFormat="1" hidden="1">
      <c r="A6012" s="551"/>
      <c r="B6012" s="301"/>
      <c r="C6012" s="361"/>
      <c r="D6012" s="296"/>
      <c r="E6012" s="296"/>
      <c r="F6012" s="569">
        <v>426</v>
      </c>
      <c r="G6012" s="562" t="s">
        <v>3791</v>
      </c>
      <c r="H6012" s="667"/>
      <c r="I6012" s="650"/>
      <c r="J6012" s="668"/>
      <c r="K6012" s="575"/>
      <c r="L6012" s="575"/>
      <c r="M6012" s="575"/>
      <c r="N6012" s="575"/>
      <c r="O6012" s="575"/>
      <c r="P6012" s="575"/>
      <c r="Q6012" s="575"/>
      <c r="R6012" s="575"/>
      <c r="S6012" s="575"/>
      <c r="T6012" s="575"/>
      <c r="U6012" s="575"/>
      <c r="V6012" s="575"/>
      <c r="W6012" s="575"/>
      <c r="X6012" s="575"/>
      <c r="Y6012" s="575"/>
    </row>
    <row r="6013" spans="1:25" s="88" customFormat="1" hidden="1">
      <c r="A6013" s="551"/>
      <c r="B6013" s="301"/>
      <c r="C6013" s="361"/>
      <c r="D6013" s="296"/>
      <c r="E6013" s="296"/>
      <c r="F6013" s="569">
        <v>482</v>
      </c>
      <c r="G6013" s="562" t="s">
        <v>4196</v>
      </c>
      <c r="H6013" s="667"/>
      <c r="I6013" s="650"/>
      <c r="J6013" s="668"/>
      <c r="K6013" s="575"/>
      <c r="L6013" s="575"/>
      <c r="M6013" s="575"/>
      <c r="N6013" s="575"/>
      <c r="O6013" s="575"/>
      <c r="P6013" s="575"/>
      <c r="Q6013" s="575"/>
      <c r="R6013" s="575"/>
      <c r="S6013" s="575"/>
      <c r="T6013" s="575"/>
      <c r="U6013" s="575"/>
      <c r="V6013" s="575"/>
      <c r="W6013" s="575"/>
      <c r="X6013" s="575"/>
      <c r="Y6013" s="575"/>
    </row>
    <row r="6014" spans="1:25" s="88" customFormat="1" hidden="1">
      <c r="A6014" s="551"/>
      <c r="B6014" s="301"/>
      <c r="C6014" s="361"/>
      <c r="D6014" s="296"/>
      <c r="E6014" s="296"/>
      <c r="F6014" s="569">
        <v>511</v>
      </c>
      <c r="G6014" s="566" t="s">
        <v>4200</v>
      </c>
      <c r="H6014" s="667"/>
      <c r="I6014" s="650"/>
      <c r="J6014" s="668"/>
      <c r="K6014" s="575"/>
      <c r="L6014" s="575"/>
      <c r="M6014" s="575"/>
      <c r="N6014" s="575"/>
      <c r="O6014" s="575"/>
      <c r="P6014" s="575"/>
      <c r="Q6014" s="575"/>
      <c r="R6014" s="575"/>
      <c r="S6014" s="575"/>
      <c r="T6014" s="575"/>
      <c r="U6014" s="575"/>
      <c r="V6014" s="575"/>
      <c r="W6014" s="575"/>
      <c r="X6014" s="575"/>
      <c r="Y6014" s="575"/>
    </row>
    <row r="6015" spans="1:25" s="88" customFormat="1" ht="15.75" hidden="1" thickBot="1">
      <c r="A6015" s="551"/>
      <c r="B6015" s="301"/>
      <c r="C6015" s="361"/>
      <c r="D6015" s="296"/>
      <c r="E6015" s="296"/>
      <c r="F6015" s="569">
        <v>541</v>
      </c>
      <c r="G6015" s="566" t="s">
        <v>4206</v>
      </c>
      <c r="H6015" s="667"/>
      <c r="I6015" s="650"/>
      <c r="J6015" s="668"/>
      <c r="K6015" s="575"/>
      <c r="L6015" s="575"/>
      <c r="M6015" s="575"/>
      <c r="N6015" s="575"/>
      <c r="O6015" s="575"/>
      <c r="P6015" s="575"/>
      <c r="Q6015" s="575"/>
      <c r="R6015" s="575"/>
      <c r="S6015" s="575"/>
      <c r="T6015" s="575"/>
      <c r="U6015" s="575"/>
      <c r="V6015" s="575"/>
      <c r="W6015" s="575"/>
      <c r="X6015" s="575"/>
      <c r="Y6015" s="575"/>
    </row>
    <row r="6016" spans="1:25" hidden="1">
      <c r="E6016" s="559"/>
      <c r="F6016" s="570"/>
      <c r="G6016" s="372" t="s">
        <v>4350</v>
      </c>
      <c r="H6016" s="636"/>
      <c r="I6016" s="662"/>
      <c r="J6016" s="637"/>
    </row>
    <row r="6017" spans="5:10" ht="15.75" hidden="1" thickBot="1">
      <c r="E6017" s="267"/>
      <c r="F6017" s="294" t="s">
        <v>234</v>
      </c>
      <c r="G6017" s="297" t="s">
        <v>235</v>
      </c>
      <c r="H6017" s="638">
        <f>SUM(H6006:H6015)</f>
        <v>0</v>
      </c>
      <c r="I6017" s="639"/>
      <c r="J6017" s="639">
        <f t="shared" ref="J6017:J6032" si="193">SUM(H6017:I6017)</f>
        <v>0</v>
      </c>
    </row>
    <row r="6018" spans="5:10" ht="15.75" hidden="1" thickBot="1">
      <c r="F6018" s="294" t="s">
        <v>236</v>
      </c>
      <c r="G6018" s="297" t="s">
        <v>237</v>
      </c>
      <c r="J6018" s="639">
        <f t="shared" si="193"/>
        <v>0</v>
      </c>
    </row>
    <row r="6019" spans="5:10" ht="15.75" hidden="1" thickBot="1">
      <c r="F6019" s="294" t="s">
        <v>238</v>
      </c>
      <c r="G6019" s="297" t="s">
        <v>239</v>
      </c>
      <c r="J6019" s="639">
        <f t="shared" si="193"/>
        <v>0</v>
      </c>
    </row>
    <row r="6020" spans="5:10" ht="15.75" hidden="1" thickBot="1">
      <c r="F6020" s="294" t="s">
        <v>240</v>
      </c>
      <c r="G6020" s="297" t="s">
        <v>241</v>
      </c>
      <c r="J6020" s="639">
        <f t="shared" si="193"/>
        <v>0</v>
      </c>
    </row>
    <row r="6021" spans="5:10" ht="15.75" hidden="1" thickBot="1">
      <c r="F6021" s="294" t="s">
        <v>242</v>
      </c>
      <c r="G6021" s="297" t="s">
        <v>243</v>
      </c>
      <c r="J6021" s="639">
        <f t="shared" si="193"/>
        <v>0</v>
      </c>
    </row>
    <row r="6022" spans="5:10" ht="15.75" hidden="1" thickBot="1">
      <c r="F6022" s="294" t="s">
        <v>244</v>
      </c>
      <c r="G6022" s="297" t="s">
        <v>245</v>
      </c>
      <c r="J6022" s="639">
        <f t="shared" si="193"/>
        <v>0</v>
      </c>
    </row>
    <row r="6023" spans="5:10" ht="15.75" hidden="1" thickBot="1">
      <c r="F6023" s="294" t="s">
        <v>246</v>
      </c>
      <c r="G6023" s="683" t="s">
        <v>5121</v>
      </c>
      <c r="J6023" s="639">
        <f t="shared" si="193"/>
        <v>0</v>
      </c>
    </row>
    <row r="6024" spans="5:10" ht="15.75" hidden="1" thickBot="1">
      <c r="F6024" s="294" t="s">
        <v>247</v>
      </c>
      <c r="G6024" s="683" t="s">
        <v>5120</v>
      </c>
      <c r="J6024" s="639">
        <f t="shared" si="193"/>
        <v>0</v>
      </c>
    </row>
    <row r="6025" spans="5:10" ht="15.75" hidden="1" thickBot="1">
      <c r="F6025" s="294" t="s">
        <v>248</v>
      </c>
      <c r="G6025" s="297" t="s">
        <v>57</v>
      </c>
      <c r="J6025" s="639">
        <f t="shared" si="193"/>
        <v>0</v>
      </c>
    </row>
    <row r="6026" spans="5:10" ht="15.75" hidden="1" thickBot="1">
      <c r="F6026" s="294" t="s">
        <v>249</v>
      </c>
      <c r="G6026" s="297" t="s">
        <v>250</v>
      </c>
      <c r="J6026" s="639">
        <f t="shared" si="193"/>
        <v>0</v>
      </c>
    </row>
    <row r="6027" spans="5:10" ht="15.75" hidden="1" thickBot="1">
      <c r="F6027" s="294" t="s">
        <v>251</v>
      </c>
      <c r="G6027" s="297" t="s">
        <v>252</v>
      </c>
      <c r="J6027" s="639">
        <f t="shared" si="193"/>
        <v>0</v>
      </c>
    </row>
    <row r="6028" spans="5:10" ht="15.75" hidden="1" thickBot="1">
      <c r="F6028" s="294" t="s">
        <v>253</v>
      </c>
      <c r="G6028" s="297" t="s">
        <v>254</v>
      </c>
      <c r="J6028" s="639">
        <f t="shared" si="193"/>
        <v>0</v>
      </c>
    </row>
    <row r="6029" spans="5:10" ht="15.75" hidden="1" thickBot="1">
      <c r="F6029" s="294" t="s">
        <v>255</v>
      </c>
      <c r="G6029" s="297" t="s">
        <v>256</v>
      </c>
      <c r="J6029" s="639">
        <f t="shared" si="193"/>
        <v>0</v>
      </c>
    </row>
    <row r="6030" spans="5:10" ht="15.75" hidden="1" thickBot="1">
      <c r="F6030" s="294" t="s">
        <v>257</v>
      </c>
      <c r="G6030" s="297" t="s">
        <v>258</v>
      </c>
      <c r="J6030" s="639">
        <f t="shared" si="193"/>
        <v>0</v>
      </c>
    </row>
    <row r="6031" spans="5:10" ht="15.75" hidden="1" thickBot="1">
      <c r="F6031" s="294" t="s">
        <v>259</v>
      </c>
      <c r="G6031" s="297" t="s">
        <v>260</v>
      </c>
      <c r="J6031" s="639">
        <f t="shared" si="193"/>
        <v>0</v>
      </c>
    </row>
    <row r="6032" spans="5:10" ht="15.75" hidden="1" thickBot="1">
      <c r="F6032" s="294" t="s">
        <v>261</v>
      </c>
      <c r="G6032" s="297" t="s">
        <v>262</v>
      </c>
      <c r="H6032" s="638"/>
      <c r="I6032" s="639"/>
      <c r="J6032" s="639">
        <f t="shared" si="193"/>
        <v>0</v>
      </c>
    </row>
    <row r="6033" spans="5:10" ht="15.75" hidden="1" thickBot="1">
      <c r="G6033" s="274" t="s">
        <v>4351</v>
      </c>
      <c r="H6033" s="640">
        <f>SUM(H6017:H6032)</f>
        <v>0</v>
      </c>
      <c r="I6033" s="641">
        <f>SUM(I6018:I6032)</f>
        <v>0</v>
      </c>
      <c r="J6033" s="641">
        <f>SUM(J6017:J6032)</f>
        <v>0</v>
      </c>
    </row>
    <row r="6034" spans="5:10" hidden="1" collapsed="1">
      <c r="E6034" s="559"/>
      <c r="F6034" s="570"/>
      <c r="G6034" s="276" t="s">
        <v>4400</v>
      </c>
      <c r="H6034" s="642"/>
      <c r="I6034" s="663"/>
      <c r="J6034" s="643"/>
    </row>
    <row r="6035" spans="5:10" ht="15.75" hidden="1" thickBot="1">
      <c r="E6035" s="267"/>
      <c r="F6035" s="294" t="s">
        <v>234</v>
      </c>
      <c r="G6035" s="297" t="s">
        <v>235</v>
      </c>
      <c r="H6035" s="638">
        <f>SUM(H6006:H6015)</f>
        <v>0</v>
      </c>
      <c r="I6035" s="639"/>
      <c r="J6035" s="639">
        <f>SUM(H6035:I6035)</f>
        <v>0</v>
      </c>
    </row>
    <row r="6036" spans="5:10" ht="15.75" hidden="1" thickBot="1">
      <c r="F6036" s="294" t="s">
        <v>236</v>
      </c>
      <c r="G6036" s="297" t="s">
        <v>237</v>
      </c>
      <c r="J6036" s="639">
        <f t="shared" ref="J6036:J6050" si="194">SUM(H6036:I6036)</f>
        <v>0</v>
      </c>
    </row>
    <row r="6037" spans="5:10" ht="15.75" hidden="1" thickBot="1">
      <c r="F6037" s="294" t="s">
        <v>238</v>
      </c>
      <c r="G6037" s="297" t="s">
        <v>239</v>
      </c>
      <c r="J6037" s="639">
        <f t="shared" si="194"/>
        <v>0</v>
      </c>
    </row>
    <row r="6038" spans="5:10" ht="15.75" hidden="1" thickBot="1">
      <c r="F6038" s="294" t="s">
        <v>240</v>
      </c>
      <c r="G6038" s="297" t="s">
        <v>241</v>
      </c>
      <c r="J6038" s="639">
        <f t="shared" si="194"/>
        <v>0</v>
      </c>
    </row>
    <row r="6039" spans="5:10" ht="15.75" hidden="1" thickBot="1">
      <c r="F6039" s="294" t="s">
        <v>242</v>
      </c>
      <c r="G6039" s="297" t="s">
        <v>243</v>
      </c>
      <c r="J6039" s="639">
        <f t="shared" si="194"/>
        <v>0</v>
      </c>
    </row>
    <row r="6040" spans="5:10" ht="15.75" hidden="1" thickBot="1">
      <c r="F6040" s="294" t="s">
        <v>244</v>
      </c>
      <c r="G6040" s="297" t="s">
        <v>245</v>
      </c>
      <c r="J6040" s="639">
        <f t="shared" si="194"/>
        <v>0</v>
      </c>
    </row>
    <row r="6041" spans="5:10" ht="15.75" hidden="1" thickBot="1">
      <c r="F6041" s="294" t="s">
        <v>246</v>
      </c>
      <c r="G6041" s="683" t="s">
        <v>5121</v>
      </c>
      <c r="J6041" s="639">
        <f t="shared" si="194"/>
        <v>0</v>
      </c>
    </row>
    <row r="6042" spans="5:10" ht="15.75" hidden="1" thickBot="1">
      <c r="F6042" s="294" t="s">
        <v>247</v>
      </c>
      <c r="G6042" s="683" t="s">
        <v>5120</v>
      </c>
      <c r="J6042" s="639">
        <f t="shared" si="194"/>
        <v>0</v>
      </c>
    </row>
    <row r="6043" spans="5:10" ht="15.75" hidden="1" thickBot="1">
      <c r="F6043" s="294" t="s">
        <v>248</v>
      </c>
      <c r="G6043" s="297" t="s">
        <v>57</v>
      </c>
      <c r="J6043" s="639">
        <f t="shared" si="194"/>
        <v>0</v>
      </c>
    </row>
    <row r="6044" spans="5:10" ht="15.75" hidden="1" thickBot="1">
      <c r="F6044" s="294" t="s">
        <v>249</v>
      </c>
      <c r="G6044" s="297" t="s">
        <v>250</v>
      </c>
      <c r="J6044" s="639">
        <f t="shared" si="194"/>
        <v>0</v>
      </c>
    </row>
    <row r="6045" spans="5:10" ht="15.75" hidden="1" thickBot="1">
      <c r="F6045" s="294" t="s">
        <v>251</v>
      </c>
      <c r="G6045" s="297" t="s">
        <v>252</v>
      </c>
      <c r="J6045" s="639">
        <f t="shared" si="194"/>
        <v>0</v>
      </c>
    </row>
    <row r="6046" spans="5:10" ht="15.75" hidden="1" thickBot="1">
      <c r="F6046" s="294" t="s">
        <v>253</v>
      </c>
      <c r="G6046" s="297" t="s">
        <v>254</v>
      </c>
      <c r="J6046" s="639">
        <f t="shared" si="194"/>
        <v>0</v>
      </c>
    </row>
    <row r="6047" spans="5:10" ht="15.75" hidden="1" thickBot="1">
      <c r="F6047" s="294" t="s">
        <v>255</v>
      </c>
      <c r="G6047" s="297" t="s">
        <v>256</v>
      </c>
      <c r="J6047" s="639">
        <f t="shared" si="194"/>
        <v>0</v>
      </c>
    </row>
    <row r="6048" spans="5:10" ht="15.75" hidden="1" thickBot="1">
      <c r="F6048" s="294" t="s">
        <v>257</v>
      </c>
      <c r="G6048" s="297" t="s">
        <v>258</v>
      </c>
      <c r="J6048" s="639">
        <f t="shared" si="194"/>
        <v>0</v>
      </c>
    </row>
    <row r="6049" spans="1:25" ht="15.75" hidden="1" thickBot="1">
      <c r="F6049" s="294" t="s">
        <v>259</v>
      </c>
      <c r="G6049" s="297" t="s">
        <v>260</v>
      </c>
      <c r="J6049" s="639">
        <f t="shared" si="194"/>
        <v>0</v>
      </c>
    </row>
    <row r="6050" spans="1:25" ht="15.75" hidden="1" thickBot="1">
      <c r="F6050" s="294" t="s">
        <v>261</v>
      </c>
      <c r="G6050" s="297" t="s">
        <v>262</v>
      </c>
      <c r="H6050" s="638"/>
      <c r="I6050" s="639"/>
      <c r="J6050" s="639">
        <f t="shared" si="194"/>
        <v>0</v>
      </c>
    </row>
    <row r="6051" spans="1:25" ht="15.75" hidden="1" collapsed="1" thickBot="1">
      <c r="G6051" s="274" t="s">
        <v>4401</v>
      </c>
      <c r="H6051" s="640">
        <f>SUM(H6035:H6050)</f>
        <v>0</v>
      </c>
      <c r="I6051" s="641">
        <f>SUM(I6036:I6050)</f>
        <v>0</v>
      </c>
      <c r="J6051" s="641">
        <f>SUM(J6035:J6050)</f>
        <v>0</v>
      </c>
    </row>
    <row r="6052" spans="1:25" hidden="1">
      <c r="G6052" s="331"/>
      <c r="H6052" s="644"/>
      <c r="I6052" s="645"/>
      <c r="J6052" s="645"/>
    </row>
    <row r="6053" spans="1:25" s="88" customFormat="1" hidden="1">
      <c r="A6053" s="551"/>
      <c r="B6053" s="301"/>
      <c r="C6053" s="361"/>
      <c r="D6053" s="296"/>
      <c r="E6053" s="296"/>
      <c r="F6053" s="570"/>
      <c r="G6053" s="295" t="s">
        <v>4233</v>
      </c>
      <c r="H6053" s="646"/>
      <c r="I6053" s="664"/>
      <c r="J6053" s="647"/>
      <c r="K6053" s="575"/>
      <c r="L6053" s="575"/>
      <c r="M6053" s="575"/>
      <c r="N6053" s="575"/>
      <c r="O6053" s="575"/>
      <c r="P6053" s="575"/>
      <c r="Q6053" s="575"/>
      <c r="R6053" s="575"/>
      <c r="S6053" s="575"/>
      <c r="T6053" s="575"/>
      <c r="U6053" s="575"/>
      <c r="V6053" s="575"/>
      <c r="W6053" s="575"/>
      <c r="X6053" s="575"/>
      <c r="Y6053" s="575"/>
    </row>
    <row r="6054" spans="1:25" s="88" customFormat="1" ht="15.75" hidden="1" thickBot="1">
      <c r="A6054" s="551"/>
      <c r="B6054" s="301"/>
      <c r="C6054" s="361"/>
      <c r="D6054" s="296"/>
      <c r="E6054" s="296"/>
      <c r="F6054" s="294" t="s">
        <v>234</v>
      </c>
      <c r="G6054" s="297" t="s">
        <v>235</v>
      </c>
      <c r="H6054" s="638">
        <f>SUM(H6035,H5924,H5986)</f>
        <v>0</v>
      </c>
      <c r="I6054" s="639"/>
      <c r="J6054" s="639">
        <f>SUM(H6054:I6054)</f>
        <v>0</v>
      </c>
      <c r="K6054" s="575"/>
      <c r="L6054" s="575"/>
      <c r="M6054" s="575"/>
      <c r="N6054" s="575"/>
      <c r="O6054" s="575"/>
      <c r="P6054" s="575"/>
      <c r="Q6054" s="575"/>
      <c r="R6054" s="575"/>
      <c r="S6054" s="575"/>
      <c r="T6054" s="575"/>
      <c r="U6054" s="575"/>
      <c r="V6054" s="575"/>
      <c r="W6054" s="575"/>
      <c r="X6054" s="575"/>
      <c r="Y6054" s="575"/>
    </row>
    <row r="6055" spans="1:25" s="88" customFormat="1" ht="15.75" hidden="1" thickBot="1">
      <c r="A6055" s="551"/>
      <c r="B6055" s="301"/>
      <c r="C6055" s="361"/>
      <c r="D6055" s="296"/>
      <c r="E6055" s="296"/>
      <c r="F6055" s="294" t="s">
        <v>236</v>
      </c>
      <c r="G6055" s="297" t="s">
        <v>237</v>
      </c>
      <c r="H6055" s="634"/>
      <c r="I6055" s="635"/>
      <c r="J6055" s="639">
        <f t="shared" ref="J6055:J6069" si="195">SUM(H6055:I6055)</f>
        <v>0</v>
      </c>
      <c r="K6055" s="575"/>
      <c r="L6055" s="575"/>
      <c r="M6055" s="575"/>
      <c r="N6055" s="575"/>
      <c r="O6055" s="575"/>
      <c r="P6055" s="575"/>
      <c r="Q6055" s="575"/>
      <c r="R6055" s="575"/>
      <c r="S6055" s="575"/>
      <c r="T6055" s="575"/>
      <c r="U6055" s="575"/>
      <c r="V6055" s="575"/>
      <c r="W6055" s="575"/>
      <c r="X6055" s="575"/>
      <c r="Y6055" s="575"/>
    </row>
    <row r="6056" spans="1:25" s="88" customFormat="1" ht="15.75" hidden="1" thickBot="1">
      <c r="A6056" s="551"/>
      <c r="B6056" s="301"/>
      <c r="C6056" s="361"/>
      <c r="D6056" s="296"/>
      <c r="E6056" s="296"/>
      <c r="F6056" s="294" t="s">
        <v>238</v>
      </c>
      <c r="G6056" s="297" t="s">
        <v>239</v>
      </c>
      <c r="H6056" s="634"/>
      <c r="I6056" s="635"/>
      <c r="J6056" s="639">
        <f t="shared" si="195"/>
        <v>0</v>
      </c>
      <c r="K6056" s="575"/>
      <c r="L6056" s="575"/>
      <c r="M6056" s="575"/>
      <c r="N6056" s="575"/>
      <c r="O6056" s="575"/>
      <c r="P6056" s="575"/>
      <c r="Q6056" s="575"/>
      <c r="R6056" s="575"/>
      <c r="S6056" s="575"/>
      <c r="T6056" s="575"/>
      <c r="U6056" s="575"/>
      <c r="V6056" s="575"/>
      <c r="W6056" s="575"/>
      <c r="X6056" s="575"/>
      <c r="Y6056" s="575"/>
    </row>
    <row r="6057" spans="1:25" s="88" customFormat="1" ht="15.75" hidden="1" thickBot="1">
      <c r="A6057" s="551"/>
      <c r="B6057" s="301"/>
      <c r="C6057" s="361"/>
      <c r="D6057" s="296"/>
      <c r="E6057" s="296"/>
      <c r="F6057" s="294" t="s">
        <v>240</v>
      </c>
      <c r="G6057" s="297" t="s">
        <v>241</v>
      </c>
      <c r="H6057" s="634"/>
      <c r="I6057" s="635"/>
      <c r="J6057" s="639">
        <f t="shared" si="195"/>
        <v>0</v>
      </c>
      <c r="K6057" s="575"/>
      <c r="L6057" s="575"/>
      <c r="M6057" s="575"/>
      <c r="N6057" s="575"/>
      <c r="O6057" s="575"/>
      <c r="P6057" s="575"/>
      <c r="Q6057" s="575"/>
      <c r="R6057" s="575"/>
      <c r="S6057" s="575"/>
      <c r="T6057" s="575"/>
      <c r="U6057" s="575"/>
      <c r="V6057" s="575"/>
      <c r="W6057" s="575"/>
      <c r="X6057" s="575"/>
      <c r="Y6057" s="575"/>
    </row>
    <row r="6058" spans="1:25" s="88" customFormat="1" ht="15.75" hidden="1" thickBot="1">
      <c r="A6058" s="551"/>
      <c r="B6058" s="301"/>
      <c r="C6058" s="361"/>
      <c r="D6058" s="296"/>
      <c r="E6058" s="296"/>
      <c r="F6058" s="294" t="s">
        <v>242</v>
      </c>
      <c r="G6058" s="297" t="s">
        <v>243</v>
      </c>
      <c r="H6058" s="634"/>
      <c r="I6058" s="635"/>
      <c r="J6058" s="639">
        <f t="shared" si="195"/>
        <v>0</v>
      </c>
      <c r="K6058" s="575"/>
      <c r="L6058" s="575"/>
      <c r="M6058" s="575"/>
      <c r="N6058" s="575"/>
      <c r="O6058" s="575"/>
      <c r="P6058" s="575"/>
      <c r="Q6058" s="575"/>
      <c r="R6058" s="575"/>
      <c r="S6058" s="575"/>
      <c r="T6058" s="575"/>
      <c r="U6058" s="575"/>
      <c r="V6058" s="575"/>
      <c r="W6058" s="575"/>
      <c r="X6058" s="575"/>
      <c r="Y6058" s="575"/>
    </row>
    <row r="6059" spans="1:25" s="88" customFormat="1" ht="15.75" hidden="1" thickBot="1">
      <c r="A6059" s="551"/>
      <c r="B6059" s="301"/>
      <c r="C6059" s="361"/>
      <c r="D6059" s="296"/>
      <c r="E6059" s="296"/>
      <c r="F6059" s="294" t="s">
        <v>244</v>
      </c>
      <c r="G6059" s="297" t="s">
        <v>245</v>
      </c>
      <c r="H6059" s="634"/>
      <c r="I6059" s="635"/>
      <c r="J6059" s="639">
        <f t="shared" si="195"/>
        <v>0</v>
      </c>
      <c r="K6059" s="575"/>
      <c r="L6059" s="575"/>
      <c r="M6059" s="575"/>
      <c r="N6059" s="575"/>
      <c r="O6059" s="575"/>
      <c r="P6059" s="575"/>
      <c r="Q6059" s="575"/>
      <c r="R6059" s="575"/>
      <c r="S6059" s="575"/>
      <c r="T6059" s="575"/>
      <c r="U6059" s="575"/>
      <c r="V6059" s="575"/>
      <c r="W6059" s="575"/>
      <c r="X6059" s="575"/>
      <c r="Y6059" s="575"/>
    </row>
    <row r="6060" spans="1:25" s="88" customFormat="1" ht="15.75" hidden="1" thickBot="1">
      <c r="A6060" s="551"/>
      <c r="B6060" s="301"/>
      <c r="C6060" s="361"/>
      <c r="D6060" s="296"/>
      <c r="E6060" s="296"/>
      <c r="F6060" s="294" t="s">
        <v>246</v>
      </c>
      <c r="G6060" s="683" t="s">
        <v>5121</v>
      </c>
      <c r="H6060" s="634"/>
      <c r="I6060" s="635"/>
      <c r="J6060" s="639">
        <f t="shared" si="195"/>
        <v>0</v>
      </c>
      <c r="K6060" s="575"/>
      <c r="L6060" s="575"/>
      <c r="M6060" s="575"/>
      <c r="N6060" s="575"/>
      <c r="O6060" s="575"/>
      <c r="P6060" s="575"/>
      <c r="Q6060" s="575"/>
      <c r="R6060" s="575"/>
      <c r="S6060" s="575"/>
      <c r="T6060" s="575"/>
      <c r="U6060" s="575"/>
      <c r="V6060" s="575"/>
      <c r="W6060" s="575"/>
      <c r="X6060" s="575"/>
      <c r="Y6060" s="575"/>
    </row>
    <row r="6061" spans="1:25" s="88" customFormat="1" ht="15.75" hidden="1" thickBot="1">
      <c r="A6061" s="551"/>
      <c r="B6061" s="301"/>
      <c r="C6061" s="361"/>
      <c r="D6061" s="296"/>
      <c r="E6061" s="296"/>
      <c r="F6061" s="294" t="s">
        <v>247</v>
      </c>
      <c r="G6061" s="683" t="s">
        <v>5120</v>
      </c>
      <c r="H6061" s="634"/>
      <c r="I6061" s="635"/>
      <c r="J6061" s="639">
        <f t="shared" si="195"/>
        <v>0</v>
      </c>
      <c r="K6061" s="575"/>
      <c r="L6061" s="575"/>
      <c r="M6061" s="575"/>
      <c r="N6061" s="575"/>
      <c r="O6061" s="575"/>
      <c r="P6061" s="575"/>
      <c r="Q6061" s="575"/>
      <c r="R6061" s="575"/>
      <c r="S6061" s="575"/>
      <c r="T6061" s="575"/>
      <c r="U6061" s="575"/>
      <c r="V6061" s="575"/>
      <c r="W6061" s="575"/>
      <c r="X6061" s="575"/>
      <c r="Y6061" s="575"/>
    </row>
    <row r="6062" spans="1:25" s="88" customFormat="1" ht="15.75" hidden="1" thickBot="1">
      <c r="A6062" s="551"/>
      <c r="B6062" s="301"/>
      <c r="C6062" s="361"/>
      <c r="D6062" s="296"/>
      <c r="E6062" s="296"/>
      <c r="F6062" s="294" t="s">
        <v>248</v>
      </c>
      <c r="G6062" s="297" t="s">
        <v>57</v>
      </c>
      <c r="H6062" s="634"/>
      <c r="I6062" s="635"/>
      <c r="J6062" s="639">
        <f t="shared" si="195"/>
        <v>0</v>
      </c>
      <c r="K6062" s="575"/>
      <c r="L6062" s="575"/>
      <c r="M6062" s="575"/>
      <c r="N6062" s="575"/>
      <c r="O6062" s="575"/>
      <c r="P6062" s="575"/>
      <c r="Q6062" s="575"/>
      <c r="R6062" s="575"/>
      <c r="S6062" s="575"/>
      <c r="T6062" s="575"/>
      <c r="U6062" s="575"/>
      <c r="V6062" s="575"/>
      <c r="W6062" s="575"/>
      <c r="X6062" s="575"/>
      <c r="Y6062" s="575"/>
    </row>
    <row r="6063" spans="1:25" s="88" customFormat="1" ht="15.75" hidden="1" thickBot="1">
      <c r="A6063" s="551"/>
      <c r="B6063" s="301"/>
      <c r="C6063" s="361"/>
      <c r="D6063" s="296"/>
      <c r="E6063" s="296"/>
      <c r="F6063" s="294" t="s">
        <v>249</v>
      </c>
      <c r="G6063" s="297" t="s">
        <v>250</v>
      </c>
      <c r="H6063" s="634"/>
      <c r="I6063" s="635"/>
      <c r="J6063" s="639">
        <f t="shared" si="195"/>
        <v>0</v>
      </c>
      <c r="K6063" s="575"/>
      <c r="L6063" s="575"/>
      <c r="M6063" s="575"/>
      <c r="N6063" s="575"/>
      <c r="O6063" s="575"/>
      <c r="P6063" s="575"/>
      <c r="Q6063" s="575"/>
      <c r="R6063" s="575"/>
      <c r="S6063" s="575"/>
      <c r="T6063" s="575"/>
      <c r="U6063" s="575"/>
      <c r="V6063" s="575"/>
      <c r="W6063" s="575"/>
      <c r="X6063" s="575"/>
      <c r="Y6063" s="575"/>
    </row>
    <row r="6064" spans="1:25" s="88" customFormat="1" ht="15.75" hidden="1" thickBot="1">
      <c r="A6064" s="551"/>
      <c r="B6064" s="301"/>
      <c r="C6064" s="361"/>
      <c r="D6064" s="296"/>
      <c r="E6064" s="296"/>
      <c r="F6064" s="294" t="s">
        <v>251</v>
      </c>
      <c r="G6064" s="297" t="s">
        <v>252</v>
      </c>
      <c r="H6064" s="634"/>
      <c r="I6064" s="635"/>
      <c r="J6064" s="639">
        <f t="shared" si="195"/>
        <v>0</v>
      </c>
      <c r="K6064" s="575"/>
      <c r="L6064" s="575"/>
      <c r="M6064" s="575"/>
      <c r="N6064" s="575"/>
      <c r="O6064" s="575"/>
      <c r="P6064" s="575"/>
      <c r="Q6064" s="575"/>
      <c r="R6064" s="575"/>
      <c r="S6064" s="575"/>
      <c r="T6064" s="575"/>
      <c r="U6064" s="575"/>
      <c r="V6064" s="575"/>
      <c r="W6064" s="575"/>
      <c r="X6064" s="575"/>
      <c r="Y6064" s="575"/>
    </row>
    <row r="6065" spans="1:25" s="88" customFormat="1" ht="15.75" hidden="1" thickBot="1">
      <c r="A6065" s="551"/>
      <c r="B6065" s="301"/>
      <c r="C6065" s="361"/>
      <c r="D6065" s="296"/>
      <c r="E6065" s="296"/>
      <c r="F6065" s="294" t="s">
        <v>253</v>
      </c>
      <c r="G6065" s="297" t="s">
        <v>254</v>
      </c>
      <c r="H6065" s="634"/>
      <c r="I6065" s="635"/>
      <c r="J6065" s="639">
        <f t="shared" si="195"/>
        <v>0</v>
      </c>
      <c r="K6065" s="575"/>
      <c r="L6065" s="575"/>
      <c r="M6065" s="575"/>
      <c r="N6065" s="575"/>
      <c r="O6065" s="575"/>
      <c r="P6065" s="575"/>
      <c r="Q6065" s="575"/>
      <c r="R6065" s="575"/>
      <c r="S6065" s="575"/>
      <c r="T6065" s="575"/>
      <c r="U6065" s="575"/>
      <c r="V6065" s="575"/>
      <c r="W6065" s="575"/>
      <c r="X6065" s="575"/>
      <c r="Y6065" s="575"/>
    </row>
    <row r="6066" spans="1:25" s="88" customFormat="1" ht="15.75" hidden="1" thickBot="1">
      <c r="A6066" s="551"/>
      <c r="B6066" s="301"/>
      <c r="C6066" s="361"/>
      <c r="D6066" s="296"/>
      <c r="E6066" s="296"/>
      <c r="F6066" s="294" t="s">
        <v>255</v>
      </c>
      <c r="G6066" s="297" t="s">
        <v>256</v>
      </c>
      <c r="H6066" s="634"/>
      <c r="I6066" s="635"/>
      <c r="J6066" s="639">
        <f t="shared" si="195"/>
        <v>0</v>
      </c>
      <c r="K6066" s="575"/>
      <c r="L6066" s="575"/>
      <c r="M6066" s="575"/>
      <c r="N6066" s="575"/>
      <c r="O6066" s="575"/>
      <c r="P6066" s="575"/>
      <c r="Q6066" s="575"/>
      <c r="R6066" s="575"/>
      <c r="S6066" s="575"/>
      <c r="T6066" s="575"/>
      <c r="U6066" s="575"/>
      <c r="V6066" s="575"/>
      <c r="W6066" s="575"/>
      <c r="X6066" s="575"/>
      <c r="Y6066" s="575"/>
    </row>
    <row r="6067" spans="1:25" s="88" customFormat="1" ht="15.75" hidden="1" thickBot="1">
      <c r="A6067" s="551"/>
      <c r="B6067" s="301"/>
      <c r="C6067" s="361"/>
      <c r="D6067" s="296"/>
      <c r="E6067" s="296"/>
      <c r="F6067" s="294" t="s">
        <v>257</v>
      </c>
      <c r="G6067" s="297" t="s">
        <v>258</v>
      </c>
      <c r="H6067" s="634"/>
      <c r="I6067" s="635"/>
      <c r="J6067" s="639">
        <f t="shared" si="195"/>
        <v>0</v>
      </c>
      <c r="K6067" s="575"/>
      <c r="L6067" s="575"/>
      <c r="M6067" s="575"/>
      <c r="N6067" s="575"/>
      <c r="O6067" s="575"/>
      <c r="P6067" s="575"/>
      <c r="Q6067" s="575"/>
      <c r="R6067" s="575"/>
      <c r="S6067" s="575"/>
      <c r="T6067" s="575"/>
      <c r="U6067" s="575"/>
      <c r="V6067" s="575"/>
      <c r="W6067" s="575"/>
      <c r="X6067" s="575"/>
      <c r="Y6067" s="575"/>
    </row>
    <row r="6068" spans="1:25" s="88" customFormat="1" ht="15.75" hidden="1" thickBot="1">
      <c r="A6068" s="551"/>
      <c r="B6068" s="301"/>
      <c r="C6068" s="361"/>
      <c r="D6068" s="296"/>
      <c r="E6068" s="296"/>
      <c r="F6068" s="294" t="s">
        <v>259</v>
      </c>
      <c r="G6068" s="297" t="s">
        <v>260</v>
      </c>
      <c r="H6068" s="634"/>
      <c r="I6068" s="635"/>
      <c r="J6068" s="639">
        <f t="shared" si="195"/>
        <v>0</v>
      </c>
      <c r="K6068" s="575"/>
      <c r="L6068" s="575"/>
      <c r="M6068" s="575"/>
      <c r="N6068" s="575"/>
      <c r="O6068" s="575"/>
      <c r="P6068" s="575"/>
      <c r="Q6068" s="575"/>
      <c r="R6068" s="575"/>
      <c r="S6068" s="575"/>
      <c r="T6068" s="575"/>
      <c r="U6068" s="575"/>
      <c r="V6068" s="575"/>
      <c r="W6068" s="575"/>
      <c r="X6068" s="575"/>
      <c r="Y6068" s="575"/>
    </row>
    <row r="6069" spans="1:25" s="88" customFormat="1" ht="15.75" hidden="1" thickBot="1">
      <c r="A6069" s="551"/>
      <c r="B6069" s="301"/>
      <c r="C6069" s="361"/>
      <c r="D6069" s="296"/>
      <c r="E6069" s="296"/>
      <c r="F6069" s="294" t="s">
        <v>261</v>
      </c>
      <c r="G6069" s="297" t="s">
        <v>262</v>
      </c>
      <c r="H6069" s="638"/>
      <c r="I6069" s="639"/>
      <c r="J6069" s="639">
        <f t="shared" si="195"/>
        <v>0</v>
      </c>
      <c r="K6069" s="575"/>
      <c r="L6069" s="575"/>
      <c r="M6069" s="575"/>
      <c r="N6069" s="575"/>
      <c r="O6069" s="575"/>
      <c r="P6069" s="575"/>
      <c r="Q6069" s="575"/>
      <c r="R6069" s="575"/>
      <c r="S6069" s="575"/>
      <c r="T6069" s="575"/>
      <c r="U6069" s="575"/>
      <c r="V6069" s="575"/>
      <c r="W6069" s="575"/>
      <c r="X6069" s="575"/>
      <c r="Y6069" s="575"/>
    </row>
    <row r="6070" spans="1:25" s="88" customFormat="1" ht="15.75" hidden="1" thickBot="1">
      <c r="A6070" s="551"/>
      <c r="B6070" s="301"/>
      <c r="C6070" s="361"/>
      <c r="D6070" s="296"/>
      <c r="E6070" s="296"/>
      <c r="F6070" s="263"/>
      <c r="G6070" s="274" t="s">
        <v>4234</v>
      </c>
      <c r="H6070" s="640">
        <f>SUM(H6054:H6069)</f>
        <v>0</v>
      </c>
      <c r="I6070" s="641">
        <f>SUM(I6055:I6069)</f>
        <v>0</v>
      </c>
      <c r="J6070" s="641">
        <f>SUM(J6054:J6069)</f>
        <v>0</v>
      </c>
      <c r="K6070" s="575"/>
      <c r="L6070" s="575"/>
      <c r="M6070" s="575"/>
      <c r="N6070" s="575"/>
      <c r="O6070" s="575"/>
      <c r="P6070" s="575"/>
      <c r="Q6070" s="575"/>
      <c r="R6070" s="575"/>
      <c r="S6070" s="575"/>
      <c r="T6070" s="575"/>
      <c r="U6070" s="575"/>
      <c r="V6070" s="575"/>
      <c r="W6070" s="575"/>
      <c r="X6070" s="575"/>
      <c r="Y6070" s="575"/>
    </row>
    <row r="6071" spans="1:25" hidden="1">
      <c r="G6071" s="331"/>
      <c r="H6071" s="644"/>
      <c r="I6071" s="645"/>
      <c r="J6071" s="645"/>
    </row>
    <row r="6072" spans="1:25" hidden="1">
      <c r="G6072" s="331"/>
      <c r="H6072" s="644"/>
      <c r="I6072" s="645"/>
      <c r="J6072" s="645"/>
    </row>
    <row r="6073" spans="1:25" s="88" customFormat="1" hidden="1">
      <c r="A6073" s="306"/>
      <c r="B6073" s="301"/>
      <c r="C6073" s="310" t="s">
        <v>3576</v>
      </c>
      <c r="D6073" s="310"/>
      <c r="E6073" s="293"/>
      <c r="F6073" s="293"/>
      <c r="G6073" s="351" t="s">
        <v>4252</v>
      </c>
      <c r="H6073" s="651"/>
      <c r="I6073" s="652"/>
      <c r="J6073" s="652"/>
      <c r="K6073" s="575"/>
      <c r="L6073" s="575"/>
      <c r="M6073" s="575"/>
      <c r="N6073" s="575"/>
      <c r="O6073" s="575"/>
      <c r="P6073" s="575"/>
      <c r="Q6073" s="575"/>
      <c r="R6073" s="575"/>
      <c r="S6073" s="575"/>
      <c r="T6073" s="575"/>
      <c r="U6073" s="575"/>
      <c r="V6073" s="575"/>
      <c r="W6073" s="575"/>
      <c r="X6073" s="575"/>
      <c r="Y6073" s="575"/>
    </row>
    <row r="6074" spans="1:25" hidden="1">
      <c r="C6074" s="273" t="s">
        <v>4155</v>
      </c>
      <c r="D6074" s="264"/>
      <c r="G6074" s="307" t="s">
        <v>4107</v>
      </c>
    </row>
    <row r="6075" spans="1:25" s="88" customFormat="1" hidden="1">
      <c r="A6075" s="306"/>
      <c r="B6075" s="301"/>
      <c r="C6075" s="310"/>
      <c r="D6075" s="373">
        <v>451</v>
      </c>
      <c r="E6075" s="374"/>
      <c r="F6075" s="374"/>
      <c r="G6075" s="375" t="s">
        <v>153</v>
      </c>
      <c r="H6075" s="651"/>
      <c r="I6075" s="652"/>
      <c r="J6075" s="652"/>
      <c r="K6075" s="575"/>
      <c r="L6075" s="575"/>
      <c r="M6075" s="575"/>
      <c r="N6075" s="575"/>
      <c r="O6075" s="575"/>
      <c r="P6075" s="575"/>
      <c r="Q6075" s="575"/>
      <c r="R6075" s="575"/>
      <c r="S6075" s="575"/>
      <c r="T6075" s="575"/>
      <c r="U6075" s="575"/>
      <c r="V6075" s="575"/>
      <c r="W6075" s="575"/>
      <c r="X6075" s="575"/>
      <c r="Y6075" s="575"/>
    </row>
    <row r="6076" spans="1:25" hidden="1">
      <c r="F6076" s="308">
        <v>411</v>
      </c>
      <c r="G6076" s="340" t="s">
        <v>4173</v>
      </c>
      <c r="J6076" s="635">
        <f>SUM(H6076:I6076)</f>
        <v>0</v>
      </c>
    </row>
    <row r="6077" spans="1:25" hidden="1">
      <c r="F6077" s="308">
        <v>412</v>
      </c>
      <c r="G6077" s="337" t="s">
        <v>3770</v>
      </c>
      <c r="J6077" s="635">
        <f t="shared" ref="J6077:J6135" si="196">SUM(H6077:I6077)</f>
        <v>0</v>
      </c>
    </row>
    <row r="6078" spans="1:25" hidden="1">
      <c r="F6078" s="308">
        <v>413</v>
      </c>
      <c r="G6078" s="340" t="s">
        <v>4174</v>
      </c>
      <c r="J6078" s="635">
        <f t="shared" si="196"/>
        <v>0</v>
      </c>
    </row>
    <row r="6079" spans="1:25" hidden="1">
      <c r="F6079" s="308">
        <v>414</v>
      </c>
      <c r="G6079" s="340" t="s">
        <v>3773</v>
      </c>
      <c r="J6079" s="635">
        <f t="shared" si="196"/>
        <v>0</v>
      </c>
    </row>
    <row r="6080" spans="1:25" hidden="1">
      <c r="F6080" s="308">
        <v>415</v>
      </c>
      <c r="G6080" s="340" t="s">
        <v>4183</v>
      </c>
      <c r="J6080" s="635">
        <f t="shared" si="196"/>
        <v>0</v>
      </c>
    </row>
    <row r="6081" spans="6:10" hidden="1">
      <c r="F6081" s="308">
        <v>416</v>
      </c>
      <c r="G6081" s="340" t="s">
        <v>4184</v>
      </c>
      <c r="J6081" s="635">
        <f t="shared" si="196"/>
        <v>0</v>
      </c>
    </row>
    <row r="6082" spans="6:10" hidden="1">
      <c r="F6082" s="308">
        <v>417</v>
      </c>
      <c r="G6082" s="340" t="s">
        <v>4185</v>
      </c>
      <c r="J6082" s="635">
        <f t="shared" si="196"/>
        <v>0</v>
      </c>
    </row>
    <row r="6083" spans="6:10" hidden="1">
      <c r="F6083" s="308">
        <v>418</v>
      </c>
      <c r="G6083" s="340" t="s">
        <v>3779</v>
      </c>
      <c r="J6083" s="635">
        <f t="shared" si="196"/>
        <v>0</v>
      </c>
    </row>
    <row r="6084" spans="6:10" hidden="1">
      <c r="F6084" s="308">
        <v>421</v>
      </c>
      <c r="G6084" s="340" t="s">
        <v>3783</v>
      </c>
      <c r="J6084" s="635">
        <f t="shared" si="196"/>
        <v>0</v>
      </c>
    </row>
    <row r="6085" spans="6:10" hidden="1">
      <c r="F6085" s="308">
        <v>422</v>
      </c>
      <c r="G6085" s="340" t="s">
        <v>3784</v>
      </c>
      <c r="J6085" s="635">
        <f t="shared" si="196"/>
        <v>0</v>
      </c>
    </row>
    <row r="6086" spans="6:10" hidden="1">
      <c r="F6086" s="308">
        <v>423</v>
      </c>
      <c r="G6086" s="340" t="s">
        <v>3785</v>
      </c>
      <c r="J6086" s="635">
        <f t="shared" si="196"/>
        <v>0</v>
      </c>
    </row>
    <row r="6087" spans="6:10" hidden="1">
      <c r="F6087" s="308">
        <v>424</v>
      </c>
      <c r="G6087" s="340" t="s">
        <v>3787</v>
      </c>
      <c r="J6087" s="635">
        <f t="shared" si="196"/>
        <v>0</v>
      </c>
    </row>
    <row r="6088" spans="6:10" hidden="1">
      <c r="F6088" s="308">
        <v>425</v>
      </c>
      <c r="G6088" s="340" t="s">
        <v>4186</v>
      </c>
      <c r="J6088" s="635">
        <f t="shared" si="196"/>
        <v>0</v>
      </c>
    </row>
    <row r="6089" spans="6:10" hidden="1">
      <c r="F6089" s="308">
        <v>426</v>
      </c>
      <c r="G6089" s="340" t="s">
        <v>3791</v>
      </c>
      <c r="J6089" s="635">
        <f t="shared" si="196"/>
        <v>0</v>
      </c>
    </row>
    <row r="6090" spans="6:10" hidden="1">
      <c r="F6090" s="308">
        <v>431</v>
      </c>
      <c r="G6090" s="340" t="s">
        <v>4187</v>
      </c>
      <c r="J6090" s="635">
        <f t="shared" si="196"/>
        <v>0</v>
      </c>
    </row>
    <row r="6091" spans="6:10" hidden="1">
      <c r="F6091" s="308">
        <v>432</v>
      </c>
      <c r="G6091" s="340" t="s">
        <v>4188</v>
      </c>
      <c r="J6091" s="635">
        <f t="shared" si="196"/>
        <v>0</v>
      </c>
    </row>
    <row r="6092" spans="6:10" hidden="1">
      <c r="F6092" s="308">
        <v>433</v>
      </c>
      <c r="G6092" s="340" t="s">
        <v>4189</v>
      </c>
      <c r="J6092" s="635">
        <f t="shared" si="196"/>
        <v>0</v>
      </c>
    </row>
    <row r="6093" spans="6:10" hidden="1">
      <c r="F6093" s="308">
        <v>434</v>
      </c>
      <c r="G6093" s="340" t="s">
        <v>4190</v>
      </c>
      <c r="J6093" s="635">
        <f t="shared" si="196"/>
        <v>0</v>
      </c>
    </row>
    <row r="6094" spans="6:10" hidden="1">
      <c r="F6094" s="308">
        <v>435</v>
      </c>
      <c r="G6094" s="340" t="s">
        <v>3798</v>
      </c>
      <c r="J6094" s="635">
        <f t="shared" si="196"/>
        <v>0</v>
      </c>
    </row>
    <row r="6095" spans="6:10" hidden="1">
      <c r="F6095" s="308">
        <v>441</v>
      </c>
      <c r="G6095" s="340" t="s">
        <v>4191</v>
      </c>
      <c r="J6095" s="635">
        <f t="shared" si="196"/>
        <v>0</v>
      </c>
    </row>
    <row r="6096" spans="6:10" hidden="1">
      <c r="F6096" s="308">
        <v>442</v>
      </c>
      <c r="G6096" s="340" t="s">
        <v>4192</v>
      </c>
      <c r="J6096" s="635">
        <f t="shared" si="196"/>
        <v>0</v>
      </c>
    </row>
    <row r="6097" spans="6:10" hidden="1">
      <c r="F6097" s="308">
        <v>443</v>
      </c>
      <c r="G6097" s="340" t="s">
        <v>3803</v>
      </c>
      <c r="J6097" s="635">
        <f t="shared" si="196"/>
        <v>0</v>
      </c>
    </row>
    <row r="6098" spans="6:10" hidden="1">
      <c r="F6098" s="308">
        <v>444</v>
      </c>
      <c r="G6098" s="340" t="s">
        <v>3804</v>
      </c>
      <c r="J6098" s="635">
        <f t="shared" si="196"/>
        <v>0</v>
      </c>
    </row>
    <row r="6099" spans="6:10" ht="30" hidden="1">
      <c r="F6099" s="308">
        <v>4511</v>
      </c>
      <c r="G6099" s="268" t="s">
        <v>1690</v>
      </c>
      <c r="J6099" s="635">
        <f t="shared" si="196"/>
        <v>0</v>
      </c>
    </row>
    <row r="6100" spans="6:10" ht="30" hidden="1">
      <c r="F6100" s="308">
        <v>4512</v>
      </c>
      <c r="G6100" s="268" t="s">
        <v>1699</v>
      </c>
      <c r="J6100" s="635">
        <f t="shared" si="196"/>
        <v>0</v>
      </c>
    </row>
    <row r="6101" spans="6:10" hidden="1">
      <c r="F6101" s="308">
        <v>452</v>
      </c>
      <c r="G6101" s="340" t="s">
        <v>4193</v>
      </c>
      <c r="J6101" s="635">
        <f t="shared" si="196"/>
        <v>0</v>
      </c>
    </row>
    <row r="6102" spans="6:10" hidden="1">
      <c r="F6102" s="308">
        <v>453</v>
      </c>
      <c r="G6102" s="340" t="s">
        <v>4194</v>
      </c>
      <c r="J6102" s="635">
        <f t="shared" si="196"/>
        <v>0</v>
      </c>
    </row>
    <row r="6103" spans="6:10" hidden="1">
      <c r="F6103" s="308">
        <v>454</v>
      </c>
      <c r="G6103" s="340" t="s">
        <v>3809</v>
      </c>
      <c r="J6103" s="635">
        <f t="shared" si="196"/>
        <v>0</v>
      </c>
    </row>
    <row r="6104" spans="6:10" hidden="1">
      <c r="F6104" s="308">
        <v>461</v>
      </c>
      <c r="G6104" s="340" t="s">
        <v>4175</v>
      </c>
      <c r="J6104" s="635">
        <f t="shared" si="196"/>
        <v>0</v>
      </c>
    </row>
    <row r="6105" spans="6:10" hidden="1">
      <c r="F6105" s="308">
        <v>462</v>
      </c>
      <c r="G6105" s="340" t="s">
        <v>3812</v>
      </c>
      <c r="J6105" s="635">
        <f t="shared" si="196"/>
        <v>0</v>
      </c>
    </row>
    <row r="6106" spans="6:10" hidden="1">
      <c r="F6106" s="308">
        <v>4631</v>
      </c>
      <c r="G6106" s="340" t="s">
        <v>3813</v>
      </c>
      <c r="J6106" s="635">
        <f t="shared" si="196"/>
        <v>0</v>
      </c>
    </row>
    <row r="6107" spans="6:10" hidden="1">
      <c r="F6107" s="308">
        <v>4632</v>
      </c>
      <c r="G6107" s="340" t="s">
        <v>3814</v>
      </c>
      <c r="J6107" s="635">
        <f t="shared" si="196"/>
        <v>0</v>
      </c>
    </row>
    <row r="6108" spans="6:10" hidden="1">
      <c r="F6108" s="308">
        <v>464</v>
      </c>
      <c r="G6108" s="340" t="s">
        <v>3815</v>
      </c>
      <c r="J6108" s="635">
        <f t="shared" si="196"/>
        <v>0</v>
      </c>
    </row>
    <row r="6109" spans="6:10" hidden="1">
      <c r="F6109" s="308">
        <v>465</v>
      </c>
      <c r="G6109" s="340" t="s">
        <v>4176</v>
      </c>
      <c r="J6109" s="635">
        <f t="shared" si="196"/>
        <v>0</v>
      </c>
    </row>
    <row r="6110" spans="6:10" hidden="1">
      <c r="F6110" s="308">
        <v>472</v>
      </c>
      <c r="G6110" s="340" t="s">
        <v>3819</v>
      </c>
      <c r="J6110" s="635">
        <f t="shared" si="196"/>
        <v>0</v>
      </c>
    </row>
    <row r="6111" spans="6:10" hidden="1">
      <c r="F6111" s="308">
        <v>481</v>
      </c>
      <c r="G6111" s="340" t="s">
        <v>4195</v>
      </c>
      <c r="J6111" s="635">
        <f t="shared" si="196"/>
        <v>0</v>
      </c>
    </row>
    <row r="6112" spans="6:10" hidden="1">
      <c r="F6112" s="308">
        <v>482</v>
      </c>
      <c r="G6112" s="340" t="s">
        <v>4196</v>
      </c>
      <c r="J6112" s="635">
        <f t="shared" si="196"/>
        <v>0</v>
      </c>
    </row>
    <row r="6113" spans="6:10" hidden="1">
      <c r="F6113" s="308">
        <v>483</v>
      </c>
      <c r="G6113" s="343" t="s">
        <v>4197</v>
      </c>
      <c r="J6113" s="635">
        <f t="shared" si="196"/>
        <v>0</v>
      </c>
    </row>
    <row r="6114" spans="6:10" ht="30" hidden="1">
      <c r="F6114" s="308">
        <v>484</v>
      </c>
      <c r="G6114" s="340" t="s">
        <v>4198</v>
      </c>
      <c r="J6114" s="635">
        <f t="shared" si="196"/>
        <v>0</v>
      </c>
    </row>
    <row r="6115" spans="6:10" ht="30" hidden="1">
      <c r="F6115" s="308">
        <v>485</v>
      </c>
      <c r="G6115" s="340" t="s">
        <v>4199</v>
      </c>
      <c r="J6115" s="635">
        <f t="shared" si="196"/>
        <v>0</v>
      </c>
    </row>
    <row r="6116" spans="6:10" ht="30" hidden="1">
      <c r="F6116" s="308">
        <v>489</v>
      </c>
      <c r="G6116" s="340" t="s">
        <v>3827</v>
      </c>
      <c r="J6116" s="635">
        <f t="shared" si="196"/>
        <v>0</v>
      </c>
    </row>
    <row r="6117" spans="6:10" hidden="1">
      <c r="F6117" s="308">
        <v>494</v>
      </c>
      <c r="G6117" s="340" t="s">
        <v>4177</v>
      </c>
      <c r="J6117" s="635">
        <f t="shared" si="196"/>
        <v>0</v>
      </c>
    </row>
    <row r="6118" spans="6:10" ht="30" hidden="1">
      <c r="F6118" s="308">
        <v>495</v>
      </c>
      <c r="G6118" s="340" t="s">
        <v>4178</v>
      </c>
      <c r="J6118" s="635">
        <f t="shared" si="196"/>
        <v>0</v>
      </c>
    </row>
    <row r="6119" spans="6:10" ht="30" hidden="1">
      <c r="F6119" s="308">
        <v>496</v>
      </c>
      <c r="G6119" s="340" t="s">
        <v>4179</v>
      </c>
      <c r="J6119" s="635">
        <f t="shared" si="196"/>
        <v>0</v>
      </c>
    </row>
    <row r="6120" spans="6:10" hidden="1">
      <c r="F6120" s="308">
        <v>499</v>
      </c>
      <c r="G6120" s="340" t="s">
        <v>4180</v>
      </c>
      <c r="J6120" s="635">
        <f t="shared" si="196"/>
        <v>0</v>
      </c>
    </row>
    <row r="6121" spans="6:10" ht="15.75" hidden="1" thickBot="1">
      <c r="F6121" s="308">
        <v>511</v>
      </c>
      <c r="G6121" s="343" t="s">
        <v>4200</v>
      </c>
      <c r="J6121" s="635">
        <f t="shared" si="196"/>
        <v>0</v>
      </c>
    </row>
    <row r="6122" spans="6:10" ht="15.75" hidden="1" thickBot="1">
      <c r="F6122" s="308">
        <v>512</v>
      </c>
      <c r="G6122" s="343" t="s">
        <v>4201</v>
      </c>
      <c r="J6122" s="635">
        <f t="shared" si="196"/>
        <v>0</v>
      </c>
    </row>
    <row r="6123" spans="6:10" ht="15.75" hidden="1" thickBot="1">
      <c r="F6123" s="308">
        <v>513</v>
      </c>
      <c r="G6123" s="343" t="s">
        <v>4202</v>
      </c>
      <c r="J6123" s="635">
        <f t="shared" si="196"/>
        <v>0</v>
      </c>
    </row>
    <row r="6124" spans="6:10" ht="15.75" hidden="1" thickBot="1">
      <c r="F6124" s="308">
        <v>514</v>
      </c>
      <c r="G6124" s="340" t="s">
        <v>4203</v>
      </c>
      <c r="J6124" s="635">
        <f t="shared" si="196"/>
        <v>0</v>
      </c>
    </row>
    <row r="6125" spans="6:10" ht="15.75" hidden="1" thickBot="1">
      <c r="F6125" s="308">
        <v>515</v>
      </c>
      <c r="G6125" s="340" t="s">
        <v>3838</v>
      </c>
      <c r="J6125" s="635">
        <f t="shared" si="196"/>
        <v>0</v>
      </c>
    </row>
    <row r="6126" spans="6:10" ht="15.75" hidden="1" thickBot="1">
      <c r="F6126" s="308">
        <v>521</v>
      </c>
      <c r="G6126" s="340" t="s">
        <v>4204</v>
      </c>
      <c r="J6126" s="635">
        <f t="shared" si="196"/>
        <v>0</v>
      </c>
    </row>
    <row r="6127" spans="6:10" ht="15.75" hidden="1" thickBot="1">
      <c r="F6127" s="308">
        <v>522</v>
      </c>
      <c r="G6127" s="340" t="s">
        <v>4205</v>
      </c>
      <c r="J6127" s="635">
        <f t="shared" si="196"/>
        <v>0</v>
      </c>
    </row>
    <row r="6128" spans="6:10" ht="15.75" hidden="1" thickBot="1">
      <c r="F6128" s="308">
        <v>523</v>
      </c>
      <c r="G6128" s="340" t="s">
        <v>3843</v>
      </c>
      <c r="J6128" s="635">
        <f t="shared" si="196"/>
        <v>0</v>
      </c>
    </row>
    <row r="6129" spans="5:10" ht="15.75" hidden="1" thickBot="1">
      <c r="F6129" s="308">
        <v>531</v>
      </c>
      <c r="G6129" s="337" t="s">
        <v>4181</v>
      </c>
      <c r="J6129" s="635">
        <f t="shared" si="196"/>
        <v>0</v>
      </c>
    </row>
    <row r="6130" spans="5:10" ht="15.75" hidden="1" thickBot="1">
      <c r="F6130" s="308">
        <v>541</v>
      </c>
      <c r="G6130" s="340" t="s">
        <v>4206</v>
      </c>
      <c r="J6130" s="635">
        <f t="shared" si="196"/>
        <v>0</v>
      </c>
    </row>
    <row r="6131" spans="5:10" ht="15.75" hidden="1" thickBot="1">
      <c r="F6131" s="308">
        <v>542</v>
      </c>
      <c r="G6131" s="340" t="s">
        <v>4207</v>
      </c>
      <c r="J6131" s="635">
        <f t="shared" si="196"/>
        <v>0</v>
      </c>
    </row>
    <row r="6132" spans="5:10" ht="15.75" hidden="1" thickBot="1">
      <c r="F6132" s="308">
        <v>543</v>
      </c>
      <c r="G6132" s="340" t="s">
        <v>3848</v>
      </c>
      <c r="J6132" s="635">
        <f t="shared" si="196"/>
        <v>0</v>
      </c>
    </row>
    <row r="6133" spans="5:10" ht="30.75" hidden="1" thickBot="1">
      <c r="F6133" s="308">
        <v>551</v>
      </c>
      <c r="G6133" s="340" t="s">
        <v>4182</v>
      </c>
      <c r="J6133" s="635">
        <f t="shared" si="196"/>
        <v>0</v>
      </c>
    </row>
    <row r="6134" spans="5:10" ht="15.75" hidden="1" thickBot="1">
      <c r="F6134" s="309">
        <v>611</v>
      </c>
      <c r="G6134" s="344" t="s">
        <v>3854</v>
      </c>
      <c r="J6134" s="635">
        <f t="shared" si="196"/>
        <v>0</v>
      </c>
    </row>
    <row r="6135" spans="5:10" ht="15.75" hidden="1" thickBot="1">
      <c r="F6135" s="309">
        <v>620</v>
      </c>
      <c r="G6135" s="344" t="s">
        <v>88</v>
      </c>
      <c r="J6135" s="635">
        <f t="shared" si="196"/>
        <v>0</v>
      </c>
    </row>
    <row r="6136" spans="5:10" hidden="1">
      <c r="E6136" s="338"/>
      <c r="F6136" s="346"/>
      <c r="G6136" s="371" t="s">
        <v>4367</v>
      </c>
      <c r="H6136" s="636"/>
      <c r="I6136" s="662"/>
      <c r="J6136" s="637"/>
    </row>
    <row r="6137" spans="5:10" ht="15.75" hidden="1" thickBot="1">
      <c r="E6137" s="267"/>
      <c r="F6137" s="294" t="s">
        <v>234</v>
      </c>
      <c r="G6137" s="297" t="s">
        <v>235</v>
      </c>
      <c r="H6137" s="638">
        <f>SUM(H6076:H6135)</f>
        <v>0</v>
      </c>
      <c r="I6137" s="639"/>
      <c r="J6137" s="639">
        <f>SUM(H6137:I6137)</f>
        <v>0</v>
      </c>
    </row>
    <row r="6138" spans="5:10" ht="15.75" hidden="1" thickBot="1">
      <c r="F6138" s="294" t="s">
        <v>236</v>
      </c>
      <c r="G6138" s="297" t="s">
        <v>237</v>
      </c>
      <c r="J6138" s="639">
        <f t="shared" ref="J6138:J6152" si="197">SUM(H6138:I6138)</f>
        <v>0</v>
      </c>
    </row>
    <row r="6139" spans="5:10" ht="15.75" hidden="1" thickBot="1">
      <c r="F6139" s="294" t="s">
        <v>238</v>
      </c>
      <c r="G6139" s="297" t="s">
        <v>239</v>
      </c>
      <c r="J6139" s="639">
        <f t="shared" si="197"/>
        <v>0</v>
      </c>
    </row>
    <row r="6140" spans="5:10" ht="15.75" hidden="1" thickBot="1">
      <c r="F6140" s="294" t="s">
        <v>240</v>
      </c>
      <c r="G6140" s="297" t="s">
        <v>241</v>
      </c>
      <c r="J6140" s="639">
        <f t="shared" si="197"/>
        <v>0</v>
      </c>
    </row>
    <row r="6141" spans="5:10" ht="15.75" hidden="1" thickBot="1">
      <c r="F6141" s="294" t="s">
        <v>242</v>
      </c>
      <c r="G6141" s="297" t="s">
        <v>243</v>
      </c>
      <c r="J6141" s="639">
        <f t="shared" si="197"/>
        <v>0</v>
      </c>
    </row>
    <row r="6142" spans="5:10" ht="15.75" hidden="1" thickBot="1">
      <c r="F6142" s="294" t="s">
        <v>244</v>
      </c>
      <c r="G6142" s="297" t="s">
        <v>245</v>
      </c>
      <c r="J6142" s="639">
        <f t="shared" si="197"/>
        <v>0</v>
      </c>
    </row>
    <row r="6143" spans="5:10" ht="15.75" hidden="1" thickBot="1">
      <c r="F6143" s="294" t="s">
        <v>246</v>
      </c>
      <c r="G6143" s="683" t="s">
        <v>5121</v>
      </c>
      <c r="J6143" s="639">
        <f t="shared" si="197"/>
        <v>0</v>
      </c>
    </row>
    <row r="6144" spans="5:10" ht="15.75" hidden="1" thickBot="1">
      <c r="F6144" s="294" t="s">
        <v>247</v>
      </c>
      <c r="G6144" s="683" t="s">
        <v>5120</v>
      </c>
      <c r="J6144" s="639">
        <f t="shared" si="197"/>
        <v>0</v>
      </c>
    </row>
    <row r="6145" spans="5:10" ht="15.75" hidden="1" thickBot="1">
      <c r="F6145" s="294" t="s">
        <v>248</v>
      </c>
      <c r="G6145" s="297" t="s">
        <v>57</v>
      </c>
      <c r="J6145" s="639">
        <f t="shared" si="197"/>
        <v>0</v>
      </c>
    </row>
    <row r="6146" spans="5:10" ht="15.75" hidden="1" thickBot="1">
      <c r="F6146" s="294" t="s">
        <v>249</v>
      </c>
      <c r="G6146" s="297" t="s">
        <v>250</v>
      </c>
      <c r="J6146" s="639">
        <f t="shared" si="197"/>
        <v>0</v>
      </c>
    </row>
    <row r="6147" spans="5:10" ht="15.75" hidden="1" thickBot="1">
      <c r="F6147" s="294" t="s">
        <v>251</v>
      </c>
      <c r="G6147" s="297" t="s">
        <v>252</v>
      </c>
      <c r="J6147" s="639">
        <f t="shared" si="197"/>
        <v>0</v>
      </c>
    </row>
    <row r="6148" spans="5:10" ht="15.75" hidden="1" thickBot="1">
      <c r="F6148" s="294" t="s">
        <v>253</v>
      </c>
      <c r="G6148" s="297" t="s">
        <v>254</v>
      </c>
      <c r="J6148" s="639">
        <f t="shared" si="197"/>
        <v>0</v>
      </c>
    </row>
    <row r="6149" spans="5:10" ht="15.75" hidden="1" thickBot="1">
      <c r="F6149" s="294" t="s">
        <v>255</v>
      </c>
      <c r="G6149" s="297" t="s">
        <v>256</v>
      </c>
      <c r="J6149" s="639">
        <f t="shared" si="197"/>
        <v>0</v>
      </c>
    </row>
    <row r="6150" spans="5:10" ht="15.75" hidden="1" thickBot="1">
      <c r="F6150" s="294" t="s">
        <v>257</v>
      </c>
      <c r="G6150" s="297" t="s">
        <v>258</v>
      </c>
      <c r="J6150" s="639">
        <f t="shared" si="197"/>
        <v>0</v>
      </c>
    </row>
    <row r="6151" spans="5:10" ht="15.75" hidden="1" thickBot="1">
      <c r="F6151" s="294" t="s">
        <v>259</v>
      </c>
      <c r="G6151" s="297" t="s">
        <v>260</v>
      </c>
      <c r="J6151" s="639">
        <f t="shared" si="197"/>
        <v>0</v>
      </c>
    </row>
    <row r="6152" spans="5:10" ht="15.75" hidden="1" thickBot="1">
      <c r="F6152" s="294" t="s">
        <v>261</v>
      </c>
      <c r="G6152" s="297" t="s">
        <v>262</v>
      </c>
      <c r="H6152" s="638"/>
      <c r="I6152" s="639"/>
      <c r="J6152" s="639">
        <f t="shared" si="197"/>
        <v>0</v>
      </c>
    </row>
    <row r="6153" spans="5:10" ht="15.75" hidden="1" thickBot="1">
      <c r="G6153" s="274" t="s">
        <v>4366</v>
      </c>
      <c r="H6153" s="640">
        <f>SUM(H6137:H6152)</f>
        <v>0</v>
      </c>
      <c r="I6153" s="641">
        <f>SUM(I6138:I6152)</f>
        <v>0</v>
      </c>
      <c r="J6153" s="641">
        <f>SUM(J6137:J6152)</f>
        <v>0</v>
      </c>
    </row>
    <row r="6154" spans="5:10" hidden="1" collapsed="1">
      <c r="E6154" s="305"/>
      <c r="F6154" s="309"/>
      <c r="G6154" s="276" t="s">
        <v>4253</v>
      </c>
      <c r="H6154" s="642"/>
      <c r="I6154" s="663"/>
      <c r="J6154" s="643"/>
    </row>
    <row r="6155" spans="5:10" ht="15.75" hidden="1" thickBot="1">
      <c r="E6155" s="267"/>
      <c r="F6155" s="294" t="s">
        <v>234</v>
      </c>
      <c r="G6155" s="297" t="s">
        <v>235</v>
      </c>
      <c r="H6155" s="638">
        <f>SUM(H6076:H6135)</f>
        <v>0</v>
      </c>
      <c r="I6155" s="639"/>
      <c r="J6155" s="639">
        <f>SUM(H6155:I6155)</f>
        <v>0</v>
      </c>
    </row>
    <row r="6156" spans="5:10" ht="15.75" hidden="1" thickBot="1">
      <c r="F6156" s="294" t="s">
        <v>236</v>
      </c>
      <c r="G6156" s="297" t="s">
        <v>237</v>
      </c>
      <c r="J6156" s="639">
        <f t="shared" ref="J6156:J6170" si="198">SUM(H6156:I6156)</f>
        <v>0</v>
      </c>
    </row>
    <row r="6157" spans="5:10" ht="15.75" hidden="1" thickBot="1">
      <c r="F6157" s="294" t="s">
        <v>238</v>
      </c>
      <c r="G6157" s="297" t="s">
        <v>239</v>
      </c>
      <c r="J6157" s="639">
        <f t="shared" si="198"/>
        <v>0</v>
      </c>
    </row>
    <row r="6158" spans="5:10" ht="15.75" hidden="1" thickBot="1">
      <c r="F6158" s="294" t="s">
        <v>240</v>
      </c>
      <c r="G6158" s="297" t="s">
        <v>241</v>
      </c>
      <c r="J6158" s="639">
        <f t="shared" si="198"/>
        <v>0</v>
      </c>
    </row>
    <row r="6159" spans="5:10" ht="15.75" hidden="1" thickBot="1">
      <c r="F6159" s="294" t="s">
        <v>242</v>
      </c>
      <c r="G6159" s="297" t="s">
        <v>243</v>
      </c>
      <c r="J6159" s="639">
        <f t="shared" si="198"/>
        <v>0</v>
      </c>
    </row>
    <row r="6160" spans="5:10" ht="15.75" hidden="1" thickBot="1">
      <c r="F6160" s="294" t="s">
        <v>244</v>
      </c>
      <c r="G6160" s="297" t="s">
        <v>245</v>
      </c>
      <c r="J6160" s="639">
        <f t="shared" si="198"/>
        <v>0</v>
      </c>
    </row>
    <row r="6161" spans="1:25" ht="15.75" hidden="1" thickBot="1">
      <c r="F6161" s="294" t="s">
        <v>246</v>
      </c>
      <c r="G6161" s="683" t="s">
        <v>5121</v>
      </c>
      <c r="J6161" s="639">
        <f t="shared" si="198"/>
        <v>0</v>
      </c>
    </row>
    <row r="6162" spans="1:25" ht="15.75" hidden="1" thickBot="1">
      <c r="F6162" s="294" t="s">
        <v>247</v>
      </c>
      <c r="G6162" s="683" t="s">
        <v>5120</v>
      </c>
      <c r="J6162" s="639">
        <f t="shared" si="198"/>
        <v>0</v>
      </c>
    </row>
    <row r="6163" spans="1:25" ht="15.75" hidden="1" thickBot="1">
      <c r="F6163" s="294" t="s">
        <v>248</v>
      </c>
      <c r="G6163" s="297" t="s">
        <v>57</v>
      </c>
      <c r="J6163" s="639">
        <f t="shared" si="198"/>
        <v>0</v>
      </c>
    </row>
    <row r="6164" spans="1:25" ht="15.75" hidden="1" thickBot="1">
      <c r="F6164" s="294" t="s">
        <v>249</v>
      </c>
      <c r="G6164" s="297" t="s">
        <v>250</v>
      </c>
      <c r="J6164" s="639">
        <f t="shared" si="198"/>
        <v>0</v>
      </c>
    </row>
    <row r="6165" spans="1:25" ht="15.75" hidden="1" thickBot="1">
      <c r="F6165" s="294" t="s">
        <v>251</v>
      </c>
      <c r="G6165" s="297" t="s">
        <v>252</v>
      </c>
      <c r="J6165" s="639">
        <f t="shared" si="198"/>
        <v>0</v>
      </c>
    </row>
    <row r="6166" spans="1:25" ht="15.75" hidden="1" thickBot="1">
      <c r="F6166" s="294" t="s">
        <v>253</v>
      </c>
      <c r="G6166" s="297" t="s">
        <v>254</v>
      </c>
      <c r="J6166" s="639">
        <f t="shared" si="198"/>
        <v>0</v>
      </c>
    </row>
    <row r="6167" spans="1:25" ht="15.75" hidden="1" thickBot="1">
      <c r="F6167" s="294" t="s">
        <v>255</v>
      </c>
      <c r="G6167" s="297" t="s">
        <v>256</v>
      </c>
      <c r="J6167" s="639">
        <f t="shared" si="198"/>
        <v>0</v>
      </c>
    </row>
    <row r="6168" spans="1:25" ht="15.75" hidden="1" thickBot="1">
      <c r="F6168" s="294" t="s">
        <v>257</v>
      </c>
      <c r="G6168" s="297" t="s">
        <v>258</v>
      </c>
      <c r="J6168" s="639">
        <f t="shared" si="198"/>
        <v>0</v>
      </c>
    </row>
    <row r="6169" spans="1:25" ht="15.75" hidden="1" thickBot="1">
      <c r="F6169" s="294" t="s">
        <v>259</v>
      </c>
      <c r="G6169" s="297" t="s">
        <v>260</v>
      </c>
      <c r="J6169" s="639">
        <f t="shared" si="198"/>
        <v>0</v>
      </c>
    </row>
    <row r="6170" spans="1:25" ht="15.75" hidden="1" thickBot="1">
      <c r="F6170" s="294" t="s">
        <v>261</v>
      </c>
      <c r="G6170" s="297" t="s">
        <v>262</v>
      </c>
      <c r="H6170" s="638"/>
      <c r="I6170" s="639"/>
      <c r="J6170" s="639">
        <f t="shared" si="198"/>
        <v>0</v>
      </c>
    </row>
    <row r="6171" spans="1:25" ht="15.75" hidden="1" collapsed="1" thickBot="1">
      <c r="G6171" s="274" t="s">
        <v>4254</v>
      </c>
      <c r="H6171" s="640">
        <f>SUM(H6155:H6170)</f>
        <v>0</v>
      </c>
      <c r="I6171" s="641">
        <f>SUM(I6156:I6170)</f>
        <v>0</v>
      </c>
      <c r="J6171" s="641">
        <f>SUM(J6155:J6170)</f>
        <v>0</v>
      </c>
    </row>
    <row r="6172" spans="1:25" s="88" customFormat="1" hidden="1">
      <c r="A6172" s="306"/>
      <c r="B6172" s="301"/>
      <c r="C6172" s="310"/>
      <c r="G6172" s="320"/>
      <c r="H6172" s="651"/>
      <c r="I6172" s="652"/>
      <c r="J6172" s="652"/>
      <c r="K6172" s="575"/>
      <c r="L6172" s="575"/>
      <c r="M6172" s="575"/>
      <c r="N6172" s="575"/>
      <c r="O6172" s="575"/>
      <c r="P6172" s="575"/>
      <c r="Q6172" s="575"/>
      <c r="R6172" s="575"/>
      <c r="S6172" s="575"/>
      <c r="T6172" s="575"/>
      <c r="U6172" s="575"/>
      <c r="V6172" s="575"/>
      <c r="W6172" s="575"/>
      <c r="X6172" s="575"/>
      <c r="Y6172" s="575"/>
    </row>
    <row r="6173" spans="1:25" s="88" customFormat="1" hidden="1">
      <c r="A6173" s="306"/>
      <c r="B6173" s="301"/>
      <c r="C6173" s="361"/>
      <c r="D6173" s="296"/>
      <c r="E6173" s="296"/>
      <c r="F6173" s="309"/>
      <c r="G6173" s="295" t="s">
        <v>4255</v>
      </c>
      <c r="H6173" s="646"/>
      <c r="I6173" s="664"/>
      <c r="J6173" s="647"/>
      <c r="K6173" s="575"/>
      <c r="L6173" s="575"/>
      <c r="M6173" s="575"/>
      <c r="N6173" s="575"/>
      <c r="O6173" s="575"/>
      <c r="P6173" s="575"/>
      <c r="Q6173" s="575"/>
      <c r="R6173" s="575"/>
      <c r="S6173" s="575"/>
      <c r="T6173" s="575"/>
      <c r="U6173" s="575"/>
      <c r="V6173" s="575"/>
      <c r="W6173" s="575"/>
      <c r="X6173" s="575"/>
      <c r="Y6173" s="575"/>
    </row>
    <row r="6174" spans="1:25" s="88" customFormat="1" ht="15.75" hidden="1" thickBot="1">
      <c r="A6174" s="306"/>
      <c r="B6174" s="301"/>
      <c r="C6174" s="361"/>
      <c r="D6174" s="296"/>
      <c r="E6174" s="296"/>
      <c r="F6174" s="294" t="s">
        <v>234</v>
      </c>
      <c r="G6174" s="297" t="s">
        <v>235</v>
      </c>
      <c r="H6174" s="638">
        <f>SUM(H6155)</f>
        <v>0</v>
      </c>
      <c r="I6174" s="639"/>
      <c r="J6174" s="639">
        <f>SUM(H6174:I6174)</f>
        <v>0</v>
      </c>
      <c r="K6174" s="575"/>
      <c r="L6174" s="575"/>
      <c r="M6174" s="575"/>
      <c r="N6174" s="575"/>
      <c r="O6174" s="575"/>
      <c r="P6174" s="575"/>
      <c r="Q6174" s="575"/>
      <c r="R6174" s="575"/>
      <c r="S6174" s="575"/>
      <c r="T6174" s="575"/>
      <c r="U6174" s="575"/>
      <c r="V6174" s="575"/>
      <c r="W6174" s="575"/>
      <c r="X6174" s="575"/>
      <c r="Y6174" s="575"/>
    </row>
    <row r="6175" spans="1:25" s="88" customFormat="1" ht="15.75" hidden="1" thickBot="1">
      <c r="A6175" s="306"/>
      <c r="B6175" s="301"/>
      <c r="C6175" s="361"/>
      <c r="D6175" s="296"/>
      <c r="E6175" s="296"/>
      <c r="F6175" s="294" t="s">
        <v>236</v>
      </c>
      <c r="G6175" s="297" t="s">
        <v>237</v>
      </c>
      <c r="H6175" s="634"/>
      <c r="I6175" s="635"/>
      <c r="J6175" s="639">
        <f t="shared" ref="J6175:J6189" si="199">SUM(H6175:I6175)</f>
        <v>0</v>
      </c>
      <c r="K6175" s="575"/>
      <c r="L6175" s="575"/>
      <c r="M6175" s="575"/>
      <c r="N6175" s="575"/>
      <c r="O6175" s="575"/>
      <c r="P6175" s="575"/>
      <c r="Q6175" s="575"/>
      <c r="R6175" s="575"/>
      <c r="S6175" s="575"/>
      <c r="T6175" s="575"/>
      <c r="U6175" s="575"/>
      <c r="V6175" s="575"/>
      <c r="W6175" s="575"/>
      <c r="X6175" s="575"/>
      <c r="Y6175" s="575"/>
    </row>
    <row r="6176" spans="1:25" s="88" customFormat="1" ht="15.75" hidden="1" thickBot="1">
      <c r="A6176" s="306"/>
      <c r="B6176" s="301"/>
      <c r="C6176" s="361"/>
      <c r="D6176" s="296"/>
      <c r="E6176" s="296"/>
      <c r="F6176" s="294" t="s">
        <v>238</v>
      </c>
      <c r="G6176" s="297" t="s">
        <v>239</v>
      </c>
      <c r="H6176" s="634"/>
      <c r="I6176" s="635"/>
      <c r="J6176" s="639">
        <f t="shared" si="199"/>
        <v>0</v>
      </c>
      <c r="K6176" s="575"/>
      <c r="L6176" s="575"/>
      <c r="M6176" s="575"/>
      <c r="N6176" s="575"/>
      <c r="O6176" s="575"/>
      <c r="P6176" s="575"/>
      <c r="Q6176" s="575"/>
      <c r="R6176" s="575"/>
      <c r="S6176" s="575"/>
      <c r="T6176" s="575"/>
      <c r="U6176" s="575"/>
      <c r="V6176" s="575"/>
      <c r="W6176" s="575"/>
      <c r="X6176" s="575"/>
      <c r="Y6176" s="575"/>
    </row>
    <row r="6177" spans="1:25" s="88" customFormat="1" ht="15.75" hidden="1" thickBot="1">
      <c r="A6177" s="306"/>
      <c r="B6177" s="301"/>
      <c r="C6177" s="361"/>
      <c r="D6177" s="296"/>
      <c r="E6177" s="296"/>
      <c r="F6177" s="294" t="s">
        <v>240</v>
      </c>
      <c r="G6177" s="297" t="s">
        <v>241</v>
      </c>
      <c r="H6177" s="634"/>
      <c r="I6177" s="635"/>
      <c r="J6177" s="639">
        <f t="shared" si="199"/>
        <v>0</v>
      </c>
      <c r="K6177" s="575"/>
      <c r="L6177" s="575"/>
      <c r="M6177" s="575"/>
      <c r="N6177" s="575"/>
      <c r="O6177" s="575"/>
      <c r="P6177" s="575"/>
      <c r="Q6177" s="575"/>
      <c r="R6177" s="575"/>
      <c r="S6177" s="575"/>
      <c r="T6177" s="575"/>
      <c r="U6177" s="575"/>
      <c r="V6177" s="575"/>
      <c r="W6177" s="575"/>
      <c r="X6177" s="575"/>
      <c r="Y6177" s="575"/>
    </row>
    <row r="6178" spans="1:25" s="88" customFormat="1" ht="15.75" hidden="1" thickBot="1">
      <c r="A6178" s="306"/>
      <c r="B6178" s="301"/>
      <c r="C6178" s="361"/>
      <c r="D6178" s="296"/>
      <c r="E6178" s="296"/>
      <c r="F6178" s="294" t="s">
        <v>242</v>
      </c>
      <c r="G6178" s="297" t="s">
        <v>243</v>
      </c>
      <c r="H6178" s="634"/>
      <c r="I6178" s="635"/>
      <c r="J6178" s="639">
        <f t="shared" si="199"/>
        <v>0</v>
      </c>
      <c r="K6178" s="575"/>
      <c r="L6178" s="575"/>
      <c r="M6178" s="575"/>
      <c r="N6178" s="575"/>
      <c r="O6178" s="575"/>
      <c r="P6178" s="575"/>
      <c r="Q6178" s="575"/>
      <c r="R6178" s="575"/>
      <c r="S6178" s="575"/>
      <c r="T6178" s="575"/>
      <c r="U6178" s="575"/>
      <c r="V6178" s="575"/>
      <c r="W6178" s="575"/>
      <c r="X6178" s="575"/>
      <c r="Y6178" s="575"/>
    </row>
    <row r="6179" spans="1:25" s="88" customFormat="1" ht="15.75" hidden="1" thickBot="1">
      <c r="A6179" s="306"/>
      <c r="B6179" s="301"/>
      <c r="C6179" s="361"/>
      <c r="D6179" s="296"/>
      <c r="E6179" s="296"/>
      <c r="F6179" s="294" t="s">
        <v>244</v>
      </c>
      <c r="G6179" s="297" t="s">
        <v>245</v>
      </c>
      <c r="H6179" s="634"/>
      <c r="I6179" s="635"/>
      <c r="J6179" s="639">
        <f t="shared" si="199"/>
        <v>0</v>
      </c>
      <c r="K6179" s="575"/>
      <c r="L6179" s="575"/>
      <c r="M6179" s="575"/>
      <c r="N6179" s="575"/>
      <c r="O6179" s="575"/>
      <c r="P6179" s="575"/>
      <c r="Q6179" s="575"/>
      <c r="R6179" s="575"/>
      <c r="S6179" s="575"/>
      <c r="T6179" s="575"/>
      <c r="U6179" s="575"/>
      <c r="V6179" s="575"/>
      <c r="W6179" s="575"/>
      <c r="X6179" s="575"/>
      <c r="Y6179" s="575"/>
    </row>
    <row r="6180" spans="1:25" s="88" customFormat="1" ht="15.75" hidden="1" thickBot="1">
      <c r="A6180" s="306"/>
      <c r="B6180" s="301"/>
      <c r="C6180" s="361"/>
      <c r="D6180" s="296"/>
      <c r="E6180" s="296"/>
      <c r="F6180" s="294" t="s">
        <v>246</v>
      </c>
      <c r="G6180" s="683" t="s">
        <v>5121</v>
      </c>
      <c r="H6180" s="634"/>
      <c r="I6180" s="635"/>
      <c r="J6180" s="639">
        <f t="shared" si="199"/>
        <v>0</v>
      </c>
      <c r="K6180" s="575"/>
      <c r="L6180" s="575"/>
      <c r="M6180" s="575"/>
      <c r="N6180" s="575"/>
      <c r="O6180" s="575"/>
      <c r="P6180" s="575"/>
      <c r="Q6180" s="575"/>
      <c r="R6180" s="575"/>
      <c r="S6180" s="575"/>
      <c r="T6180" s="575"/>
      <c r="U6180" s="575"/>
      <c r="V6180" s="575"/>
      <c r="W6180" s="575"/>
      <c r="X6180" s="575"/>
      <c r="Y6180" s="575"/>
    </row>
    <row r="6181" spans="1:25" s="88" customFormat="1" ht="15.75" hidden="1" thickBot="1">
      <c r="A6181" s="306"/>
      <c r="B6181" s="301"/>
      <c r="C6181" s="361"/>
      <c r="D6181" s="296"/>
      <c r="E6181" s="296"/>
      <c r="F6181" s="294" t="s">
        <v>247</v>
      </c>
      <c r="G6181" s="683" t="s">
        <v>5120</v>
      </c>
      <c r="H6181" s="634"/>
      <c r="I6181" s="635"/>
      <c r="J6181" s="639">
        <f t="shared" si="199"/>
        <v>0</v>
      </c>
      <c r="K6181" s="575"/>
      <c r="L6181" s="575"/>
      <c r="M6181" s="575"/>
      <c r="N6181" s="575"/>
      <c r="O6181" s="575"/>
      <c r="P6181" s="575"/>
      <c r="Q6181" s="575"/>
      <c r="R6181" s="575"/>
      <c r="S6181" s="575"/>
      <c r="T6181" s="575"/>
      <c r="U6181" s="575"/>
      <c r="V6181" s="575"/>
      <c r="W6181" s="575"/>
      <c r="X6181" s="575"/>
      <c r="Y6181" s="575"/>
    </row>
    <row r="6182" spans="1:25" s="88" customFormat="1" ht="15.75" hidden="1" thickBot="1">
      <c r="A6182" s="306"/>
      <c r="B6182" s="301"/>
      <c r="C6182" s="361"/>
      <c r="D6182" s="296"/>
      <c r="E6182" s="296"/>
      <c r="F6182" s="294" t="s">
        <v>248</v>
      </c>
      <c r="G6182" s="297" t="s">
        <v>57</v>
      </c>
      <c r="H6182" s="634"/>
      <c r="I6182" s="635"/>
      <c r="J6182" s="639">
        <f t="shared" si="199"/>
        <v>0</v>
      </c>
      <c r="K6182" s="575"/>
      <c r="L6182" s="575"/>
      <c r="M6182" s="575"/>
      <c r="N6182" s="575"/>
      <c r="O6182" s="575"/>
      <c r="P6182" s="575"/>
      <c r="Q6182" s="575"/>
      <c r="R6182" s="575"/>
      <c r="S6182" s="575"/>
      <c r="T6182" s="575"/>
      <c r="U6182" s="575"/>
      <c r="V6182" s="575"/>
      <c r="W6182" s="575"/>
      <c r="X6182" s="575"/>
      <c r="Y6182" s="575"/>
    </row>
    <row r="6183" spans="1:25" s="88" customFormat="1" ht="15.75" hidden="1" thickBot="1">
      <c r="A6183" s="306"/>
      <c r="B6183" s="301"/>
      <c r="C6183" s="361"/>
      <c r="D6183" s="296"/>
      <c r="E6183" s="296"/>
      <c r="F6183" s="294" t="s">
        <v>249</v>
      </c>
      <c r="G6183" s="297" t="s">
        <v>250</v>
      </c>
      <c r="H6183" s="634"/>
      <c r="I6183" s="635"/>
      <c r="J6183" s="639">
        <f t="shared" si="199"/>
        <v>0</v>
      </c>
      <c r="K6183" s="575"/>
      <c r="L6183" s="575"/>
      <c r="M6183" s="575"/>
      <c r="N6183" s="575"/>
      <c r="O6183" s="575"/>
      <c r="P6183" s="575"/>
      <c r="Q6183" s="575"/>
      <c r="R6183" s="575"/>
      <c r="S6183" s="575"/>
      <c r="T6183" s="575"/>
      <c r="U6183" s="575"/>
      <c r="V6183" s="575"/>
      <c r="W6183" s="575"/>
      <c r="X6183" s="575"/>
      <c r="Y6183" s="575"/>
    </row>
    <row r="6184" spans="1:25" s="88" customFormat="1" ht="15.75" hidden="1" thickBot="1">
      <c r="A6184" s="306"/>
      <c r="B6184" s="301"/>
      <c r="C6184" s="361"/>
      <c r="D6184" s="296"/>
      <c r="E6184" s="296"/>
      <c r="F6184" s="294" t="s">
        <v>251</v>
      </c>
      <c r="G6184" s="297" t="s">
        <v>252</v>
      </c>
      <c r="H6184" s="634"/>
      <c r="I6184" s="635"/>
      <c r="J6184" s="639">
        <f t="shared" si="199"/>
        <v>0</v>
      </c>
      <c r="K6184" s="575"/>
      <c r="L6184" s="575"/>
      <c r="M6184" s="575"/>
      <c r="N6184" s="575"/>
      <c r="O6184" s="575"/>
      <c r="P6184" s="575"/>
      <c r="Q6184" s="575"/>
      <c r="R6184" s="575"/>
      <c r="S6184" s="575"/>
      <c r="T6184" s="575"/>
      <c r="U6184" s="575"/>
      <c r="V6184" s="575"/>
      <c r="W6184" s="575"/>
      <c r="X6184" s="575"/>
      <c r="Y6184" s="575"/>
    </row>
    <row r="6185" spans="1:25" s="88" customFormat="1" ht="15.75" hidden="1" thickBot="1">
      <c r="A6185" s="306"/>
      <c r="B6185" s="301"/>
      <c r="C6185" s="361"/>
      <c r="D6185" s="296"/>
      <c r="E6185" s="296"/>
      <c r="F6185" s="294" t="s">
        <v>253</v>
      </c>
      <c r="G6185" s="297" t="s">
        <v>254</v>
      </c>
      <c r="H6185" s="634"/>
      <c r="I6185" s="635"/>
      <c r="J6185" s="639">
        <f t="shared" si="199"/>
        <v>0</v>
      </c>
      <c r="K6185" s="575"/>
      <c r="L6185" s="575"/>
      <c r="M6185" s="575"/>
      <c r="N6185" s="575"/>
      <c r="O6185" s="575"/>
      <c r="P6185" s="575"/>
      <c r="Q6185" s="575"/>
      <c r="R6185" s="575"/>
      <c r="S6185" s="575"/>
      <c r="T6185" s="575"/>
      <c r="U6185" s="575"/>
      <c r="V6185" s="575"/>
      <c r="W6185" s="575"/>
      <c r="X6185" s="575"/>
      <c r="Y6185" s="575"/>
    </row>
    <row r="6186" spans="1:25" s="88" customFormat="1" ht="15.75" hidden="1" thickBot="1">
      <c r="A6186" s="306"/>
      <c r="B6186" s="301"/>
      <c r="C6186" s="361"/>
      <c r="D6186" s="296"/>
      <c r="E6186" s="296"/>
      <c r="F6186" s="294" t="s">
        <v>255</v>
      </c>
      <c r="G6186" s="297" t="s">
        <v>256</v>
      </c>
      <c r="H6186" s="634"/>
      <c r="I6186" s="635"/>
      <c r="J6186" s="639">
        <f t="shared" si="199"/>
        <v>0</v>
      </c>
      <c r="K6186" s="575"/>
      <c r="L6186" s="575"/>
      <c r="M6186" s="575"/>
      <c r="N6186" s="575"/>
      <c r="O6186" s="575"/>
      <c r="P6186" s="575"/>
      <c r="Q6186" s="575"/>
      <c r="R6186" s="575"/>
      <c r="S6186" s="575"/>
      <c r="T6186" s="575"/>
      <c r="U6186" s="575"/>
      <c r="V6186" s="575"/>
      <c r="W6186" s="575"/>
      <c r="X6186" s="575"/>
      <c r="Y6186" s="575"/>
    </row>
    <row r="6187" spans="1:25" s="88" customFormat="1" ht="15.75" hidden="1" thickBot="1">
      <c r="A6187" s="306"/>
      <c r="B6187" s="301"/>
      <c r="C6187" s="361"/>
      <c r="D6187" s="296"/>
      <c r="E6187" s="296"/>
      <c r="F6187" s="294" t="s">
        <v>257</v>
      </c>
      <c r="G6187" s="297" t="s">
        <v>258</v>
      </c>
      <c r="H6187" s="634"/>
      <c r="I6187" s="635"/>
      <c r="J6187" s="639">
        <f t="shared" si="199"/>
        <v>0</v>
      </c>
      <c r="K6187" s="575"/>
      <c r="L6187" s="575"/>
      <c r="M6187" s="575"/>
      <c r="N6187" s="575"/>
      <c r="O6187" s="575"/>
      <c r="P6187" s="575"/>
      <c r="Q6187" s="575"/>
      <c r="R6187" s="575"/>
      <c r="S6187" s="575"/>
      <c r="T6187" s="575"/>
      <c r="U6187" s="575"/>
      <c r="V6187" s="575"/>
      <c r="W6187" s="575"/>
      <c r="X6187" s="575"/>
      <c r="Y6187" s="575"/>
    </row>
    <row r="6188" spans="1:25" s="88" customFormat="1" ht="15.75" hidden="1" thickBot="1">
      <c r="A6188" s="306"/>
      <c r="B6188" s="301"/>
      <c r="C6188" s="361"/>
      <c r="D6188" s="296"/>
      <c r="E6188" s="296"/>
      <c r="F6188" s="294" t="s">
        <v>259</v>
      </c>
      <c r="G6188" s="297" t="s">
        <v>260</v>
      </c>
      <c r="H6188" s="634"/>
      <c r="I6188" s="635"/>
      <c r="J6188" s="639">
        <f t="shared" si="199"/>
        <v>0</v>
      </c>
      <c r="K6188" s="575"/>
      <c r="L6188" s="575"/>
      <c r="M6188" s="575"/>
      <c r="N6188" s="575"/>
      <c r="O6188" s="575"/>
      <c r="P6188" s="575"/>
      <c r="Q6188" s="575"/>
      <c r="R6188" s="575"/>
      <c r="S6188" s="575"/>
      <c r="T6188" s="575"/>
      <c r="U6188" s="575"/>
      <c r="V6188" s="575"/>
      <c r="W6188" s="575"/>
      <c r="X6188" s="575"/>
      <c r="Y6188" s="575"/>
    </row>
    <row r="6189" spans="1:25" s="88" customFormat="1" ht="15.75" hidden="1" thickBot="1">
      <c r="A6189" s="306"/>
      <c r="B6189" s="301"/>
      <c r="C6189" s="361"/>
      <c r="D6189" s="296"/>
      <c r="E6189" s="296"/>
      <c r="F6189" s="294" t="s">
        <v>261</v>
      </c>
      <c r="G6189" s="297" t="s">
        <v>262</v>
      </c>
      <c r="H6189" s="638"/>
      <c r="I6189" s="639"/>
      <c r="J6189" s="639">
        <f t="shared" si="199"/>
        <v>0</v>
      </c>
      <c r="K6189" s="575"/>
      <c r="L6189" s="575"/>
      <c r="M6189" s="575"/>
      <c r="N6189" s="575"/>
      <c r="O6189" s="575"/>
      <c r="P6189" s="575"/>
      <c r="Q6189" s="575"/>
      <c r="R6189" s="575"/>
      <c r="S6189" s="575"/>
      <c r="T6189" s="575"/>
      <c r="U6189" s="575"/>
      <c r="V6189" s="575"/>
      <c r="W6189" s="575"/>
      <c r="X6189" s="575"/>
      <c r="Y6189" s="575"/>
    </row>
    <row r="6190" spans="1:25" s="88" customFormat="1" ht="15.75" hidden="1" thickBot="1">
      <c r="A6190" s="306"/>
      <c r="B6190" s="301"/>
      <c r="C6190" s="361"/>
      <c r="D6190" s="296"/>
      <c r="E6190" s="296"/>
      <c r="F6190" s="263"/>
      <c r="G6190" s="274" t="s">
        <v>4256</v>
      </c>
      <c r="H6190" s="640">
        <f>SUM(H6174:H6189)</f>
        <v>0</v>
      </c>
      <c r="I6190" s="641">
        <f>SUM(I6175:I6189)</f>
        <v>0</v>
      </c>
      <c r="J6190" s="641">
        <f>SUM(J6174:J6189)</f>
        <v>0</v>
      </c>
      <c r="K6190" s="575"/>
      <c r="L6190" s="575"/>
      <c r="M6190" s="575"/>
      <c r="N6190" s="575"/>
      <c r="O6190" s="575"/>
      <c r="P6190" s="575"/>
      <c r="Q6190" s="575"/>
      <c r="R6190" s="575"/>
      <c r="S6190" s="575"/>
      <c r="T6190" s="575"/>
      <c r="U6190" s="575"/>
      <c r="V6190" s="575"/>
      <c r="W6190" s="575"/>
      <c r="X6190" s="575"/>
      <c r="Y6190" s="575"/>
    </row>
    <row r="6191" spans="1:25" hidden="1"/>
    <row r="6192" spans="1:25" s="88" customFormat="1" hidden="1">
      <c r="A6192" s="551"/>
      <c r="B6192" s="301"/>
      <c r="C6192" s="361"/>
      <c r="D6192" s="296"/>
      <c r="E6192" s="296"/>
      <c r="F6192" s="570"/>
      <c r="G6192" s="295" t="s">
        <v>4282</v>
      </c>
      <c r="H6192" s="646"/>
      <c r="I6192" s="664"/>
      <c r="J6192" s="647"/>
      <c r="K6192" s="575"/>
      <c r="L6192" s="575"/>
      <c r="M6192" s="575"/>
      <c r="N6192" s="575"/>
      <c r="O6192" s="575"/>
      <c r="P6192" s="575"/>
      <c r="Q6192" s="575"/>
      <c r="R6192" s="575"/>
      <c r="S6192" s="575"/>
      <c r="T6192" s="575"/>
      <c r="U6192" s="575"/>
      <c r="V6192" s="575"/>
      <c r="W6192" s="575"/>
      <c r="X6192" s="575"/>
      <c r="Y6192" s="575"/>
    </row>
    <row r="6193" spans="1:25" s="88" customFormat="1" ht="15.75" hidden="1" thickBot="1">
      <c r="A6193" s="551"/>
      <c r="B6193" s="301"/>
      <c r="C6193" s="361"/>
      <c r="D6193" s="296"/>
      <c r="E6193" s="296"/>
      <c r="F6193" s="294" t="s">
        <v>234</v>
      </c>
      <c r="G6193" s="297" t="s">
        <v>235</v>
      </c>
      <c r="H6193" s="638">
        <f>SUM(H6174,H6054)</f>
        <v>0</v>
      </c>
      <c r="I6193" s="639"/>
      <c r="J6193" s="639">
        <f>SUM(H6193:I6193)</f>
        <v>0</v>
      </c>
      <c r="K6193" s="575"/>
      <c r="L6193" s="575"/>
      <c r="M6193" s="575"/>
      <c r="N6193" s="575"/>
      <c r="O6193" s="575"/>
      <c r="P6193" s="575"/>
      <c r="Q6193" s="575"/>
      <c r="R6193" s="575"/>
      <c r="S6193" s="575"/>
      <c r="T6193" s="575"/>
      <c r="U6193" s="575"/>
      <c r="V6193" s="575"/>
      <c r="W6193" s="575"/>
      <c r="X6193" s="575"/>
      <c r="Y6193" s="575"/>
    </row>
    <row r="6194" spans="1:25" s="88" customFormat="1" ht="15.75" hidden="1" thickBot="1">
      <c r="A6194" s="551"/>
      <c r="B6194" s="301"/>
      <c r="C6194" s="361"/>
      <c r="D6194" s="296"/>
      <c r="E6194" s="296"/>
      <c r="F6194" s="294" t="s">
        <v>236</v>
      </c>
      <c r="G6194" s="297" t="s">
        <v>237</v>
      </c>
      <c r="H6194" s="634"/>
      <c r="I6194" s="635"/>
      <c r="J6194" s="639">
        <f t="shared" ref="J6194:J6208" si="200">SUM(H6194:I6194)</f>
        <v>0</v>
      </c>
      <c r="K6194" s="575"/>
      <c r="L6194" s="575"/>
      <c r="M6194" s="575"/>
      <c r="N6194" s="575"/>
      <c r="O6194" s="575"/>
      <c r="P6194" s="575"/>
      <c r="Q6194" s="575"/>
      <c r="R6194" s="575"/>
      <c r="S6194" s="575"/>
      <c r="T6194" s="575"/>
      <c r="U6194" s="575"/>
      <c r="V6194" s="575"/>
      <c r="W6194" s="575"/>
      <c r="X6194" s="575"/>
      <c r="Y6194" s="575"/>
    </row>
    <row r="6195" spans="1:25" s="88" customFormat="1" ht="15.75" hidden="1" thickBot="1">
      <c r="A6195" s="551"/>
      <c r="B6195" s="301"/>
      <c r="C6195" s="361"/>
      <c r="D6195" s="296"/>
      <c r="E6195" s="296"/>
      <c r="F6195" s="294" t="s">
        <v>238</v>
      </c>
      <c r="G6195" s="297" t="s">
        <v>239</v>
      </c>
      <c r="H6195" s="634"/>
      <c r="I6195" s="635"/>
      <c r="J6195" s="639">
        <f t="shared" si="200"/>
        <v>0</v>
      </c>
      <c r="K6195" s="575"/>
      <c r="L6195" s="575"/>
      <c r="M6195" s="575"/>
      <c r="N6195" s="575"/>
      <c r="O6195" s="575"/>
      <c r="P6195" s="575"/>
      <c r="Q6195" s="575"/>
      <c r="R6195" s="575"/>
      <c r="S6195" s="575"/>
      <c r="T6195" s="575"/>
      <c r="U6195" s="575"/>
      <c r="V6195" s="575"/>
      <c r="W6195" s="575"/>
      <c r="X6195" s="575"/>
      <c r="Y6195" s="575"/>
    </row>
    <row r="6196" spans="1:25" s="88" customFormat="1" ht="15.75" hidden="1" thickBot="1">
      <c r="A6196" s="551"/>
      <c r="B6196" s="301"/>
      <c r="C6196" s="361"/>
      <c r="D6196" s="296"/>
      <c r="E6196" s="296"/>
      <c r="F6196" s="294" t="s">
        <v>240</v>
      </c>
      <c r="G6196" s="297" t="s">
        <v>241</v>
      </c>
      <c r="H6196" s="634"/>
      <c r="I6196" s="635"/>
      <c r="J6196" s="639">
        <f t="shared" si="200"/>
        <v>0</v>
      </c>
      <c r="K6196" s="575"/>
      <c r="L6196" s="575"/>
      <c r="M6196" s="575"/>
      <c r="N6196" s="575"/>
      <c r="O6196" s="575"/>
      <c r="P6196" s="575"/>
      <c r="Q6196" s="575"/>
      <c r="R6196" s="575"/>
      <c r="S6196" s="575"/>
      <c r="T6196" s="575"/>
      <c r="U6196" s="575"/>
      <c r="V6196" s="575"/>
      <c r="W6196" s="575"/>
      <c r="X6196" s="575"/>
      <c r="Y6196" s="575"/>
    </row>
    <row r="6197" spans="1:25" s="88" customFormat="1" ht="15.75" hidden="1" thickBot="1">
      <c r="A6197" s="551"/>
      <c r="B6197" s="301"/>
      <c r="C6197" s="361"/>
      <c r="D6197" s="296"/>
      <c r="E6197" s="296"/>
      <c r="F6197" s="294" t="s">
        <v>242</v>
      </c>
      <c r="G6197" s="297" t="s">
        <v>243</v>
      </c>
      <c r="H6197" s="634"/>
      <c r="I6197" s="635"/>
      <c r="J6197" s="639">
        <f t="shared" si="200"/>
        <v>0</v>
      </c>
      <c r="K6197" s="575"/>
      <c r="L6197" s="575"/>
      <c r="M6197" s="575"/>
      <c r="N6197" s="575"/>
      <c r="O6197" s="575"/>
      <c r="P6197" s="575"/>
      <c r="Q6197" s="575"/>
      <c r="R6197" s="575"/>
      <c r="S6197" s="575"/>
      <c r="T6197" s="575"/>
      <c r="U6197" s="575"/>
      <c r="V6197" s="575"/>
      <c r="W6197" s="575"/>
      <c r="X6197" s="575"/>
      <c r="Y6197" s="575"/>
    </row>
    <row r="6198" spans="1:25" s="88" customFormat="1" ht="15.75" hidden="1" thickBot="1">
      <c r="A6198" s="551"/>
      <c r="B6198" s="301"/>
      <c r="C6198" s="361"/>
      <c r="D6198" s="296"/>
      <c r="E6198" s="296"/>
      <c r="F6198" s="294" t="s">
        <v>244</v>
      </c>
      <c r="G6198" s="297" t="s">
        <v>245</v>
      </c>
      <c r="H6198" s="634"/>
      <c r="I6198" s="635"/>
      <c r="J6198" s="639">
        <f t="shared" si="200"/>
        <v>0</v>
      </c>
      <c r="K6198" s="575"/>
      <c r="L6198" s="575"/>
      <c r="M6198" s="575"/>
      <c r="N6198" s="575"/>
      <c r="O6198" s="575"/>
      <c r="P6198" s="575"/>
      <c r="Q6198" s="575"/>
      <c r="R6198" s="575"/>
      <c r="S6198" s="575"/>
      <c r="T6198" s="575"/>
      <c r="U6198" s="575"/>
      <c r="V6198" s="575"/>
      <c r="W6198" s="575"/>
      <c r="X6198" s="575"/>
      <c r="Y6198" s="575"/>
    </row>
    <row r="6199" spans="1:25" s="88" customFormat="1" ht="15.75" hidden="1" thickBot="1">
      <c r="A6199" s="551"/>
      <c r="B6199" s="301"/>
      <c r="C6199" s="361"/>
      <c r="D6199" s="296"/>
      <c r="E6199" s="296"/>
      <c r="F6199" s="294" t="s">
        <v>246</v>
      </c>
      <c r="G6199" s="683" t="s">
        <v>5121</v>
      </c>
      <c r="H6199" s="634"/>
      <c r="I6199" s="635"/>
      <c r="J6199" s="639">
        <f t="shared" si="200"/>
        <v>0</v>
      </c>
      <c r="K6199" s="575"/>
      <c r="L6199" s="575"/>
      <c r="M6199" s="575"/>
      <c r="N6199" s="575"/>
      <c r="O6199" s="575"/>
      <c r="P6199" s="575"/>
      <c r="Q6199" s="575"/>
      <c r="R6199" s="575"/>
      <c r="S6199" s="575"/>
      <c r="T6199" s="575"/>
      <c r="U6199" s="575"/>
      <c r="V6199" s="575"/>
      <c r="W6199" s="575"/>
      <c r="X6199" s="575"/>
      <c r="Y6199" s="575"/>
    </row>
    <row r="6200" spans="1:25" s="88" customFormat="1" ht="15.75" hidden="1" thickBot="1">
      <c r="A6200" s="551"/>
      <c r="B6200" s="301"/>
      <c r="C6200" s="361"/>
      <c r="D6200" s="296"/>
      <c r="E6200" s="296"/>
      <c r="F6200" s="294" t="s">
        <v>247</v>
      </c>
      <c r="G6200" s="683" t="s">
        <v>5120</v>
      </c>
      <c r="H6200" s="634"/>
      <c r="I6200" s="635"/>
      <c r="J6200" s="639">
        <f t="shared" si="200"/>
        <v>0</v>
      </c>
      <c r="K6200" s="575"/>
      <c r="L6200" s="575"/>
      <c r="M6200" s="575"/>
      <c r="N6200" s="575"/>
      <c r="O6200" s="575"/>
      <c r="P6200" s="575"/>
      <c r="Q6200" s="575"/>
      <c r="R6200" s="575"/>
      <c r="S6200" s="575"/>
      <c r="T6200" s="575"/>
      <c r="U6200" s="575"/>
      <c r="V6200" s="575"/>
      <c r="W6200" s="575"/>
      <c r="X6200" s="575"/>
      <c r="Y6200" s="575"/>
    </row>
    <row r="6201" spans="1:25" s="88" customFormat="1" ht="15.75" hidden="1" thickBot="1">
      <c r="A6201" s="551"/>
      <c r="B6201" s="301"/>
      <c r="C6201" s="361"/>
      <c r="D6201" s="296"/>
      <c r="E6201" s="296"/>
      <c r="F6201" s="294" t="s">
        <v>248</v>
      </c>
      <c r="G6201" s="297" t="s">
        <v>57</v>
      </c>
      <c r="H6201" s="634"/>
      <c r="I6201" s="635"/>
      <c r="J6201" s="639">
        <f t="shared" si="200"/>
        <v>0</v>
      </c>
      <c r="K6201" s="575"/>
      <c r="L6201" s="575"/>
      <c r="M6201" s="575"/>
      <c r="N6201" s="575"/>
      <c r="O6201" s="575"/>
      <c r="P6201" s="575"/>
      <c r="Q6201" s="575"/>
      <c r="R6201" s="575"/>
      <c r="S6201" s="575"/>
      <c r="T6201" s="575"/>
      <c r="U6201" s="575"/>
      <c r="V6201" s="575"/>
      <c r="W6201" s="575"/>
      <c r="X6201" s="575"/>
      <c r="Y6201" s="575"/>
    </row>
    <row r="6202" spans="1:25" s="88" customFormat="1" ht="15.75" hidden="1" thickBot="1">
      <c r="A6202" s="551"/>
      <c r="B6202" s="301"/>
      <c r="C6202" s="361"/>
      <c r="D6202" s="296"/>
      <c r="E6202" s="296"/>
      <c r="F6202" s="294" t="s">
        <v>249</v>
      </c>
      <c r="G6202" s="297" t="s">
        <v>250</v>
      </c>
      <c r="H6202" s="634"/>
      <c r="I6202" s="635"/>
      <c r="J6202" s="639">
        <f t="shared" si="200"/>
        <v>0</v>
      </c>
      <c r="K6202" s="575"/>
      <c r="L6202" s="575"/>
      <c r="M6202" s="575"/>
      <c r="N6202" s="575"/>
      <c r="O6202" s="575"/>
      <c r="P6202" s="575"/>
      <c r="Q6202" s="575"/>
      <c r="R6202" s="575"/>
      <c r="S6202" s="575"/>
      <c r="T6202" s="575"/>
      <c r="U6202" s="575"/>
      <c r="V6202" s="575"/>
      <c r="W6202" s="575"/>
      <c r="X6202" s="575"/>
      <c r="Y6202" s="575"/>
    </row>
    <row r="6203" spans="1:25" s="88" customFormat="1" ht="15.75" hidden="1" thickBot="1">
      <c r="A6203" s="551"/>
      <c r="B6203" s="301"/>
      <c r="C6203" s="361"/>
      <c r="D6203" s="296"/>
      <c r="E6203" s="296"/>
      <c r="F6203" s="294" t="s">
        <v>251</v>
      </c>
      <c r="G6203" s="297" t="s">
        <v>252</v>
      </c>
      <c r="H6203" s="634"/>
      <c r="I6203" s="635"/>
      <c r="J6203" s="639">
        <f t="shared" si="200"/>
        <v>0</v>
      </c>
      <c r="K6203" s="575"/>
      <c r="L6203" s="575"/>
      <c r="M6203" s="575"/>
      <c r="N6203" s="575"/>
      <c r="O6203" s="575"/>
      <c r="P6203" s="575"/>
      <c r="Q6203" s="575"/>
      <c r="R6203" s="575"/>
      <c r="S6203" s="575"/>
      <c r="T6203" s="575"/>
      <c r="U6203" s="575"/>
      <c r="V6203" s="575"/>
      <c r="W6203" s="575"/>
      <c r="X6203" s="575"/>
      <c r="Y6203" s="575"/>
    </row>
    <row r="6204" spans="1:25" s="88" customFormat="1" ht="15.75" hidden="1" thickBot="1">
      <c r="A6204" s="551"/>
      <c r="B6204" s="301"/>
      <c r="C6204" s="361"/>
      <c r="D6204" s="296"/>
      <c r="E6204" s="296"/>
      <c r="F6204" s="294" t="s">
        <v>253</v>
      </c>
      <c r="G6204" s="297" t="s">
        <v>254</v>
      </c>
      <c r="H6204" s="634"/>
      <c r="I6204" s="635"/>
      <c r="J6204" s="639">
        <f t="shared" si="200"/>
        <v>0</v>
      </c>
      <c r="K6204" s="575"/>
      <c r="L6204" s="575"/>
      <c r="M6204" s="575"/>
      <c r="N6204" s="575"/>
      <c r="O6204" s="575"/>
      <c r="P6204" s="575"/>
      <c r="Q6204" s="575"/>
      <c r="R6204" s="575"/>
      <c r="S6204" s="575"/>
      <c r="T6204" s="575"/>
      <c r="U6204" s="575"/>
      <c r="V6204" s="575"/>
      <c r="W6204" s="575"/>
      <c r="X6204" s="575"/>
      <c r="Y6204" s="575"/>
    </row>
    <row r="6205" spans="1:25" s="88" customFormat="1" ht="15.75" hidden="1" thickBot="1">
      <c r="A6205" s="551"/>
      <c r="B6205" s="301"/>
      <c r="C6205" s="361"/>
      <c r="D6205" s="296"/>
      <c r="E6205" s="296"/>
      <c r="F6205" s="294" t="s">
        <v>255</v>
      </c>
      <c r="G6205" s="297" t="s">
        <v>256</v>
      </c>
      <c r="H6205" s="634"/>
      <c r="I6205" s="635"/>
      <c r="J6205" s="639">
        <f t="shared" si="200"/>
        <v>0</v>
      </c>
      <c r="K6205" s="575"/>
      <c r="L6205" s="575"/>
      <c r="M6205" s="575"/>
      <c r="N6205" s="575"/>
      <c r="O6205" s="575"/>
      <c r="P6205" s="575"/>
      <c r="Q6205" s="575"/>
      <c r="R6205" s="575"/>
      <c r="S6205" s="575"/>
      <c r="T6205" s="575"/>
      <c r="U6205" s="575"/>
      <c r="V6205" s="575"/>
      <c r="W6205" s="575"/>
      <c r="X6205" s="575"/>
      <c r="Y6205" s="575"/>
    </row>
    <row r="6206" spans="1:25" s="88" customFormat="1" ht="15.75" hidden="1" thickBot="1">
      <c r="A6206" s="551"/>
      <c r="B6206" s="301"/>
      <c r="C6206" s="361"/>
      <c r="D6206" s="296"/>
      <c r="E6206" s="296"/>
      <c r="F6206" s="294" t="s">
        <v>257</v>
      </c>
      <c r="G6206" s="297" t="s">
        <v>258</v>
      </c>
      <c r="H6206" s="634"/>
      <c r="I6206" s="635"/>
      <c r="J6206" s="639">
        <f t="shared" si="200"/>
        <v>0</v>
      </c>
      <c r="K6206" s="575"/>
      <c r="L6206" s="575"/>
      <c r="M6206" s="575"/>
      <c r="N6206" s="575"/>
      <c r="O6206" s="575"/>
      <c r="P6206" s="575"/>
      <c r="Q6206" s="575"/>
      <c r="R6206" s="575"/>
      <c r="S6206" s="575"/>
      <c r="T6206" s="575"/>
      <c r="U6206" s="575"/>
      <c r="V6206" s="575"/>
      <c r="W6206" s="575"/>
      <c r="X6206" s="575"/>
      <c r="Y6206" s="575"/>
    </row>
    <row r="6207" spans="1:25" s="88" customFormat="1" ht="15.75" hidden="1" thickBot="1">
      <c r="A6207" s="551"/>
      <c r="B6207" s="301"/>
      <c r="C6207" s="361"/>
      <c r="D6207" s="296"/>
      <c r="E6207" s="296"/>
      <c r="F6207" s="294" t="s">
        <v>259</v>
      </c>
      <c r="G6207" s="297" t="s">
        <v>260</v>
      </c>
      <c r="H6207" s="634"/>
      <c r="I6207" s="635"/>
      <c r="J6207" s="639">
        <f t="shared" si="200"/>
        <v>0</v>
      </c>
      <c r="K6207" s="575"/>
      <c r="L6207" s="575"/>
      <c r="M6207" s="575"/>
      <c r="N6207" s="575"/>
      <c r="O6207" s="575"/>
      <c r="P6207" s="575"/>
      <c r="Q6207" s="575"/>
      <c r="R6207" s="575"/>
      <c r="S6207" s="575"/>
      <c r="T6207" s="575"/>
      <c r="U6207" s="575"/>
      <c r="V6207" s="575"/>
      <c r="W6207" s="575"/>
      <c r="X6207" s="575"/>
      <c r="Y6207" s="575"/>
    </row>
    <row r="6208" spans="1:25" s="88" customFormat="1" ht="15.75" hidden="1" thickBot="1">
      <c r="A6208" s="551"/>
      <c r="B6208" s="301"/>
      <c r="C6208" s="361"/>
      <c r="D6208" s="296"/>
      <c r="E6208" s="296"/>
      <c r="F6208" s="294" t="s">
        <v>261</v>
      </c>
      <c r="G6208" s="297" t="s">
        <v>262</v>
      </c>
      <c r="H6208" s="638"/>
      <c r="I6208" s="639"/>
      <c r="J6208" s="639">
        <f t="shared" si="200"/>
        <v>0</v>
      </c>
      <c r="K6208" s="575"/>
      <c r="L6208" s="575"/>
      <c r="M6208" s="575"/>
      <c r="N6208" s="575"/>
      <c r="O6208" s="575"/>
      <c r="P6208" s="575"/>
      <c r="Q6208" s="575"/>
      <c r="R6208" s="575"/>
      <c r="S6208" s="575"/>
      <c r="T6208" s="575"/>
      <c r="U6208" s="575"/>
      <c r="V6208" s="575"/>
      <c r="W6208" s="575"/>
      <c r="X6208" s="575"/>
      <c r="Y6208" s="575"/>
    </row>
    <row r="6209" spans="1:25" s="88" customFormat="1" ht="15.75" hidden="1" thickBot="1">
      <c r="A6209" s="551"/>
      <c r="B6209" s="301"/>
      <c r="C6209" s="361"/>
      <c r="D6209" s="296"/>
      <c r="E6209" s="296"/>
      <c r="F6209" s="263"/>
      <c r="G6209" s="274" t="s">
        <v>4283</v>
      </c>
      <c r="H6209" s="640">
        <f>SUM(H6193:H6208)</f>
        <v>0</v>
      </c>
      <c r="I6209" s="641">
        <f>SUM(I6194:I6208)</f>
        <v>0</v>
      </c>
      <c r="J6209" s="641">
        <f>SUM(J6193:J6208)</f>
        <v>0</v>
      </c>
      <c r="K6209" s="575"/>
      <c r="L6209" s="575"/>
      <c r="M6209" s="575"/>
      <c r="N6209" s="575"/>
      <c r="O6209" s="575"/>
      <c r="P6209" s="575"/>
      <c r="Q6209" s="575"/>
      <c r="R6209" s="575"/>
      <c r="S6209" s="575"/>
      <c r="T6209" s="575"/>
      <c r="U6209" s="575"/>
      <c r="V6209" s="575"/>
      <c r="W6209" s="575"/>
      <c r="X6209" s="575"/>
      <c r="Y6209" s="575"/>
    </row>
    <row r="6210" spans="1:25" s="88" customFormat="1" hidden="1">
      <c r="A6210" s="551"/>
      <c r="B6210" s="301"/>
      <c r="C6210" s="361"/>
      <c r="D6210" s="296"/>
      <c r="E6210" s="296"/>
      <c r="F6210" s="263"/>
      <c r="G6210" s="331"/>
      <c r="H6210" s="644"/>
      <c r="I6210" s="645"/>
      <c r="J6210" s="645"/>
      <c r="K6210" s="575"/>
      <c r="L6210" s="575"/>
      <c r="M6210" s="575"/>
      <c r="N6210" s="575"/>
      <c r="O6210" s="575"/>
      <c r="P6210" s="575"/>
      <c r="Q6210" s="575"/>
      <c r="R6210" s="575"/>
      <c r="S6210" s="575"/>
      <c r="T6210" s="575"/>
      <c r="U6210" s="575"/>
      <c r="V6210" s="575"/>
      <c r="W6210" s="575"/>
      <c r="X6210" s="575"/>
      <c r="Y6210" s="575"/>
    </row>
    <row r="6211" spans="1:25" hidden="1"/>
    <row r="6212" spans="1:25" s="88" customFormat="1">
      <c r="A6212" s="324"/>
      <c r="B6212" s="678">
        <v>4</v>
      </c>
      <c r="C6212" s="367"/>
      <c r="D6212" s="679"/>
      <c r="E6212" s="679"/>
      <c r="F6212" s="680"/>
      <c r="G6212" s="282" t="s">
        <v>5221</v>
      </c>
      <c r="H6212" s="669"/>
      <c r="I6212" s="633"/>
      <c r="J6212" s="681"/>
      <c r="K6212" s="575"/>
      <c r="L6212" s="575"/>
      <c r="M6212" s="575"/>
      <c r="N6212" s="575"/>
      <c r="O6212" s="575"/>
      <c r="P6212" s="575"/>
      <c r="Q6212" s="575"/>
      <c r="R6212" s="575"/>
      <c r="S6212" s="575"/>
      <c r="T6212" s="575"/>
      <c r="U6212" s="575"/>
      <c r="V6212" s="575"/>
      <c r="W6212" s="575"/>
      <c r="X6212" s="575"/>
      <c r="Y6212" s="575"/>
    </row>
    <row r="6213" spans="1:25" s="88" customFormat="1">
      <c r="A6213" s="306"/>
      <c r="B6213" s="301"/>
      <c r="C6213" s="310" t="s">
        <v>3573</v>
      </c>
      <c r="D6213" s="310"/>
      <c r="E6213" s="293"/>
      <c r="F6213" s="293"/>
      <c r="G6213" s="351" t="s">
        <v>4243</v>
      </c>
      <c r="H6213" s="651"/>
      <c r="I6213" s="652"/>
      <c r="J6213" s="652"/>
      <c r="K6213" s="575"/>
      <c r="L6213" s="575"/>
      <c r="M6213" s="575"/>
      <c r="N6213" s="575"/>
      <c r="O6213" s="575"/>
      <c r="P6213" s="575"/>
      <c r="Q6213" s="575"/>
      <c r="R6213" s="575"/>
      <c r="S6213" s="575"/>
      <c r="T6213" s="575"/>
      <c r="U6213" s="575"/>
      <c r="V6213" s="575"/>
      <c r="W6213" s="575"/>
      <c r="X6213" s="575"/>
      <c r="Y6213" s="575"/>
    </row>
    <row r="6214" spans="1:25" ht="28.5" hidden="1">
      <c r="C6214" s="273" t="s">
        <v>4099</v>
      </c>
      <c r="D6214" s="264"/>
      <c r="G6214" s="307" t="s">
        <v>4100</v>
      </c>
    </row>
    <row r="6215" spans="1:25" s="88" customFormat="1" hidden="1">
      <c r="A6215" s="306"/>
      <c r="B6215" s="301"/>
      <c r="C6215" s="310"/>
      <c r="D6215" s="373">
        <v>550</v>
      </c>
      <c r="E6215" s="374"/>
      <c r="F6215" s="374"/>
      <c r="G6215" s="375" t="s">
        <v>4294</v>
      </c>
      <c r="H6215" s="651"/>
      <c r="I6215" s="652"/>
      <c r="J6215" s="652"/>
      <c r="K6215" s="575"/>
      <c r="L6215" s="575"/>
      <c r="M6215" s="575"/>
      <c r="N6215" s="575"/>
      <c r="O6215" s="575"/>
      <c r="P6215" s="575"/>
      <c r="Q6215" s="575"/>
      <c r="R6215" s="575"/>
      <c r="S6215" s="575"/>
      <c r="T6215" s="575"/>
      <c r="U6215" s="575"/>
      <c r="V6215" s="575"/>
      <c r="W6215" s="575"/>
      <c r="X6215" s="575"/>
      <c r="Y6215" s="575"/>
    </row>
    <row r="6216" spans="1:25" hidden="1">
      <c r="F6216" s="308">
        <v>411</v>
      </c>
      <c r="G6216" s="340" t="s">
        <v>4173</v>
      </c>
      <c r="J6216" s="635">
        <f>SUM(H6216:I6216)</f>
        <v>0</v>
      </c>
    </row>
    <row r="6217" spans="1:25" hidden="1">
      <c r="F6217" s="308">
        <v>412</v>
      </c>
      <c r="G6217" s="337" t="s">
        <v>3770</v>
      </c>
      <c r="J6217" s="635">
        <f t="shared" ref="J6217:J6275" si="201">SUM(H6217:I6217)</f>
        <v>0</v>
      </c>
    </row>
    <row r="6218" spans="1:25" hidden="1">
      <c r="F6218" s="308">
        <v>413</v>
      </c>
      <c r="G6218" s="340" t="s">
        <v>4174</v>
      </c>
      <c r="J6218" s="635">
        <f t="shared" si="201"/>
        <v>0</v>
      </c>
    </row>
    <row r="6219" spans="1:25" hidden="1">
      <c r="F6219" s="308">
        <v>414</v>
      </c>
      <c r="G6219" s="340" t="s">
        <v>3773</v>
      </c>
      <c r="J6219" s="635">
        <f t="shared" si="201"/>
        <v>0</v>
      </c>
    </row>
    <row r="6220" spans="1:25" hidden="1">
      <c r="F6220" s="308">
        <v>415</v>
      </c>
      <c r="G6220" s="340" t="s">
        <v>4183</v>
      </c>
      <c r="J6220" s="635">
        <f t="shared" si="201"/>
        <v>0</v>
      </c>
    </row>
    <row r="6221" spans="1:25" hidden="1">
      <c r="F6221" s="308">
        <v>416</v>
      </c>
      <c r="G6221" s="340" t="s">
        <v>4184</v>
      </c>
      <c r="J6221" s="635">
        <f t="shared" si="201"/>
        <v>0</v>
      </c>
    </row>
    <row r="6222" spans="1:25" hidden="1">
      <c r="F6222" s="308">
        <v>417</v>
      </c>
      <c r="G6222" s="340" t="s">
        <v>4185</v>
      </c>
      <c r="J6222" s="635">
        <f t="shared" si="201"/>
        <v>0</v>
      </c>
    </row>
    <row r="6223" spans="1:25" hidden="1">
      <c r="F6223" s="308">
        <v>418</v>
      </c>
      <c r="G6223" s="340" t="s">
        <v>3779</v>
      </c>
      <c r="J6223" s="635">
        <f t="shared" si="201"/>
        <v>0</v>
      </c>
    </row>
    <row r="6224" spans="1:25" hidden="1">
      <c r="F6224" s="308">
        <v>421</v>
      </c>
      <c r="G6224" s="340" t="s">
        <v>3783</v>
      </c>
      <c r="J6224" s="635">
        <f t="shared" si="201"/>
        <v>0</v>
      </c>
    </row>
    <row r="6225" spans="6:10" hidden="1">
      <c r="F6225" s="308">
        <v>422</v>
      </c>
      <c r="G6225" s="340" t="s">
        <v>3784</v>
      </c>
      <c r="J6225" s="635">
        <f t="shared" si="201"/>
        <v>0</v>
      </c>
    </row>
    <row r="6226" spans="6:10" hidden="1">
      <c r="F6226" s="308">
        <v>423</v>
      </c>
      <c r="G6226" s="340" t="s">
        <v>3785</v>
      </c>
      <c r="J6226" s="635">
        <f t="shared" si="201"/>
        <v>0</v>
      </c>
    </row>
    <row r="6227" spans="6:10" hidden="1">
      <c r="F6227" s="308">
        <v>424</v>
      </c>
      <c r="G6227" s="340" t="s">
        <v>3787</v>
      </c>
      <c r="J6227" s="635">
        <f t="shared" si="201"/>
        <v>0</v>
      </c>
    </row>
    <row r="6228" spans="6:10" hidden="1">
      <c r="F6228" s="308">
        <v>425</v>
      </c>
      <c r="G6228" s="340" t="s">
        <v>4186</v>
      </c>
      <c r="J6228" s="635">
        <f t="shared" si="201"/>
        <v>0</v>
      </c>
    </row>
    <row r="6229" spans="6:10" hidden="1">
      <c r="F6229" s="308">
        <v>426</v>
      </c>
      <c r="G6229" s="340" t="s">
        <v>3791</v>
      </c>
      <c r="J6229" s="635">
        <f t="shared" si="201"/>
        <v>0</v>
      </c>
    </row>
    <row r="6230" spans="6:10" hidden="1">
      <c r="F6230" s="308">
        <v>431</v>
      </c>
      <c r="G6230" s="340" t="s">
        <v>4187</v>
      </c>
      <c r="J6230" s="635">
        <f t="shared" si="201"/>
        <v>0</v>
      </c>
    </row>
    <row r="6231" spans="6:10" hidden="1">
      <c r="F6231" s="308">
        <v>432</v>
      </c>
      <c r="G6231" s="340" t="s">
        <v>4188</v>
      </c>
      <c r="J6231" s="635">
        <f t="shared" si="201"/>
        <v>0</v>
      </c>
    </row>
    <row r="6232" spans="6:10" hidden="1">
      <c r="F6232" s="308">
        <v>433</v>
      </c>
      <c r="G6232" s="340" t="s">
        <v>4189</v>
      </c>
      <c r="J6232" s="635">
        <f t="shared" si="201"/>
        <v>0</v>
      </c>
    </row>
    <row r="6233" spans="6:10" hidden="1">
      <c r="F6233" s="308">
        <v>434</v>
      </c>
      <c r="G6233" s="340" t="s">
        <v>4190</v>
      </c>
      <c r="J6233" s="635">
        <f t="shared" si="201"/>
        <v>0</v>
      </c>
    </row>
    <row r="6234" spans="6:10" hidden="1">
      <c r="F6234" s="308">
        <v>435</v>
      </c>
      <c r="G6234" s="340" t="s">
        <v>3798</v>
      </c>
      <c r="J6234" s="635">
        <f t="shared" si="201"/>
        <v>0</v>
      </c>
    </row>
    <row r="6235" spans="6:10" hidden="1">
      <c r="F6235" s="308">
        <v>441</v>
      </c>
      <c r="G6235" s="340" t="s">
        <v>4191</v>
      </c>
      <c r="J6235" s="635">
        <f t="shared" si="201"/>
        <v>0</v>
      </c>
    </row>
    <row r="6236" spans="6:10" hidden="1">
      <c r="F6236" s="308">
        <v>442</v>
      </c>
      <c r="G6236" s="340" t="s">
        <v>4192</v>
      </c>
      <c r="J6236" s="635">
        <f t="shared" si="201"/>
        <v>0</v>
      </c>
    </row>
    <row r="6237" spans="6:10" hidden="1">
      <c r="F6237" s="308">
        <v>443</v>
      </c>
      <c r="G6237" s="340" t="s">
        <v>3803</v>
      </c>
      <c r="J6237" s="635">
        <f t="shared" si="201"/>
        <v>0</v>
      </c>
    </row>
    <row r="6238" spans="6:10" hidden="1">
      <c r="F6238" s="308">
        <v>444</v>
      </c>
      <c r="G6238" s="340" t="s">
        <v>3804</v>
      </c>
      <c r="J6238" s="635">
        <f t="shared" si="201"/>
        <v>0</v>
      </c>
    </row>
    <row r="6239" spans="6:10" ht="30" hidden="1">
      <c r="F6239" s="308">
        <v>4511</v>
      </c>
      <c r="G6239" s="268" t="s">
        <v>1690</v>
      </c>
      <c r="J6239" s="635">
        <f t="shared" si="201"/>
        <v>0</v>
      </c>
    </row>
    <row r="6240" spans="6:10" ht="19.5" hidden="1" customHeight="1">
      <c r="F6240" s="308">
        <v>4512</v>
      </c>
      <c r="G6240" s="268" t="s">
        <v>1699</v>
      </c>
      <c r="J6240" s="635">
        <f t="shared" si="201"/>
        <v>0</v>
      </c>
    </row>
    <row r="6241" spans="6:10" hidden="1">
      <c r="F6241" s="308">
        <v>452</v>
      </c>
      <c r="G6241" s="340" t="s">
        <v>4193</v>
      </c>
      <c r="J6241" s="635">
        <f t="shared" si="201"/>
        <v>0</v>
      </c>
    </row>
    <row r="6242" spans="6:10" hidden="1">
      <c r="F6242" s="308">
        <v>453</v>
      </c>
      <c r="G6242" s="340" t="s">
        <v>4194</v>
      </c>
      <c r="J6242" s="635">
        <f t="shared" si="201"/>
        <v>0</v>
      </c>
    </row>
    <row r="6243" spans="6:10" hidden="1">
      <c r="F6243" s="308">
        <v>454</v>
      </c>
      <c r="G6243" s="340" t="s">
        <v>3809</v>
      </c>
      <c r="J6243" s="635">
        <f t="shared" si="201"/>
        <v>0</v>
      </c>
    </row>
    <row r="6244" spans="6:10" hidden="1">
      <c r="F6244" s="308">
        <v>461</v>
      </c>
      <c r="G6244" s="340" t="s">
        <v>4175</v>
      </c>
      <c r="J6244" s="635">
        <f t="shared" si="201"/>
        <v>0</v>
      </c>
    </row>
    <row r="6245" spans="6:10" hidden="1">
      <c r="F6245" s="308">
        <v>462</v>
      </c>
      <c r="G6245" s="340" t="s">
        <v>3812</v>
      </c>
      <c r="J6245" s="635">
        <f t="shared" si="201"/>
        <v>0</v>
      </c>
    </row>
    <row r="6246" spans="6:10" hidden="1">
      <c r="F6246" s="308">
        <v>4631</v>
      </c>
      <c r="G6246" s="340" t="s">
        <v>3813</v>
      </c>
      <c r="J6246" s="635">
        <f t="shared" si="201"/>
        <v>0</v>
      </c>
    </row>
    <row r="6247" spans="6:10" hidden="1">
      <c r="F6247" s="308">
        <v>4632</v>
      </c>
      <c r="G6247" s="340" t="s">
        <v>3814</v>
      </c>
      <c r="J6247" s="635">
        <f t="shared" si="201"/>
        <v>0</v>
      </c>
    </row>
    <row r="6248" spans="6:10" hidden="1">
      <c r="F6248" s="308">
        <v>464</v>
      </c>
      <c r="G6248" s="340" t="s">
        <v>3815</v>
      </c>
      <c r="J6248" s="635">
        <f t="shared" si="201"/>
        <v>0</v>
      </c>
    </row>
    <row r="6249" spans="6:10" hidden="1">
      <c r="F6249" s="308">
        <v>465</v>
      </c>
      <c r="G6249" s="340" t="s">
        <v>4176</v>
      </c>
      <c r="J6249" s="635">
        <f t="shared" si="201"/>
        <v>0</v>
      </c>
    </row>
    <row r="6250" spans="6:10" hidden="1">
      <c r="F6250" s="308">
        <v>472</v>
      </c>
      <c r="G6250" s="340" t="s">
        <v>3819</v>
      </c>
      <c r="J6250" s="635">
        <f t="shared" si="201"/>
        <v>0</v>
      </c>
    </row>
    <row r="6251" spans="6:10" ht="15.75" hidden="1" thickBot="1">
      <c r="F6251" s="308">
        <v>481</v>
      </c>
      <c r="G6251" s="340" t="s">
        <v>4195</v>
      </c>
      <c r="J6251" s="635">
        <f t="shared" si="201"/>
        <v>0</v>
      </c>
    </row>
    <row r="6252" spans="6:10" ht="15.75" hidden="1" thickBot="1">
      <c r="F6252" s="308">
        <v>482</v>
      </c>
      <c r="G6252" s="340" t="s">
        <v>4196</v>
      </c>
      <c r="J6252" s="635">
        <f t="shared" si="201"/>
        <v>0</v>
      </c>
    </row>
    <row r="6253" spans="6:10" ht="15.75" hidden="1" thickBot="1">
      <c r="F6253" s="308">
        <v>483</v>
      </c>
      <c r="G6253" s="343" t="s">
        <v>4197</v>
      </c>
      <c r="J6253" s="635">
        <f t="shared" si="201"/>
        <v>0</v>
      </c>
    </row>
    <row r="6254" spans="6:10" ht="30.75" hidden="1" thickBot="1">
      <c r="F6254" s="308">
        <v>484</v>
      </c>
      <c r="G6254" s="340" t="s">
        <v>4198</v>
      </c>
      <c r="J6254" s="635">
        <f t="shared" si="201"/>
        <v>0</v>
      </c>
    </row>
    <row r="6255" spans="6:10" ht="30.75" hidden="1" thickBot="1">
      <c r="F6255" s="308">
        <v>485</v>
      </c>
      <c r="G6255" s="340" t="s">
        <v>4199</v>
      </c>
      <c r="J6255" s="635">
        <f t="shared" si="201"/>
        <v>0</v>
      </c>
    </row>
    <row r="6256" spans="6:10" ht="30.75" hidden="1" thickBot="1">
      <c r="F6256" s="308">
        <v>489</v>
      </c>
      <c r="G6256" s="340" t="s">
        <v>3827</v>
      </c>
      <c r="J6256" s="635">
        <f t="shared" si="201"/>
        <v>0</v>
      </c>
    </row>
    <row r="6257" spans="6:10" ht="15.75" hidden="1" thickBot="1">
      <c r="F6257" s="308">
        <v>494</v>
      </c>
      <c r="G6257" s="340" t="s">
        <v>4177</v>
      </c>
      <c r="J6257" s="635">
        <f t="shared" si="201"/>
        <v>0</v>
      </c>
    </row>
    <row r="6258" spans="6:10" ht="30.75" hidden="1" thickBot="1">
      <c r="F6258" s="308">
        <v>495</v>
      </c>
      <c r="G6258" s="340" t="s">
        <v>4178</v>
      </c>
      <c r="J6258" s="635">
        <f t="shared" si="201"/>
        <v>0</v>
      </c>
    </row>
    <row r="6259" spans="6:10" ht="30.75" hidden="1" thickBot="1">
      <c r="F6259" s="308">
        <v>496</v>
      </c>
      <c r="G6259" s="340" t="s">
        <v>4179</v>
      </c>
      <c r="J6259" s="635">
        <f t="shared" si="201"/>
        <v>0</v>
      </c>
    </row>
    <row r="6260" spans="6:10" ht="15.75" hidden="1" thickBot="1">
      <c r="F6260" s="308">
        <v>499</v>
      </c>
      <c r="G6260" s="340" t="s">
        <v>4180</v>
      </c>
      <c r="J6260" s="635">
        <f t="shared" si="201"/>
        <v>0</v>
      </c>
    </row>
    <row r="6261" spans="6:10" ht="15.75" hidden="1" thickBot="1">
      <c r="F6261" s="308">
        <v>511</v>
      </c>
      <c r="G6261" s="343" t="s">
        <v>4200</v>
      </c>
      <c r="J6261" s="635">
        <f t="shared" si="201"/>
        <v>0</v>
      </c>
    </row>
    <row r="6262" spans="6:10" ht="15.75" hidden="1" thickBot="1">
      <c r="F6262" s="308">
        <v>512</v>
      </c>
      <c r="G6262" s="343" t="s">
        <v>4201</v>
      </c>
      <c r="J6262" s="635">
        <f t="shared" si="201"/>
        <v>0</v>
      </c>
    </row>
    <row r="6263" spans="6:10" ht="15.75" hidden="1" thickBot="1">
      <c r="F6263" s="308">
        <v>513</v>
      </c>
      <c r="G6263" s="343" t="s">
        <v>4202</v>
      </c>
      <c r="J6263" s="635">
        <f t="shared" si="201"/>
        <v>0</v>
      </c>
    </row>
    <row r="6264" spans="6:10" ht="15.75" hidden="1" thickBot="1">
      <c r="F6264" s="308">
        <v>514</v>
      </c>
      <c r="G6264" s="340" t="s">
        <v>4203</v>
      </c>
      <c r="J6264" s="635">
        <f t="shared" si="201"/>
        <v>0</v>
      </c>
    </row>
    <row r="6265" spans="6:10" ht="15.75" hidden="1" thickBot="1">
      <c r="F6265" s="308">
        <v>515</v>
      </c>
      <c r="G6265" s="340" t="s">
        <v>3838</v>
      </c>
      <c r="J6265" s="635">
        <f t="shared" si="201"/>
        <v>0</v>
      </c>
    </row>
    <row r="6266" spans="6:10" ht="15.75" hidden="1" thickBot="1">
      <c r="F6266" s="308">
        <v>521</v>
      </c>
      <c r="G6266" s="340" t="s">
        <v>4204</v>
      </c>
      <c r="J6266" s="635">
        <f t="shared" si="201"/>
        <v>0</v>
      </c>
    </row>
    <row r="6267" spans="6:10" ht="15.75" hidden="1" thickBot="1">
      <c r="F6267" s="308">
        <v>522</v>
      </c>
      <c r="G6267" s="340" t="s">
        <v>4205</v>
      </c>
      <c r="J6267" s="635">
        <f t="shared" si="201"/>
        <v>0</v>
      </c>
    </row>
    <row r="6268" spans="6:10" ht="15.75" hidden="1" thickBot="1">
      <c r="F6268" s="308">
        <v>523</v>
      </c>
      <c r="G6268" s="340" t="s">
        <v>3843</v>
      </c>
      <c r="J6268" s="635">
        <f t="shared" si="201"/>
        <v>0</v>
      </c>
    </row>
    <row r="6269" spans="6:10" ht="15.75" hidden="1" thickBot="1">
      <c r="F6269" s="308">
        <v>531</v>
      </c>
      <c r="G6269" s="337" t="s">
        <v>4181</v>
      </c>
      <c r="J6269" s="635">
        <f t="shared" si="201"/>
        <v>0</v>
      </c>
    </row>
    <row r="6270" spans="6:10" ht="15.75" hidden="1" thickBot="1">
      <c r="F6270" s="308">
        <v>541</v>
      </c>
      <c r="G6270" s="340" t="s">
        <v>4206</v>
      </c>
      <c r="J6270" s="635">
        <f t="shared" si="201"/>
        <v>0</v>
      </c>
    </row>
    <row r="6271" spans="6:10" ht="15.75" hidden="1" thickBot="1">
      <c r="F6271" s="308">
        <v>542</v>
      </c>
      <c r="G6271" s="340" t="s">
        <v>4207</v>
      </c>
      <c r="J6271" s="635">
        <f t="shared" si="201"/>
        <v>0</v>
      </c>
    </row>
    <row r="6272" spans="6:10" ht="15.75" hidden="1" thickBot="1">
      <c r="F6272" s="308">
        <v>543</v>
      </c>
      <c r="G6272" s="340" t="s">
        <v>3848</v>
      </c>
      <c r="J6272" s="635">
        <f t="shared" si="201"/>
        <v>0</v>
      </c>
    </row>
    <row r="6273" spans="5:10" ht="30.75" hidden="1" thickBot="1">
      <c r="F6273" s="308">
        <v>551</v>
      </c>
      <c r="G6273" s="340" t="s">
        <v>4182</v>
      </c>
      <c r="J6273" s="635">
        <f t="shared" si="201"/>
        <v>0</v>
      </c>
    </row>
    <row r="6274" spans="5:10" ht="15.75" hidden="1" thickBot="1">
      <c r="F6274" s="309">
        <v>611</v>
      </c>
      <c r="G6274" s="344" t="s">
        <v>3854</v>
      </c>
      <c r="J6274" s="635">
        <f t="shared" si="201"/>
        <v>0</v>
      </c>
    </row>
    <row r="6275" spans="5:10" ht="14.25" hidden="1" customHeight="1" thickBot="1">
      <c r="F6275" s="309">
        <v>620</v>
      </c>
      <c r="G6275" s="344" t="s">
        <v>88</v>
      </c>
      <c r="J6275" s="635">
        <f t="shared" si="201"/>
        <v>0</v>
      </c>
    </row>
    <row r="6276" spans="5:10" hidden="1">
      <c r="E6276" s="338"/>
      <c r="F6276" s="346"/>
      <c r="G6276" s="371" t="s">
        <v>4474</v>
      </c>
      <c r="H6276" s="636"/>
      <c r="I6276" s="662"/>
      <c r="J6276" s="637"/>
    </row>
    <row r="6277" spans="5:10" ht="15.75" hidden="1" thickBot="1">
      <c r="E6277" s="267"/>
      <c r="F6277" s="294" t="s">
        <v>234</v>
      </c>
      <c r="G6277" s="297" t="s">
        <v>235</v>
      </c>
      <c r="H6277" s="638">
        <f>SUM(H6216:H6275)</f>
        <v>0</v>
      </c>
      <c r="I6277" s="639"/>
      <c r="J6277" s="639">
        <f>SUM(H6277:I6277)</f>
        <v>0</v>
      </c>
    </row>
    <row r="6278" spans="5:10" ht="15.75" hidden="1" thickBot="1">
      <c r="F6278" s="294" t="s">
        <v>236</v>
      </c>
      <c r="G6278" s="297" t="s">
        <v>237</v>
      </c>
      <c r="J6278" s="639">
        <f t="shared" ref="J6278:J6292" si="202">SUM(H6278:I6278)</f>
        <v>0</v>
      </c>
    </row>
    <row r="6279" spans="5:10" ht="15.75" hidden="1" thickBot="1">
      <c r="F6279" s="294" t="s">
        <v>238</v>
      </c>
      <c r="G6279" s="297" t="s">
        <v>239</v>
      </c>
      <c r="J6279" s="639">
        <f t="shared" si="202"/>
        <v>0</v>
      </c>
    </row>
    <row r="6280" spans="5:10" ht="15.75" hidden="1" thickBot="1">
      <c r="F6280" s="294" t="s">
        <v>240</v>
      </c>
      <c r="G6280" s="297" t="s">
        <v>241</v>
      </c>
      <c r="J6280" s="639">
        <f t="shared" si="202"/>
        <v>0</v>
      </c>
    </row>
    <row r="6281" spans="5:10" ht="15.75" hidden="1" thickBot="1">
      <c r="F6281" s="294" t="s">
        <v>242</v>
      </c>
      <c r="G6281" s="297" t="s">
        <v>243</v>
      </c>
      <c r="J6281" s="639">
        <f t="shared" si="202"/>
        <v>0</v>
      </c>
    </row>
    <row r="6282" spans="5:10" ht="15.75" hidden="1" thickBot="1">
      <c r="F6282" s="294" t="s">
        <v>244</v>
      </c>
      <c r="G6282" s="297" t="s">
        <v>245</v>
      </c>
      <c r="J6282" s="639">
        <f t="shared" si="202"/>
        <v>0</v>
      </c>
    </row>
    <row r="6283" spans="5:10" ht="15.75" hidden="1" thickBot="1">
      <c r="F6283" s="294" t="s">
        <v>246</v>
      </c>
      <c r="G6283" s="683" t="s">
        <v>5121</v>
      </c>
      <c r="J6283" s="639">
        <f t="shared" si="202"/>
        <v>0</v>
      </c>
    </row>
    <row r="6284" spans="5:10" ht="15.75" hidden="1" thickBot="1">
      <c r="F6284" s="294" t="s">
        <v>247</v>
      </c>
      <c r="G6284" s="683" t="s">
        <v>5120</v>
      </c>
      <c r="J6284" s="639">
        <f t="shared" si="202"/>
        <v>0</v>
      </c>
    </row>
    <row r="6285" spans="5:10" ht="15.75" hidden="1" thickBot="1">
      <c r="F6285" s="294" t="s">
        <v>248</v>
      </c>
      <c r="G6285" s="297" t="s">
        <v>57</v>
      </c>
      <c r="J6285" s="639">
        <f t="shared" si="202"/>
        <v>0</v>
      </c>
    </row>
    <row r="6286" spans="5:10" ht="15.75" hidden="1" thickBot="1">
      <c r="F6286" s="294" t="s">
        <v>249</v>
      </c>
      <c r="G6286" s="297" t="s">
        <v>250</v>
      </c>
      <c r="J6286" s="639">
        <f t="shared" si="202"/>
        <v>0</v>
      </c>
    </row>
    <row r="6287" spans="5:10" ht="15.75" hidden="1" thickBot="1">
      <c r="F6287" s="294" t="s">
        <v>251</v>
      </c>
      <c r="G6287" s="297" t="s">
        <v>252</v>
      </c>
      <c r="J6287" s="639">
        <f t="shared" si="202"/>
        <v>0</v>
      </c>
    </row>
    <row r="6288" spans="5:10" ht="15.75" hidden="1" thickBot="1">
      <c r="F6288" s="294" t="s">
        <v>253</v>
      </c>
      <c r="G6288" s="297" t="s">
        <v>254</v>
      </c>
      <c r="J6288" s="639">
        <f t="shared" si="202"/>
        <v>0</v>
      </c>
    </row>
    <row r="6289" spans="5:10" ht="15.75" hidden="1" thickBot="1">
      <c r="F6289" s="294" t="s">
        <v>255</v>
      </c>
      <c r="G6289" s="297" t="s">
        <v>256</v>
      </c>
      <c r="J6289" s="639">
        <f t="shared" si="202"/>
        <v>0</v>
      </c>
    </row>
    <row r="6290" spans="5:10" ht="15.75" hidden="1" thickBot="1">
      <c r="F6290" s="294" t="s">
        <v>257</v>
      </c>
      <c r="G6290" s="297" t="s">
        <v>258</v>
      </c>
      <c r="J6290" s="639">
        <f t="shared" si="202"/>
        <v>0</v>
      </c>
    </row>
    <row r="6291" spans="5:10" ht="15.75" hidden="1" thickBot="1">
      <c r="F6291" s="294" t="s">
        <v>259</v>
      </c>
      <c r="G6291" s="297" t="s">
        <v>260</v>
      </c>
      <c r="J6291" s="639">
        <f t="shared" si="202"/>
        <v>0</v>
      </c>
    </row>
    <row r="6292" spans="5:10" ht="15.75" hidden="1" thickBot="1">
      <c r="F6292" s="294" t="s">
        <v>261</v>
      </c>
      <c r="G6292" s="297" t="s">
        <v>262</v>
      </c>
      <c r="H6292" s="638"/>
      <c r="I6292" s="639"/>
      <c r="J6292" s="639">
        <f t="shared" si="202"/>
        <v>0</v>
      </c>
    </row>
    <row r="6293" spans="5:10" ht="15.75" hidden="1" thickBot="1">
      <c r="G6293" s="274" t="s">
        <v>4475</v>
      </c>
      <c r="H6293" s="640">
        <f>SUM(H6277:H6292)</f>
        <v>0</v>
      </c>
      <c r="I6293" s="641">
        <f>SUM(I6278:I6292)</f>
        <v>0</v>
      </c>
      <c r="J6293" s="641">
        <f>SUM(J6277:J6292)</f>
        <v>0</v>
      </c>
    </row>
    <row r="6294" spans="5:10" hidden="1" collapsed="1">
      <c r="E6294" s="305"/>
      <c r="F6294" s="309"/>
      <c r="G6294" s="276" t="s">
        <v>4245</v>
      </c>
      <c r="H6294" s="642"/>
      <c r="I6294" s="663"/>
      <c r="J6294" s="643"/>
    </row>
    <row r="6295" spans="5:10" ht="15.75" hidden="1" thickBot="1">
      <c r="E6295" s="267"/>
      <c r="F6295" s="294" t="s">
        <v>234</v>
      </c>
      <c r="G6295" s="297" t="s">
        <v>235</v>
      </c>
      <c r="H6295" s="638">
        <f>SUM(H6216:H6275)</f>
        <v>0</v>
      </c>
      <c r="I6295" s="639"/>
      <c r="J6295" s="639">
        <f>SUM(H6295:I6295)</f>
        <v>0</v>
      </c>
    </row>
    <row r="6296" spans="5:10" ht="15.75" hidden="1" thickBot="1">
      <c r="F6296" s="294" t="s">
        <v>236</v>
      </c>
      <c r="G6296" s="297" t="s">
        <v>237</v>
      </c>
      <c r="J6296" s="639">
        <f t="shared" ref="J6296:J6310" si="203">SUM(H6296:I6296)</f>
        <v>0</v>
      </c>
    </row>
    <row r="6297" spans="5:10" ht="15.75" hidden="1" thickBot="1">
      <c r="F6297" s="294" t="s">
        <v>238</v>
      </c>
      <c r="G6297" s="297" t="s">
        <v>239</v>
      </c>
      <c r="J6297" s="639">
        <f t="shared" si="203"/>
        <v>0</v>
      </c>
    </row>
    <row r="6298" spans="5:10" ht="15.75" hidden="1" thickBot="1">
      <c r="F6298" s="294" t="s">
        <v>240</v>
      </c>
      <c r="G6298" s="297" t="s">
        <v>241</v>
      </c>
      <c r="J6298" s="639">
        <f t="shared" si="203"/>
        <v>0</v>
      </c>
    </row>
    <row r="6299" spans="5:10" ht="15.75" hidden="1" thickBot="1">
      <c r="F6299" s="294" t="s">
        <v>242</v>
      </c>
      <c r="G6299" s="297" t="s">
        <v>243</v>
      </c>
      <c r="J6299" s="639">
        <f t="shared" si="203"/>
        <v>0</v>
      </c>
    </row>
    <row r="6300" spans="5:10" ht="15.75" hidden="1" thickBot="1">
      <c r="F6300" s="294" t="s">
        <v>244</v>
      </c>
      <c r="G6300" s="297" t="s">
        <v>245</v>
      </c>
      <c r="J6300" s="639">
        <f t="shared" si="203"/>
        <v>0</v>
      </c>
    </row>
    <row r="6301" spans="5:10" ht="15.75" hidden="1" thickBot="1">
      <c r="F6301" s="294" t="s">
        <v>246</v>
      </c>
      <c r="G6301" s="683" t="s">
        <v>5121</v>
      </c>
      <c r="J6301" s="639">
        <f t="shared" si="203"/>
        <v>0</v>
      </c>
    </row>
    <row r="6302" spans="5:10" ht="15.75" hidden="1" thickBot="1">
      <c r="F6302" s="294" t="s">
        <v>247</v>
      </c>
      <c r="G6302" s="683" t="s">
        <v>5120</v>
      </c>
      <c r="J6302" s="639">
        <f t="shared" si="203"/>
        <v>0</v>
      </c>
    </row>
    <row r="6303" spans="5:10" ht="15.75" hidden="1" thickBot="1">
      <c r="F6303" s="294" t="s">
        <v>248</v>
      </c>
      <c r="G6303" s="297" t="s">
        <v>57</v>
      </c>
      <c r="J6303" s="639">
        <f t="shared" si="203"/>
        <v>0</v>
      </c>
    </row>
    <row r="6304" spans="5:10" ht="15.75" hidden="1" thickBot="1">
      <c r="F6304" s="294" t="s">
        <v>249</v>
      </c>
      <c r="G6304" s="297" t="s">
        <v>250</v>
      </c>
      <c r="J6304" s="639">
        <f t="shared" si="203"/>
        <v>0</v>
      </c>
    </row>
    <row r="6305" spans="1:25" ht="15.75" hidden="1" thickBot="1">
      <c r="F6305" s="294" t="s">
        <v>251</v>
      </c>
      <c r="G6305" s="297" t="s">
        <v>252</v>
      </c>
      <c r="J6305" s="639">
        <f t="shared" si="203"/>
        <v>0</v>
      </c>
    </row>
    <row r="6306" spans="1:25" ht="15.75" hidden="1" thickBot="1">
      <c r="F6306" s="294" t="s">
        <v>253</v>
      </c>
      <c r="G6306" s="297" t="s">
        <v>254</v>
      </c>
      <c r="J6306" s="639">
        <f t="shared" si="203"/>
        <v>0</v>
      </c>
    </row>
    <row r="6307" spans="1:25" ht="15.75" hidden="1" thickBot="1">
      <c r="F6307" s="294" t="s">
        <v>255</v>
      </c>
      <c r="G6307" s="297" t="s">
        <v>256</v>
      </c>
      <c r="J6307" s="639">
        <f t="shared" si="203"/>
        <v>0</v>
      </c>
    </row>
    <row r="6308" spans="1:25" ht="15.75" hidden="1" thickBot="1">
      <c r="F6308" s="294" t="s">
        <v>257</v>
      </c>
      <c r="G6308" s="297" t="s">
        <v>258</v>
      </c>
      <c r="J6308" s="639">
        <f t="shared" si="203"/>
        <v>0</v>
      </c>
    </row>
    <row r="6309" spans="1:25" ht="15.75" hidden="1" thickBot="1">
      <c r="F6309" s="294" t="s">
        <v>259</v>
      </c>
      <c r="G6309" s="297" t="s">
        <v>260</v>
      </c>
      <c r="J6309" s="639">
        <f t="shared" si="203"/>
        <v>0</v>
      </c>
    </row>
    <row r="6310" spans="1:25" ht="15.75" hidden="1" thickBot="1">
      <c r="F6310" s="294" t="s">
        <v>261</v>
      </c>
      <c r="G6310" s="297" t="s">
        <v>262</v>
      </c>
      <c r="H6310" s="638"/>
      <c r="I6310" s="639"/>
      <c r="J6310" s="639">
        <f t="shared" si="203"/>
        <v>0</v>
      </c>
    </row>
    <row r="6311" spans="1:25" ht="15.75" hidden="1" collapsed="1" thickBot="1">
      <c r="G6311" s="274" t="s">
        <v>4244</v>
      </c>
      <c r="H6311" s="640">
        <f>SUM(H6295:H6310)</f>
        <v>0</v>
      </c>
      <c r="I6311" s="641">
        <f>SUM(I6296:I6310)</f>
        <v>0</v>
      </c>
      <c r="J6311" s="641">
        <f>SUM(J6295:J6310)</f>
        <v>0</v>
      </c>
    </row>
    <row r="6312" spans="1:25" s="88" customFormat="1" hidden="1">
      <c r="C6312" s="363"/>
      <c r="G6312" s="320"/>
      <c r="H6312" s="651"/>
      <c r="I6312" s="652"/>
      <c r="J6312" s="652"/>
      <c r="K6312" s="575"/>
      <c r="L6312" s="575"/>
      <c r="M6312" s="575"/>
      <c r="N6312" s="575"/>
      <c r="O6312" s="575"/>
      <c r="P6312" s="575"/>
      <c r="Q6312" s="575"/>
      <c r="R6312" s="575"/>
      <c r="S6312" s="575"/>
      <c r="T6312" s="575"/>
      <c r="U6312" s="575"/>
      <c r="V6312" s="575"/>
      <c r="W6312" s="575"/>
      <c r="X6312" s="575"/>
      <c r="Y6312" s="575"/>
    </row>
    <row r="6313" spans="1:25" ht="12.75" customHeight="1">
      <c r="C6313" s="273" t="s">
        <v>4101</v>
      </c>
      <c r="D6313" s="264"/>
      <c r="G6313" s="553" t="s">
        <v>4102</v>
      </c>
    </row>
    <row r="6314" spans="1:25" s="88" customFormat="1">
      <c r="A6314" s="342"/>
      <c r="B6314" s="301"/>
      <c r="C6314" s="310"/>
      <c r="D6314" s="373">
        <v>560</v>
      </c>
      <c r="E6314" s="374"/>
      <c r="F6314" s="374"/>
      <c r="G6314" s="375" t="s">
        <v>179</v>
      </c>
      <c r="H6314" s="651"/>
      <c r="I6314" s="652"/>
      <c r="J6314" s="652"/>
      <c r="K6314" s="575"/>
      <c r="L6314" s="575"/>
      <c r="M6314" s="575"/>
      <c r="N6314" s="575"/>
      <c r="O6314" s="575"/>
      <c r="P6314" s="575"/>
      <c r="Q6314" s="575"/>
      <c r="R6314" s="575"/>
      <c r="S6314" s="575"/>
      <c r="T6314" s="575"/>
      <c r="U6314" s="575"/>
      <c r="V6314" s="575"/>
      <c r="W6314" s="575"/>
      <c r="X6314" s="575"/>
      <c r="Y6314" s="575"/>
    </row>
    <row r="6315" spans="1:25" hidden="1">
      <c r="F6315" s="308">
        <v>411</v>
      </c>
      <c r="G6315" s="340" t="s">
        <v>4173</v>
      </c>
      <c r="J6315" s="635">
        <f>SUM(H6315:I6315)</f>
        <v>0</v>
      </c>
    </row>
    <row r="6316" spans="1:25" hidden="1">
      <c r="F6316" s="308">
        <v>412</v>
      </c>
      <c r="G6316" s="337" t="s">
        <v>3770</v>
      </c>
      <c r="J6316" s="635">
        <f t="shared" ref="J6316:J6374" si="204">SUM(H6316:I6316)</f>
        <v>0</v>
      </c>
    </row>
    <row r="6317" spans="1:25" hidden="1">
      <c r="F6317" s="308">
        <v>413</v>
      </c>
      <c r="G6317" s="340" t="s">
        <v>4174</v>
      </c>
      <c r="J6317" s="635">
        <f t="shared" si="204"/>
        <v>0</v>
      </c>
    </row>
    <row r="6318" spans="1:25" hidden="1">
      <c r="F6318" s="308">
        <v>414</v>
      </c>
      <c r="G6318" s="340" t="s">
        <v>3773</v>
      </c>
      <c r="J6318" s="635">
        <f t="shared" si="204"/>
        <v>0</v>
      </c>
    </row>
    <row r="6319" spans="1:25" hidden="1">
      <c r="F6319" s="308">
        <v>415</v>
      </c>
      <c r="G6319" s="340" t="s">
        <v>4183</v>
      </c>
      <c r="J6319" s="635">
        <f t="shared" si="204"/>
        <v>0</v>
      </c>
    </row>
    <row r="6320" spans="1:25" hidden="1">
      <c r="F6320" s="308">
        <v>416</v>
      </c>
      <c r="G6320" s="340" t="s">
        <v>4184</v>
      </c>
      <c r="J6320" s="635">
        <f t="shared" si="204"/>
        <v>0</v>
      </c>
    </row>
    <row r="6321" spans="5:10" hidden="1">
      <c r="F6321" s="308">
        <v>417</v>
      </c>
      <c r="G6321" s="340" t="s">
        <v>4185</v>
      </c>
      <c r="J6321" s="635">
        <f t="shared" si="204"/>
        <v>0</v>
      </c>
    </row>
    <row r="6322" spans="5:10" hidden="1">
      <c r="F6322" s="308">
        <v>418</v>
      </c>
      <c r="G6322" s="340" t="s">
        <v>3779</v>
      </c>
      <c r="J6322" s="635">
        <f t="shared" si="204"/>
        <v>0</v>
      </c>
    </row>
    <row r="6323" spans="5:10" hidden="1">
      <c r="F6323" s="308">
        <v>421</v>
      </c>
      <c r="G6323" s="340" t="s">
        <v>3783</v>
      </c>
      <c r="J6323" s="635">
        <f t="shared" si="204"/>
        <v>0</v>
      </c>
    </row>
    <row r="6324" spans="5:10" hidden="1">
      <c r="F6324" s="308">
        <v>422</v>
      </c>
      <c r="G6324" s="340" t="s">
        <v>3784</v>
      </c>
      <c r="J6324" s="635">
        <f t="shared" si="204"/>
        <v>0</v>
      </c>
    </row>
    <row r="6325" spans="5:10" hidden="1">
      <c r="F6325" s="308">
        <v>423</v>
      </c>
      <c r="G6325" s="340" t="s">
        <v>3785</v>
      </c>
      <c r="J6325" s="635">
        <f t="shared" si="204"/>
        <v>0</v>
      </c>
    </row>
    <row r="6326" spans="5:10">
      <c r="E6326" s="263">
        <v>81</v>
      </c>
      <c r="F6326" s="308">
        <v>424</v>
      </c>
      <c r="G6326" s="340" t="s">
        <v>3787</v>
      </c>
      <c r="H6326" s="634">
        <v>1200000</v>
      </c>
      <c r="J6326" s="635">
        <f t="shared" si="204"/>
        <v>1200000</v>
      </c>
    </row>
    <row r="6327" spans="5:10">
      <c r="E6327" s="263">
        <v>82</v>
      </c>
      <c r="F6327" s="308">
        <v>425</v>
      </c>
      <c r="G6327" s="340" t="s">
        <v>4186</v>
      </c>
      <c r="H6327" s="634">
        <v>300000</v>
      </c>
      <c r="J6327" s="635">
        <f t="shared" si="204"/>
        <v>300000</v>
      </c>
    </row>
    <row r="6328" spans="5:10" ht="12.75" customHeight="1" thickBot="1">
      <c r="E6328" s="263">
        <v>83</v>
      </c>
      <c r="F6328" s="308">
        <v>426</v>
      </c>
      <c r="G6328" s="340" t="s">
        <v>3791</v>
      </c>
      <c r="H6328" s="634">
        <v>1000000</v>
      </c>
      <c r="J6328" s="635">
        <f t="shared" si="204"/>
        <v>1000000</v>
      </c>
    </row>
    <row r="6329" spans="5:10" hidden="1">
      <c r="F6329" s="308">
        <v>431</v>
      </c>
      <c r="G6329" s="340" t="s">
        <v>4187</v>
      </c>
      <c r="J6329" s="635">
        <f t="shared" si="204"/>
        <v>0</v>
      </c>
    </row>
    <row r="6330" spans="5:10" hidden="1">
      <c r="F6330" s="308">
        <v>432</v>
      </c>
      <c r="G6330" s="340" t="s">
        <v>4188</v>
      </c>
      <c r="J6330" s="635">
        <f t="shared" si="204"/>
        <v>0</v>
      </c>
    </row>
    <row r="6331" spans="5:10" hidden="1">
      <c r="F6331" s="308">
        <v>433</v>
      </c>
      <c r="G6331" s="340" t="s">
        <v>4189</v>
      </c>
      <c r="J6331" s="635">
        <f t="shared" si="204"/>
        <v>0</v>
      </c>
    </row>
    <row r="6332" spans="5:10" hidden="1">
      <c r="F6332" s="308">
        <v>434</v>
      </c>
      <c r="G6332" s="340" t="s">
        <v>4190</v>
      </c>
      <c r="J6332" s="635">
        <f t="shared" si="204"/>
        <v>0</v>
      </c>
    </row>
    <row r="6333" spans="5:10" hidden="1">
      <c r="F6333" s="308">
        <v>435</v>
      </c>
      <c r="G6333" s="340" t="s">
        <v>3798</v>
      </c>
      <c r="J6333" s="635">
        <f t="shared" si="204"/>
        <v>0</v>
      </c>
    </row>
    <row r="6334" spans="5:10" hidden="1">
      <c r="F6334" s="308">
        <v>441</v>
      </c>
      <c r="G6334" s="340" t="s">
        <v>4191</v>
      </c>
      <c r="J6334" s="635">
        <f t="shared" si="204"/>
        <v>0</v>
      </c>
    </row>
    <row r="6335" spans="5:10" hidden="1">
      <c r="F6335" s="308">
        <v>442</v>
      </c>
      <c r="G6335" s="340" t="s">
        <v>4192</v>
      </c>
      <c r="J6335" s="635">
        <f t="shared" si="204"/>
        <v>0</v>
      </c>
    </row>
    <row r="6336" spans="5:10" hidden="1">
      <c r="F6336" s="308">
        <v>443</v>
      </c>
      <c r="G6336" s="340" t="s">
        <v>3803</v>
      </c>
      <c r="J6336" s="635">
        <f t="shared" si="204"/>
        <v>0</v>
      </c>
    </row>
    <row r="6337" spans="6:10" hidden="1">
      <c r="F6337" s="308">
        <v>444</v>
      </c>
      <c r="G6337" s="340" t="s">
        <v>3804</v>
      </c>
      <c r="J6337" s="635">
        <f t="shared" si="204"/>
        <v>0</v>
      </c>
    </row>
    <row r="6338" spans="6:10" ht="30" hidden="1">
      <c r="F6338" s="308">
        <v>4511</v>
      </c>
      <c r="G6338" s="268" t="s">
        <v>1690</v>
      </c>
      <c r="J6338" s="635">
        <f t="shared" si="204"/>
        <v>0</v>
      </c>
    </row>
    <row r="6339" spans="6:10" ht="12" hidden="1" customHeight="1">
      <c r="F6339" s="308">
        <v>4512</v>
      </c>
      <c r="G6339" s="268" t="s">
        <v>1699</v>
      </c>
      <c r="J6339" s="635">
        <f t="shared" si="204"/>
        <v>0</v>
      </c>
    </row>
    <row r="6340" spans="6:10" hidden="1">
      <c r="F6340" s="308">
        <v>452</v>
      </c>
      <c r="G6340" s="340" t="s">
        <v>4193</v>
      </c>
      <c r="J6340" s="635">
        <f t="shared" si="204"/>
        <v>0</v>
      </c>
    </row>
    <row r="6341" spans="6:10" hidden="1">
      <c r="F6341" s="308">
        <v>453</v>
      </c>
      <c r="G6341" s="340" t="s">
        <v>4194</v>
      </c>
      <c r="J6341" s="635">
        <f t="shared" si="204"/>
        <v>0</v>
      </c>
    </row>
    <row r="6342" spans="6:10" hidden="1">
      <c r="F6342" s="308">
        <v>454</v>
      </c>
      <c r="G6342" s="340" t="s">
        <v>3809</v>
      </c>
      <c r="J6342" s="635">
        <f t="shared" si="204"/>
        <v>0</v>
      </c>
    </row>
    <row r="6343" spans="6:10" hidden="1">
      <c r="F6343" s="308">
        <v>461</v>
      </c>
      <c r="G6343" s="340" t="s">
        <v>4175</v>
      </c>
      <c r="J6343" s="635">
        <f t="shared" si="204"/>
        <v>0</v>
      </c>
    </row>
    <row r="6344" spans="6:10" hidden="1">
      <c r="F6344" s="308">
        <v>462</v>
      </c>
      <c r="G6344" s="340" t="s">
        <v>3812</v>
      </c>
      <c r="J6344" s="635">
        <f t="shared" si="204"/>
        <v>0</v>
      </c>
    </row>
    <row r="6345" spans="6:10" hidden="1">
      <c r="F6345" s="308">
        <v>4631</v>
      </c>
      <c r="G6345" s="340" t="s">
        <v>3813</v>
      </c>
      <c r="J6345" s="635">
        <f t="shared" si="204"/>
        <v>0</v>
      </c>
    </row>
    <row r="6346" spans="6:10" hidden="1">
      <c r="F6346" s="308">
        <v>4632</v>
      </c>
      <c r="G6346" s="340" t="s">
        <v>3814</v>
      </c>
      <c r="J6346" s="635">
        <f t="shared" si="204"/>
        <v>0</v>
      </c>
    </row>
    <row r="6347" spans="6:10" hidden="1">
      <c r="F6347" s="308">
        <v>464</v>
      </c>
      <c r="G6347" s="340" t="s">
        <v>3815</v>
      </c>
      <c r="J6347" s="635">
        <f t="shared" si="204"/>
        <v>0</v>
      </c>
    </row>
    <row r="6348" spans="6:10" hidden="1">
      <c r="F6348" s="308">
        <v>465</v>
      </c>
      <c r="G6348" s="340" t="s">
        <v>4176</v>
      </c>
      <c r="J6348" s="635">
        <f t="shared" si="204"/>
        <v>0</v>
      </c>
    </row>
    <row r="6349" spans="6:10" hidden="1">
      <c r="F6349" s="308">
        <v>472</v>
      </c>
      <c r="G6349" s="340" t="s">
        <v>3819</v>
      </c>
      <c r="J6349" s="635">
        <f t="shared" si="204"/>
        <v>0</v>
      </c>
    </row>
    <row r="6350" spans="6:10" hidden="1">
      <c r="F6350" s="308">
        <v>481</v>
      </c>
      <c r="G6350" s="340" t="s">
        <v>4195</v>
      </c>
      <c r="J6350" s="635">
        <f t="shared" si="204"/>
        <v>0</v>
      </c>
    </row>
    <row r="6351" spans="6:10" hidden="1">
      <c r="F6351" s="308">
        <v>482</v>
      </c>
      <c r="G6351" s="340" t="s">
        <v>4196</v>
      </c>
      <c r="J6351" s="635">
        <f t="shared" si="204"/>
        <v>0</v>
      </c>
    </row>
    <row r="6352" spans="6:10" hidden="1">
      <c r="F6352" s="308">
        <v>483</v>
      </c>
      <c r="G6352" s="343" t="s">
        <v>4197</v>
      </c>
      <c r="J6352" s="635">
        <f t="shared" si="204"/>
        <v>0</v>
      </c>
    </row>
    <row r="6353" spans="6:10" ht="30" hidden="1">
      <c r="F6353" s="308">
        <v>484</v>
      </c>
      <c r="G6353" s="340" t="s">
        <v>4198</v>
      </c>
      <c r="J6353" s="635">
        <f t="shared" si="204"/>
        <v>0</v>
      </c>
    </row>
    <row r="6354" spans="6:10" ht="30" hidden="1">
      <c r="F6354" s="308">
        <v>485</v>
      </c>
      <c r="G6354" s="340" t="s">
        <v>4199</v>
      </c>
      <c r="J6354" s="635">
        <f t="shared" si="204"/>
        <v>0</v>
      </c>
    </row>
    <row r="6355" spans="6:10" ht="30" hidden="1">
      <c r="F6355" s="308">
        <v>489</v>
      </c>
      <c r="G6355" s="340" t="s">
        <v>3827</v>
      </c>
      <c r="J6355" s="635">
        <f t="shared" si="204"/>
        <v>0</v>
      </c>
    </row>
    <row r="6356" spans="6:10" hidden="1">
      <c r="F6356" s="308">
        <v>494</v>
      </c>
      <c r="G6356" s="340" t="s">
        <v>4177</v>
      </c>
      <c r="J6356" s="635">
        <f t="shared" si="204"/>
        <v>0</v>
      </c>
    </row>
    <row r="6357" spans="6:10" ht="30" hidden="1">
      <c r="F6357" s="308">
        <v>495</v>
      </c>
      <c r="G6357" s="340" t="s">
        <v>4178</v>
      </c>
      <c r="J6357" s="635">
        <f t="shared" si="204"/>
        <v>0</v>
      </c>
    </row>
    <row r="6358" spans="6:10" ht="30" hidden="1">
      <c r="F6358" s="308">
        <v>496</v>
      </c>
      <c r="G6358" s="340" t="s">
        <v>4179</v>
      </c>
      <c r="J6358" s="635">
        <f t="shared" si="204"/>
        <v>0</v>
      </c>
    </row>
    <row r="6359" spans="6:10" hidden="1">
      <c r="F6359" s="308">
        <v>499</v>
      </c>
      <c r="G6359" s="340" t="s">
        <v>4180</v>
      </c>
      <c r="J6359" s="635">
        <f t="shared" si="204"/>
        <v>0</v>
      </c>
    </row>
    <row r="6360" spans="6:10" hidden="1">
      <c r="F6360" s="308">
        <v>511</v>
      </c>
      <c r="G6360" s="343" t="s">
        <v>4200</v>
      </c>
      <c r="J6360" s="635">
        <f t="shared" si="204"/>
        <v>0</v>
      </c>
    </row>
    <row r="6361" spans="6:10" hidden="1">
      <c r="F6361" s="308">
        <v>512</v>
      </c>
      <c r="G6361" s="343" t="s">
        <v>4201</v>
      </c>
      <c r="J6361" s="635">
        <f t="shared" si="204"/>
        <v>0</v>
      </c>
    </row>
    <row r="6362" spans="6:10" hidden="1">
      <c r="F6362" s="308">
        <v>513</v>
      </c>
      <c r="G6362" s="343" t="s">
        <v>4202</v>
      </c>
      <c r="J6362" s="635">
        <f t="shared" si="204"/>
        <v>0</v>
      </c>
    </row>
    <row r="6363" spans="6:10" hidden="1">
      <c r="F6363" s="308">
        <v>514</v>
      </c>
      <c r="G6363" s="340" t="s">
        <v>4203</v>
      </c>
      <c r="J6363" s="635">
        <f t="shared" si="204"/>
        <v>0</v>
      </c>
    </row>
    <row r="6364" spans="6:10" hidden="1">
      <c r="F6364" s="308">
        <v>515</v>
      </c>
      <c r="G6364" s="340" t="s">
        <v>3838</v>
      </c>
      <c r="J6364" s="635">
        <f t="shared" si="204"/>
        <v>0</v>
      </c>
    </row>
    <row r="6365" spans="6:10" hidden="1">
      <c r="F6365" s="308">
        <v>521</v>
      </c>
      <c r="G6365" s="340" t="s">
        <v>4204</v>
      </c>
      <c r="J6365" s="635">
        <f t="shared" si="204"/>
        <v>0</v>
      </c>
    </row>
    <row r="6366" spans="6:10" hidden="1">
      <c r="F6366" s="308">
        <v>522</v>
      </c>
      <c r="G6366" s="340" t="s">
        <v>4205</v>
      </c>
      <c r="J6366" s="635">
        <f t="shared" si="204"/>
        <v>0</v>
      </c>
    </row>
    <row r="6367" spans="6:10" hidden="1">
      <c r="F6367" s="308">
        <v>523</v>
      </c>
      <c r="G6367" s="340" t="s">
        <v>3843</v>
      </c>
      <c r="J6367" s="635">
        <f t="shared" si="204"/>
        <v>0</v>
      </c>
    </row>
    <row r="6368" spans="6:10" hidden="1">
      <c r="F6368" s="308">
        <v>531</v>
      </c>
      <c r="G6368" s="337" t="s">
        <v>4181</v>
      </c>
      <c r="J6368" s="635">
        <f t="shared" si="204"/>
        <v>0</v>
      </c>
    </row>
    <row r="6369" spans="5:10" hidden="1">
      <c r="F6369" s="308">
        <v>541</v>
      </c>
      <c r="G6369" s="340" t="s">
        <v>4206</v>
      </c>
      <c r="J6369" s="635">
        <f t="shared" si="204"/>
        <v>0</v>
      </c>
    </row>
    <row r="6370" spans="5:10" hidden="1">
      <c r="F6370" s="308">
        <v>542</v>
      </c>
      <c r="G6370" s="340" t="s">
        <v>4207</v>
      </c>
      <c r="J6370" s="635">
        <f t="shared" si="204"/>
        <v>0</v>
      </c>
    </row>
    <row r="6371" spans="5:10" hidden="1">
      <c r="F6371" s="308">
        <v>543</v>
      </c>
      <c r="G6371" s="340" t="s">
        <v>3848</v>
      </c>
      <c r="J6371" s="635">
        <f t="shared" si="204"/>
        <v>0</v>
      </c>
    </row>
    <row r="6372" spans="5:10" ht="30" hidden="1">
      <c r="F6372" s="308">
        <v>551</v>
      </c>
      <c r="G6372" s="340" t="s">
        <v>4182</v>
      </c>
      <c r="J6372" s="635">
        <f t="shared" si="204"/>
        <v>0</v>
      </c>
    </row>
    <row r="6373" spans="5:10" hidden="1">
      <c r="F6373" s="309">
        <v>611</v>
      </c>
      <c r="G6373" s="344" t="s">
        <v>3854</v>
      </c>
      <c r="J6373" s="635">
        <f t="shared" si="204"/>
        <v>0</v>
      </c>
    </row>
    <row r="6374" spans="5:10" ht="14.25" hidden="1" customHeight="1" thickBot="1">
      <c r="F6374" s="309">
        <v>620</v>
      </c>
      <c r="G6374" s="344" t="s">
        <v>88</v>
      </c>
      <c r="J6374" s="635">
        <f t="shared" si="204"/>
        <v>0</v>
      </c>
    </row>
    <row r="6375" spans="5:10">
      <c r="E6375" s="338"/>
      <c r="F6375" s="346"/>
      <c r="G6375" s="371" t="s">
        <v>4364</v>
      </c>
      <c r="H6375" s="636"/>
      <c r="I6375" s="662"/>
      <c r="J6375" s="637"/>
    </row>
    <row r="6376" spans="5:10" ht="15.75" thickBot="1">
      <c r="E6376" s="267"/>
      <c r="F6376" s="294" t="s">
        <v>234</v>
      </c>
      <c r="G6376" s="297" t="s">
        <v>235</v>
      </c>
      <c r="H6376" s="638">
        <f>SUM(H6315:H6374)</f>
        <v>2500000</v>
      </c>
      <c r="I6376" s="639"/>
      <c r="J6376" s="639">
        <f>SUM(H6376:I6376)</f>
        <v>2500000</v>
      </c>
    </row>
    <row r="6377" spans="5:10" ht="15.75" hidden="1" thickBot="1">
      <c r="F6377" s="294" t="s">
        <v>236</v>
      </c>
      <c r="G6377" s="297" t="s">
        <v>237</v>
      </c>
      <c r="J6377" s="639">
        <f t="shared" ref="J6377:J6391" si="205">SUM(H6377:I6377)</f>
        <v>0</v>
      </c>
    </row>
    <row r="6378" spans="5:10" ht="15.75" hidden="1" thickBot="1">
      <c r="F6378" s="294" t="s">
        <v>238</v>
      </c>
      <c r="G6378" s="297" t="s">
        <v>239</v>
      </c>
      <c r="J6378" s="639">
        <f t="shared" si="205"/>
        <v>0</v>
      </c>
    </row>
    <row r="6379" spans="5:10" ht="15.75" hidden="1" thickBot="1">
      <c r="F6379" s="294" t="s">
        <v>240</v>
      </c>
      <c r="G6379" s="297" t="s">
        <v>241</v>
      </c>
      <c r="J6379" s="639">
        <f t="shared" si="205"/>
        <v>0</v>
      </c>
    </row>
    <row r="6380" spans="5:10" ht="15.75" hidden="1" thickBot="1">
      <c r="F6380" s="294" t="s">
        <v>242</v>
      </c>
      <c r="G6380" s="297" t="s">
        <v>243</v>
      </c>
      <c r="J6380" s="639">
        <f t="shared" si="205"/>
        <v>0</v>
      </c>
    </row>
    <row r="6381" spans="5:10" ht="15.75" hidden="1" thickBot="1">
      <c r="F6381" s="294" t="s">
        <v>244</v>
      </c>
      <c r="G6381" s="297" t="s">
        <v>245</v>
      </c>
      <c r="J6381" s="639">
        <f t="shared" si="205"/>
        <v>0</v>
      </c>
    </row>
    <row r="6382" spans="5:10" ht="15.75" hidden="1" thickBot="1">
      <c r="F6382" s="294" t="s">
        <v>246</v>
      </c>
      <c r="G6382" s="683" t="s">
        <v>5121</v>
      </c>
      <c r="J6382" s="639">
        <f t="shared" si="205"/>
        <v>0</v>
      </c>
    </row>
    <row r="6383" spans="5:10" ht="15.75" hidden="1" thickBot="1">
      <c r="F6383" s="294" t="s">
        <v>247</v>
      </c>
      <c r="G6383" s="683" t="s">
        <v>5120</v>
      </c>
      <c r="J6383" s="639">
        <f t="shared" si="205"/>
        <v>0</v>
      </c>
    </row>
    <row r="6384" spans="5:10" ht="15.75" hidden="1" thickBot="1">
      <c r="F6384" s="294" t="s">
        <v>248</v>
      </c>
      <c r="G6384" s="297" t="s">
        <v>57</v>
      </c>
      <c r="J6384" s="639">
        <f t="shared" si="205"/>
        <v>0</v>
      </c>
    </row>
    <row r="6385" spans="5:10" ht="15.75" hidden="1" thickBot="1">
      <c r="F6385" s="294" t="s">
        <v>249</v>
      </c>
      <c r="G6385" s="297" t="s">
        <v>250</v>
      </c>
      <c r="J6385" s="639">
        <f t="shared" si="205"/>
        <v>0</v>
      </c>
    </row>
    <row r="6386" spans="5:10" ht="15.75" hidden="1" thickBot="1">
      <c r="F6386" s="294" t="s">
        <v>251</v>
      </c>
      <c r="G6386" s="297" t="s">
        <v>252</v>
      </c>
      <c r="J6386" s="639">
        <f t="shared" si="205"/>
        <v>0</v>
      </c>
    </row>
    <row r="6387" spans="5:10" ht="15.75" hidden="1" thickBot="1">
      <c r="F6387" s="294" t="s">
        <v>253</v>
      </c>
      <c r="G6387" s="297" t="s">
        <v>254</v>
      </c>
      <c r="J6387" s="639">
        <f t="shared" si="205"/>
        <v>0</v>
      </c>
    </row>
    <row r="6388" spans="5:10" ht="15.75" hidden="1" thickBot="1">
      <c r="F6388" s="294" t="s">
        <v>255</v>
      </c>
      <c r="G6388" s="297" t="s">
        <v>256</v>
      </c>
      <c r="J6388" s="639">
        <f t="shared" si="205"/>
        <v>0</v>
      </c>
    </row>
    <row r="6389" spans="5:10" ht="15.75" hidden="1" thickBot="1">
      <c r="F6389" s="294" t="s">
        <v>257</v>
      </c>
      <c r="G6389" s="297" t="s">
        <v>258</v>
      </c>
      <c r="J6389" s="639">
        <f t="shared" si="205"/>
        <v>0</v>
      </c>
    </row>
    <row r="6390" spans="5:10" ht="15.75" hidden="1" thickBot="1">
      <c r="F6390" s="294" t="s">
        <v>259</v>
      </c>
      <c r="G6390" s="297" t="s">
        <v>260</v>
      </c>
      <c r="J6390" s="639">
        <f t="shared" si="205"/>
        <v>0</v>
      </c>
    </row>
    <row r="6391" spans="5:10" ht="15.75" hidden="1" thickBot="1">
      <c r="F6391" s="294" t="s">
        <v>261</v>
      </c>
      <c r="G6391" s="297" t="s">
        <v>262</v>
      </c>
      <c r="H6391" s="638"/>
      <c r="I6391" s="639"/>
      <c r="J6391" s="639">
        <f t="shared" si="205"/>
        <v>0</v>
      </c>
    </row>
    <row r="6392" spans="5:10" ht="15.75" thickBot="1">
      <c r="G6392" s="274" t="s">
        <v>4365</v>
      </c>
      <c r="H6392" s="640">
        <f>SUM(H6376:H6391)</f>
        <v>2500000</v>
      </c>
      <c r="I6392" s="641">
        <f>SUM(I6377:I6391)</f>
        <v>0</v>
      </c>
      <c r="J6392" s="641">
        <f>SUM(J6376:J6391)</f>
        <v>2500000</v>
      </c>
    </row>
    <row r="6393" spans="5:10" collapsed="1">
      <c r="E6393" s="305"/>
      <c r="F6393" s="309"/>
      <c r="G6393" s="276" t="s">
        <v>4246</v>
      </c>
      <c r="H6393" s="642"/>
      <c r="I6393" s="663"/>
      <c r="J6393" s="643"/>
    </row>
    <row r="6394" spans="5:10" ht="13.5" customHeight="1" thickBot="1">
      <c r="E6394" s="267"/>
      <c r="F6394" s="294" t="s">
        <v>234</v>
      </c>
      <c r="G6394" s="297" t="s">
        <v>235</v>
      </c>
      <c r="H6394" s="638">
        <f>SUM(H6315:H6374)</f>
        <v>2500000</v>
      </c>
      <c r="I6394" s="639"/>
      <c r="J6394" s="639">
        <f>SUM(H6394:I6394)</f>
        <v>2500000</v>
      </c>
    </row>
    <row r="6395" spans="5:10" ht="15.75" hidden="1" thickBot="1">
      <c r="F6395" s="294" t="s">
        <v>236</v>
      </c>
      <c r="G6395" s="297" t="s">
        <v>237</v>
      </c>
      <c r="J6395" s="639">
        <f t="shared" ref="J6395:J6409" si="206">SUM(H6395:I6395)</f>
        <v>0</v>
      </c>
    </row>
    <row r="6396" spans="5:10" ht="15.75" hidden="1" thickBot="1">
      <c r="F6396" s="294" t="s">
        <v>238</v>
      </c>
      <c r="G6396" s="297" t="s">
        <v>239</v>
      </c>
      <c r="J6396" s="639">
        <f t="shared" si="206"/>
        <v>0</v>
      </c>
    </row>
    <row r="6397" spans="5:10" ht="15.75" hidden="1" thickBot="1">
      <c r="F6397" s="294" t="s">
        <v>240</v>
      </c>
      <c r="G6397" s="297" t="s">
        <v>241</v>
      </c>
      <c r="J6397" s="639">
        <f t="shared" si="206"/>
        <v>0</v>
      </c>
    </row>
    <row r="6398" spans="5:10" ht="15.75" hidden="1" thickBot="1">
      <c r="F6398" s="294" t="s">
        <v>242</v>
      </c>
      <c r="G6398" s="297" t="s">
        <v>243</v>
      </c>
      <c r="J6398" s="639">
        <f t="shared" si="206"/>
        <v>0</v>
      </c>
    </row>
    <row r="6399" spans="5:10" ht="15.75" hidden="1" thickBot="1">
      <c r="F6399" s="294" t="s">
        <v>244</v>
      </c>
      <c r="G6399" s="297" t="s">
        <v>245</v>
      </c>
      <c r="J6399" s="639">
        <f t="shared" si="206"/>
        <v>0</v>
      </c>
    </row>
    <row r="6400" spans="5:10" ht="15.75" hidden="1" thickBot="1">
      <c r="F6400" s="294" t="s">
        <v>246</v>
      </c>
      <c r="G6400" s="683" t="s">
        <v>5121</v>
      </c>
      <c r="J6400" s="639">
        <f t="shared" si="206"/>
        <v>0</v>
      </c>
    </row>
    <row r="6401" spans="3:25" ht="15.75" hidden="1" thickBot="1">
      <c r="F6401" s="294" t="s">
        <v>247</v>
      </c>
      <c r="G6401" s="683" t="s">
        <v>5120</v>
      </c>
      <c r="J6401" s="639">
        <f t="shared" si="206"/>
        <v>0</v>
      </c>
    </row>
    <row r="6402" spans="3:25" ht="15.75" hidden="1" thickBot="1">
      <c r="F6402" s="294" t="s">
        <v>248</v>
      </c>
      <c r="G6402" s="297" t="s">
        <v>57</v>
      </c>
      <c r="J6402" s="639">
        <f t="shared" si="206"/>
        <v>0</v>
      </c>
    </row>
    <row r="6403" spans="3:25" ht="15.75" hidden="1" thickBot="1">
      <c r="F6403" s="294" t="s">
        <v>249</v>
      </c>
      <c r="G6403" s="297" t="s">
        <v>250</v>
      </c>
      <c r="J6403" s="639">
        <f t="shared" si="206"/>
        <v>0</v>
      </c>
    </row>
    <row r="6404" spans="3:25" ht="15.75" hidden="1" thickBot="1">
      <c r="F6404" s="294" t="s">
        <v>251</v>
      </c>
      <c r="G6404" s="297" t="s">
        <v>252</v>
      </c>
      <c r="J6404" s="639">
        <f t="shared" si="206"/>
        <v>0</v>
      </c>
    </row>
    <row r="6405" spans="3:25" ht="15.75" hidden="1" thickBot="1">
      <c r="F6405" s="294" t="s">
        <v>253</v>
      </c>
      <c r="G6405" s="297" t="s">
        <v>254</v>
      </c>
      <c r="J6405" s="639">
        <f t="shared" si="206"/>
        <v>0</v>
      </c>
    </row>
    <row r="6406" spans="3:25" ht="15.75" hidden="1" thickBot="1">
      <c r="F6406" s="294" t="s">
        <v>255</v>
      </c>
      <c r="G6406" s="297" t="s">
        <v>256</v>
      </c>
      <c r="J6406" s="639">
        <f t="shared" si="206"/>
        <v>0</v>
      </c>
    </row>
    <row r="6407" spans="3:25" ht="15.75" hidden="1" thickBot="1">
      <c r="F6407" s="294" t="s">
        <v>257</v>
      </c>
      <c r="G6407" s="297" t="s">
        <v>258</v>
      </c>
      <c r="J6407" s="639">
        <f t="shared" si="206"/>
        <v>0</v>
      </c>
    </row>
    <row r="6408" spans="3:25" ht="15.75" hidden="1" thickBot="1">
      <c r="F6408" s="294" t="s">
        <v>259</v>
      </c>
      <c r="G6408" s="297" t="s">
        <v>260</v>
      </c>
      <c r="J6408" s="639">
        <f t="shared" si="206"/>
        <v>0</v>
      </c>
    </row>
    <row r="6409" spans="3:25" ht="15.75" hidden="1" thickBot="1">
      <c r="F6409" s="294" t="s">
        <v>261</v>
      </c>
      <c r="G6409" s="297" t="s">
        <v>262</v>
      </c>
      <c r="H6409" s="638"/>
      <c r="I6409" s="639"/>
      <c r="J6409" s="639">
        <f t="shared" si="206"/>
        <v>0</v>
      </c>
    </row>
    <row r="6410" spans="3:25" ht="15.75" collapsed="1" thickBot="1">
      <c r="G6410" s="274" t="s">
        <v>4247</v>
      </c>
      <c r="H6410" s="640">
        <f>SUM(H6394:H6409)</f>
        <v>2500000</v>
      </c>
      <c r="I6410" s="641">
        <f>SUM(I6395:I6409)</f>
        <v>0</v>
      </c>
      <c r="J6410" s="641">
        <f>SUM(J6394:J6409)</f>
        <v>2500000</v>
      </c>
    </row>
    <row r="6411" spans="3:25" s="88" customFormat="1" hidden="1">
      <c r="C6411" s="310"/>
      <c r="D6411" s="310"/>
      <c r="G6411" s="354"/>
      <c r="H6411" s="651"/>
      <c r="I6411" s="652"/>
      <c r="J6411" s="652"/>
      <c r="K6411" s="575"/>
      <c r="L6411" s="575"/>
      <c r="M6411" s="575"/>
      <c r="N6411" s="575"/>
      <c r="O6411" s="575"/>
      <c r="P6411" s="575"/>
      <c r="Q6411" s="575"/>
      <c r="R6411" s="575"/>
      <c r="S6411" s="575"/>
      <c r="T6411" s="575"/>
      <c r="U6411" s="575"/>
      <c r="V6411" s="575"/>
      <c r="W6411" s="575"/>
      <c r="X6411" s="575"/>
      <c r="Y6411" s="575"/>
    </row>
    <row r="6412" spans="3:25" ht="28.5" hidden="1">
      <c r="C6412" s="273" t="s">
        <v>4105</v>
      </c>
      <c r="D6412" s="264"/>
      <c r="G6412" s="307" t="s">
        <v>4106</v>
      </c>
    </row>
    <row r="6413" spans="3:25" hidden="1">
      <c r="C6413" s="273"/>
      <c r="D6413" s="373">
        <v>540</v>
      </c>
      <c r="E6413" s="374"/>
      <c r="F6413" s="374"/>
      <c r="G6413" s="378" t="s">
        <v>3973</v>
      </c>
    </row>
    <row r="6414" spans="3:25" hidden="1">
      <c r="F6414" s="308">
        <v>411</v>
      </c>
      <c r="G6414" s="340" t="s">
        <v>4173</v>
      </c>
      <c r="J6414" s="635">
        <f>SUM(H6414:I6414)</f>
        <v>0</v>
      </c>
    </row>
    <row r="6415" spans="3:25" hidden="1">
      <c r="F6415" s="308">
        <v>412</v>
      </c>
      <c r="G6415" s="337" t="s">
        <v>3770</v>
      </c>
      <c r="J6415" s="635">
        <f t="shared" ref="J6415:J6473" si="207">SUM(H6415:I6415)</f>
        <v>0</v>
      </c>
    </row>
    <row r="6416" spans="3:25" hidden="1">
      <c r="F6416" s="308">
        <v>413</v>
      </c>
      <c r="G6416" s="340" t="s">
        <v>4174</v>
      </c>
      <c r="J6416" s="635">
        <f t="shared" si="207"/>
        <v>0</v>
      </c>
    </row>
    <row r="6417" spans="6:10" hidden="1">
      <c r="F6417" s="308">
        <v>414</v>
      </c>
      <c r="G6417" s="340" t="s">
        <v>3773</v>
      </c>
      <c r="J6417" s="635">
        <f t="shared" si="207"/>
        <v>0</v>
      </c>
    </row>
    <row r="6418" spans="6:10" hidden="1">
      <c r="F6418" s="308">
        <v>415</v>
      </c>
      <c r="G6418" s="340" t="s">
        <v>4183</v>
      </c>
      <c r="J6418" s="635">
        <f t="shared" si="207"/>
        <v>0</v>
      </c>
    </row>
    <row r="6419" spans="6:10" hidden="1">
      <c r="F6419" s="308">
        <v>416</v>
      </c>
      <c r="G6419" s="340" t="s">
        <v>4184</v>
      </c>
      <c r="J6419" s="635">
        <f t="shared" si="207"/>
        <v>0</v>
      </c>
    </row>
    <row r="6420" spans="6:10" hidden="1">
      <c r="F6420" s="308">
        <v>417</v>
      </c>
      <c r="G6420" s="340" t="s">
        <v>4185</v>
      </c>
      <c r="J6420" s="635">
        <f t="shared" si="207"/>
        <v>0</v>
      </c>
    </row>
    <row r="6421" spans="6:10" hidden="1">
      <c r="F6421" s="308">
        <v>418</v>
      </c>
      <c r="G6421" s="340" t="s">
        <v>3779</v>
      </c>
      <c r="J6421" s="635">
        <f t="shared" si="207"/>
        <v>0</v>
      </c>
    </row>
    <row r="6422" spans="6:10" hidden="1">
      <c r="F6422" s="308">
        <v>421</v>
      </c>
      <c r="G6422" s="340" t="s">
        <v>3783</v>
      </c>
      <c r="J6422" s="635">
        <f t="shared" si="207"/>
        <v>0</v>
      </c>
    </row>
    <row r="6423" spans="6:10" hidden="1">
      <c r="F6423" s="308">
        <v>422</v>
      </c>
      <c r="G6423" s="340" t="s">
        <v>3784</v>
      </c>
      <c r="J6423" s="635">
        <f t="shared" si="207"/>
        <v>0</v>
      </c>
    </row>
    <row r="6424" spans="6:10" hidden="1">
      <c r="F6424" s="308">
        <v>423</v>
      </c>
      <c r="G6424" s="340" t="s">
        <v>3785</v>
      </c>
      <c r="J6424" s="635">
        <f t="shared" si="207"/>
        <v>0</v>
      </c>
    </row>
    <row r="6425" spans="6:10" hidden="1">
      <c r="F6425" s="308">
        <v>424</v>
      </c>
      <c r="G6425" s="340" t="s">
        <v>3787</v>
      </c>
      <c r="J6425" s="635">
        <f t="shared" si="207"/>
        <v>0</v>
      </c>
    </row>
    <row r="6426" spans="6:10" hidden="1">
      <c r="F6426" s="308">
        <v>425</v>
      </c>
      <c r="G6426" s="340" t="s">
        <v>4186</v>
      </c>
      <c r="J6426" s="635">
        <f t="shared" si="207"/>
        <v>0</v>
      </c>
    </row>
    <row r="6427" spans="6:10" hidden="1">
      <c r="F6427" s="308">
        <v>426</v>
      </c>
      <c r="G6427" s="340" t="s">
        <v>3791</v>
      </c>
      <c r="J6427" s="635">
        <f t="shared" si="207"/>
        <v>0</v>
      </c>
    </row>
    <row r="6428" spans="6:10" hidden="1">
      <c r="F6428" s="308">
        <v>431</v>
      </c>
      <c r="G6428" s="340" t="s">
        <v>4187</v>
      </c>
      <c r="J6428" s="635">
        <f t="shared" si="207"/>
        <v>0</v>
      </c>
    </row>
    <row r="6429" spans="6:10" hidden="1">
      <c r="F6429" s="308">
        <v>432</v>
      </c>
      <c r="G6429" s="340" t="s">
        <v>4188</v>
      </c>
      <c r="J6429" s="635">
        <f t="shared" si="207"/>
        <v>0</v>
      </c>
    </row>
    <row r="6430" spans="6:10" hidden="1">
      <c r="F6430" s="308">
        <v>433</v>
      </c>
      <c r="G6430" s="340" t="s">
        <v>4189</v>
      </c>
      <c r="J6430" s="635">
        <f t="shared" si="207"/>
        <v>0</v>
      </c>
    </row>
    <row r="6431" spans="6:10" hidden="1">
      <c r="F6431" s="308">
        <v>434</v>
      </c>
      <c r="G6431" s="340" t="s">
        <v>4190</v>
      </c>
      <c r="J6431" s="635">
        <f t="shared" si="207"/>
        <v>0</v>
      </c>
    </row>
    <row r="6432" spans="6:10" hidden="1">
      <c r="F6432" s="308">
        <v>435</v>
      </c>
      <c r="G6432" s="340" t="s">
        <v>3798</v>
      </c>
      <c r="J6432" s="635">
        <f t="shared" si="207"/>
        <v>0</v>
      </c>
    </row>
    <row r="6433" spans="6:10" hidden="1">
      <c r="F6433" s="308">
        <v>441</v>
      </c>
      <c r="G6433" s="340" t="s">
        <v>4191</v>
      </c>
      <c r="J6433" s="635">
        <f t="shared" si="207"/>
        <v>0</v>
      </c>
    </row>
    <row r="6434" spans="6:10" hidden="1">
      <c r="F6434" s="308">
        <v>442</v>
      </c>
      <c r="G6434" s="340" t="s">
        <v>4192</v>
      </c>
      <c r="J6434" s="635">
        <f t="shared" si="207"/>
        <v>0</v>
      </c>
    </row>
    <row r="6435" spans="6:10" hidden="1">
      <c r="F6435" s="308">
        <v>443</v>
      </c>
      <c r="G6435" s="340" t="s">
        <v>3803</v>
      </c>
      <c r="J6435" s="635">
        <f t="shared" si="207"/>
        <v>0</v>
      </c>
    </row>
    <row r="6436" spans="6:10" hidden="1">
      <c r="F6436" s="308">
        <v>444</v>
      </c>
      <c r="G6436" s="340" t="s">
        <v>3804</v>
      </c>
      <c r="J6436" s="635">
        <f t="shared" si="207"/>
        <v>0</v>
      </c>
    </row>
    <row r="6437" spans="6:10" ht="30" hidden="1">
      <c r="F6437" s="308">
        <v>4511</v>
      </c>
      <c r="G6437" s="268" t="s">
        <v>1690</v>
      </c>
      <c r="J6437" s="635">
        <f t="shared" si="207"/>
        <v>0</v>
      </c>
    </row>
    <row r="6438" spans="6:10" ht="30" hidden="1">
      <c r="F6438" s="308">
        <v>4512</v>
      </c>
      <c r="G6438" s="268" t="s">
        <v>1699</v>
      </c>
      <c r="J6438" s="635">
        <f t="shared" si="207"/>
        <v>0</v>
      </c>
    </row>
    <row r="6439" spans="6:10" hidden="1">
      <c r="F6439" s="308">
        <v>452</v>
      </c>
      <c r="G6439" s="340" t="s">
        <v>4193</v>
      </c>
      <c r="J6439" s="635">
        <f t="shared" si="207"/>
        <v>0</v>
      </c>
    </row>
    <row r="6440" spans="6:10" hidden="1">
      <c r="F6440" s="308">
        <v>453</v>
      </c>
      <c r="G6440" s="340" t="s">
        <v>4194</v>
      </c>
      <c r="J6440" s="635">
        <f t="shared" si="207"/>
        <v>0</v>
      </c>
    </row>
    <row r="6441" spans="6:10" hidden="1">
      <c r="F6441" s="308">
        <v>454</v>
      </c>
      <c r="G6441" s="340" t="s">
        <v>3809</v>
      </c>
      <c r="J6441" s="635">
        <f t="shared" si="207"/>
        <v>0</v>
      </c>
    </row>
    <row r="6442" spans="6:10" hidden="1">
      <c r="F6442" s="308">
        <v>461</v>
      </c>
      <c r="G6442" s="340" t="s">
        <v>4175</v>
      </c>
      <c r="J6442" s="635">
        <f t="shared" si="207"/>
        <v>0</v>
      </c>
    </row>
    <row r="6443" spans="6:10" hidden="1">
      <c r="F6443" s="308">
        <v>462</v>
      </c>
      <c r="G6443" s="340" t="s">
        <v>3812</v>
      </c>
      <c r="J6443" s="635">
        <f t="shared" si="207"/>
        <v>0</v>
      </c>
    </row>
    <row r="6444" spans="6:10" hidden="1">
      <c r="F6444" s="308">
        <v>4631</v>
      </c>
      <c r="G6444" s="340" t="s">
        <v>3813</v>
      </c>
      <c r="J6444" s="635">
        <f t="shared" si="207"/>
        <v>0</v>
      </c>
    </row>
    <row r="6445" spans="6:10" hidden="1">
      <c r="F6445" s="308">
        <v>4632</v>
      </c>
      <c r="G6445" s="340" t="s">
        <v>3814</v>
      </c>
      <c r="J6445" s="635">
        <f t="shared" si="207"/>
        <v>0</v>
      </c>
    </row>
    <row r="6446" spans="6:10" hidden="1">
      <c r="F6446" s="308">
        <v>464</v>
      </c>
      <c r="G6446" s="340" t="s">
        <v>3815</v>
      </c>
      <c r="J6446" s="635">
        <f t="shared" si="207"/>
        <v>0</v>
      </c>
    </row>
    <row r="6447" spans="6:10" hidden="1">
      <c r="F6447" s="308">
        <v>465</v>
      </c>
      <c r="G6447" s="340" t="s">
        <v>4176</v>
      </c>
      <c r="J6447" s="635">
        <f t="shared" si="207"/>
        <v>0</v>
      </c>
    </row>
    <row r="6448" spans="6:10" hidden="1">
      <c r="F6448" s="308">
        <v>472</v>
      </c>
      <c r="G6448" s="340" t="s">
        <v>3819</v>
      </c>
      <c r="J6448" s="635">
        <f t="shared" si="207"/>
        <v>0</v>
      </c>
    </row>
    <row r="6449" spans="6:10" hidden="1">
      <c r="F6449" s="308">
        <v>481</v>
      </c>
      <c r="G6449" s="340" t="s">
        <v>4195</v>
      </c>
      <c r="J6449" s="635">
        <f t="shared" si="207"/>
        <v>0</v>
      </c>
    </row>
    <row r="6450" spans="6:10" hidden="1">
      <c r="F6450" s="308">
        <v>482</v>
      </c>
      <c r="G6450" s="340" t="s">
        <v>4196</v>
      </c>
      <c r="J6450" s="635">
        <f t="shared" si="207"/>
        <v>0</v>
      </c>
    </row>
    <row r="6451" spans="6:10" hidden="1">
      <c r="F6451" s="308">
        <v>483</v>
      </c>
      <c r="G6451" s="343" t="s">
        <v>4197</v>
      </c>
      <c r="J6451" s="635">
        <f t="shared" si="207"/>
        <v>0</v>
      </c>
    </row>
    <row r="6452" spans="6:10" ht="30" hidden="1">
      <c r="F6452" s="308">
        <v>484</v>
      </c>
      <c r="G6452" s="340" t="s">
        <v>4198</v>
      </c>
      <c r="J6452" s="635">
        <f t="shared" si="207"/>
        <v>0</v>
      </c>
    </row>
    <row r="6453" spans="6:10" ht="30" hidden="1">
      <c r="F6453" s="308">
        <v>485</v>
      </c>
      <c r="G6453" s="340" t="s">
        <v>4199</v>
      </c>
      <c r="J6453" s="635">
        <f t="shared" si="207"/>
        <v>0</v>
      </c>
    </row>
    <row r="6454" spans="6:10" ht="30" hidden="1">
      <c r="F6454" s="308">
        <v>489</v>
      </c>
      <c r="G6454" s="340" t="s">
        <v>3827</v>
      </c>
      <c r="J6454" s="635">
        <f t="shared" si="207"/>
        <v>0</v>
      </c>
    </row>
    <row r="6455" spans="6:10" hidden="1">
      <c r="F6455" s="308">
        <v>494</v>
      </c>
      <c r="G6455" s="340" t="s">
        <v>4177</v>
      </c>
      <c r="J6455" s="635">
        <f t="shared" si="207"/>
        <v>0</v>
      </c>
    </row>
    <row r="6456" spans="6:10" ht="30" hidden="1">
      <c r="F6456" s="308">
        <v>495</v>
      </c>
      <c r="G6456" s="340" t="s">
        <v>4178</v>
      </c>
      <c r="J6456" s="635">
        <f t="shared" si="207"/>
        <v>0</v>
      </c>
    </row>
    <row r="6457" spans="6:10" ht="30" hidden="1">
      <c r="F6457" s="308">
        <v>496</v>
      </c>
      <c r="G6457" s="340" t="s">
        <v>4179</v>
      </c>
      <c r="J6457" s="635">
        <f t="shared" si="207"/>
        <v>0</v>
      </c>
    </row>
    <row r="6458" spans="6:10" hidden="1">
      <c r="F6458" s="308">
        <v>499</v>
      </c>
      <c r="G6458" s="340" t="s">
        <v>4180</v>
      </c>
      <c r="J6458" s="635">
        <f t="shared" si="207"/>
        <v>0</v>
      </c>
    </row>
    <row r="6459" spans="6:10" hidden="1">
      <c r="F6459" s="308">
        <v>511</v>
      </c>
      <c r="G6459" s="343" t="s">
        <v>4200</v>
      </c>
      <c r="J6459" s="635">
        <f t="shared" si="207"/>
        <v>0</v>
      </c>
    </row>
    <row r="6460" spans="6:10" hidden="1">
      <c r="F6460" s="308">
        <v>512</v>
      </c>
      <c r="G6460" s="343" t="s">
        <v>4201</v>
      </c>
      <c r="J6460" s="635">
        <f t="shared" si="207"/>
        <v>0</v>
      </c>
    </row>
    <row r="6461" spans="6:10" hidden="1">
      <c r="F6461" s="308">
        <v>513</v>
      </c>
      <c r="G6461" s="343" t="s">
        <v>4202</v>
      </c>
      <c r="J6461" s="635">
        <f t="shared" si="207"/>
        <v>0</v>
      </c>
    </row>
    <row r="6462" spans="6:10" hidden="1">
      <c r="F6462" s="308">
        <v>514</v>
      </c>
      <c r="G6462" s="340" t="s">
        <v>4203</v>
      </c>
      <c r="J6462" s="635">
        <f t="shared" si="207"/>
        <v>0</v>
      </c>
    </row>
    <row r="6463" spans="6:10" hidden="1">
      <c r="F6463" s="308">
        <v>515</v>
      </c>
      <c r="G6463" s="340" t="s">
        <v>3838</v>
      </c>
      <c r="J6463" s="635">
        <f t="shared" si="207"/>
        <v>0</v>
      </c>
    </row>
    <row r="6464" spans="6:10" hidden="1">
      <c r="F6464" s="308">
        <v>521</v>
      </c>
      <c r="G6464" s="340" t="s">
        <v>4204</v>
      </c>
      <c r="J6464" s="635">
        <f t="shared" si="207"/>
        <v>0</v>
      </c>
    </row>
    <row r="6465" spans="5:10" hidden="1">
      <c r="F6465" s="308">
        <v>522</v>
      </c>
      <c r="G6465" s="340" t="s">
        <v>4205</v>
      </c>
      <c r="J6465" s="635">
        <f t="shared" si="207"/>
        <v>0</v>
      </c>
    </row>
    <row r="6466" spans="5:10" hidden="1">
      <c r="F6466" s="308">
        <v>523</v>
      </c>
      <c r="G6466" s="340" t="s">
        <v>3843</v>
      </c>
      <c r="J6466" s="635">
        <f t="shared" si="207"/>
        <v>0</v>
      </c>
    </row>
    <row r="6467" spans="5:10" hidden="1">
      <c r="F6467" s="308">
        <v>531</v>
      </c>
      <c r="G6467" s="337" t="s">
        <v>4181</v>
      </c>
      <c r="J6467" s="635">
        <f t="shared" si="207"/>
        <v>0</v>
      </c>
    </row>
    <row r="6468" spans="5:10" hidden="1">
      <c r="F6468" s="308">
        <v>541</v>
      </c>
      <c r="G6468" s="340" t="s">
        <v>4206</v>
      </c>
      <c r="J6468" s="635">
        <f t="shared" si="207"/>
        <v>0</v>
      </c>
    </row>
    <row r="6469" spans="5:10" hidden="1">
      <c r="F6469" s="308">
        <v>542</v>
      </c>
      <c r="G6469" s="340" t="s">
        <v>4207</v>
      </c>
      <c r="J6469" s="635">
        <f t="shared" si="207"/>
        <v>0</v>
      </c>
    </row>
    <row r="6470" spans="5:10" hidden="1">
      <c r="F6470" s="308">
        <v>543</v>
      </c>
      <c r="G6470" s="340" t="s">
        <v>3848</v>
      </c>
      <c r="J6470" s="635">
        <f t="shared" si="207"/>
        <v>0</v>
      </c>
    </row>
    <row r="6471" spans="5:10" ht="30" hidden="1">
      <c r="F6471" s="308">
        <v>551</v>
      </c>
      <c r="G6471" s="340" t="s">
        <v>4182</v>
      </c>
      <c r="J6471" s="635">
        <f t="shared" si="207"/>
        <v>0</v>
      </c>
    </row>
    <row r="6472" spans="5:10" hidden="1">
      <c r="F6472" s="309">
        <v>611</v>
      </c>
      <c r="G6472" s="344" t="s">
        <v>3854</v>
      </c>
      <c r="J6472" s="635">
        <f t="shared" si="207"/>
        <v>0</v>
      </c>
    </row>
    <row r="6473" spans="5:10" hidden="1">
      <c r="F6473" s="309">
        <v>620</v>
      </c>
      <c r="G6473" s="344" t="s">
        <v>88</v>
      </c>
      <c r="J6473" s="635">
        <f t="shared" si="207"/>
        <v>0</v>
      </c>
    </row>
    <row r="6474" spans="5:10" hidden="1">
      <c r="E6474" s="338"/>
      <c r="F6474" s="346"/>
      <c r="G6474" s="371" t="s">
        <v>4362</v>
      </c>
      <c r="H6474" s="636"/>
      <c r="I6474" s="662"/>
      <c r="J6474" s="637"/>
    </row>
    <row r="6475" spans="5:10" hidden="1">
      <c r="E6475" s="267"/>
      <c r="F6475" s="294" t="s">
        <v>234</v>
      </c>
      <c r="G6475" s="297" t="s">
        <v>235</v>
      </c>
      <c r="H6475" s="638">
        <f>SUM(H6414:H6473)</f>
        <v>0</v>
      </c>
      <c r="I6475" s="639"/>
      <c r="J6475" s="639">
        <f>SUM(H6475:I6475)</f>
        <v>0</v>
      </c>
    </row>
    <row r="6476" spans="5:10" hidden="1">
      <c r="F6476" s="294" t="s">
        <v>236</v>
      </c>
      <c r="G6476" s="297" t="s">
        <v>237</v>
      </c>
      <c r="J6476" s="639">
        <f t="shared" ref="J6476:J6490" si="208">SUM(H6476:I6476)</f>
        <v>0</v>
      </c>
    </row>
    <row r="6477" spans="5:10" hidden="1">
      <c r="F6477" s="294" t="s">
        <v>238</v>
      </c>
      <c r="G6477" s="297" t="s">
        <v>239</v>
      </c>
      <c r="J6477" s="639">
        <f t="shared" si="208"/>
        <v>0</v>
      </c>
    </row>
    <row r="6478" spans="5:10" hidden="1">
      <c r="F6478" s="294" t="s">
        <v>240</v>
      </c>
      <c r="G6478" s="297" t="s">
        <v>241</v>
      </c>
      <c r="J6478" s="639">
        <f t="shared" si="208"/>
        <v>0</v>
      </c>
    </row>
    <row r="6479" spans="5:10" hidden="1">
      <c r="F6479" s="294" t="s">
        <v>242</v>
      </c>
      <c r="G6479" s="297" t="s">
        <v>243</v>
      </c>
      <c r="J6479" s="639">
        <f t="shared" si="208"/>
        <v>0</v>
      </c>
    </row>
    <row r="6480" spans="5:10" hidden="1">
      <c r="F6480" s="294" t="s">
        <v>244</v>
      </c>
      <c r="G6480" s="297" t="s">
        <v>245</v>
      </c>
      <c r="J6480" s="639">
        <f t="shared" si="208"/>
        <v>0</v>
      </c>
    </row>
    <row r="6481" spans="5:10" hidden="1">
      <c r="F6481" s="294" t="s">
        <v>246</v>
      </c>
      <c r="G6481" s="683" t="s">
        <v>5121</v>
      </c>
      <c r="J6481" s="639">
        <f t="shared" si="208"/>
        <v>0</v>
      </c>
    </row>
    <row r="6482" spans="5:10" hidden="1">
      <c r="F6482" s="294" t="s">
        <v>247</v>
      </c>
      <c r="G6482" s="683" t="s">
        <v>5120</v>
      </c>
      <c r="J6482" s="639">
        <f t="shared" si="208"/>
        <v>0</v>
      </c>
    </row>
    <row r="6483" spans="5:10" hidden="1">
      <c r="F6483" s="294" t="s">
        <v>248</v>
      </c>
      <c r="G6483" s="297" t="s">
        <v>57</v>
      </c>
      <c r="J6483" s="639">
        <f t="shared" si="208"/>
        <v>0</v>
      </c>
    </row>
    <row r="6484" spans="5:10" hidden="1">
      <c r="F6484" s="294" t="s">
        <v>249</v>
      </c>
      <c r="G6484" s="297" t="s">
        <v>250</v>
      </c>
      <c r="J6484" s="639">
        <f t="shared" si="208"/>
        <v>0</v>
      </c>
    </row>
    <row r="6485" spans="5:10" hidden="1">
      <c r="F6485" s="294" t="s">
        <v>251</v>
      </c>
      <c r="G6485" s="297" t="s">
        <v>252</v>
      </c>
      <c r="J6485" s="639">
        <f t="shared" si="208"/>
        <v>0</v>
      </c>
    </row>
    <row r="6486" spans="5:10" hidden="1">
      <c r="F6486" s="294" t="s">
        <v>253</v>
      </c>
      <c r="G6486" s="297" t="s">
        <v>254</v>
      </c>
      <c r="J6486" s="639">
        <f t="shared" si="208"/>
        <v>0</v>
      </c>
    </row>
    <row r="6487" spans="5:10" hidden="1">
      <c r="F6487" s="294" t="s">
        <v>255</v>
      </c>
      <c r="G6487" s="297" t="s">
        <v>256</v>
      </c>
      <c r="J6487" s="639">
        <f t="shared" si="208"/>
        <v>0</v>
      </c>
    </row>
    <row r="6488" spans="5:10" hidden="1">
      <c r="F6488" s="294" t="s">
        <v>257</v>
      </c>
      <c r="G6488" s="297" t="s">
        <v>258</v>
      </c>
      <c r="J6488" s="639">
        <f t="shared" si="208"/>
        <v>0</v>
      </c>
    </row>
    <row r="6489" spans="5:10" hidden="1">
      <c r="F6489" s="294" t="s">
        <v>259</v>
      </c>
      <c r="G6489" s="297" t="s">
        <v>260</v>
      </c>
      <c r="J6489" s="639">
        <f t="shared" si="208"/>
        <v>0</v>
      </c>
    </row>
    <row r="6490" spans="5:10" hidden="1">
      <c r="F6490" s="294" t="s">
        <v>261</v>
      </c>
      <c r="G6490" s="297" t="s">
        <v>262</v>
      </c>
      <c r="H6490" s="638"/>
      <c r="I6490" s="639"/>
      <c r="J6490" s="639">
        <f t="shared" si="208"/>
        <v>0</v>
      </c>
    </row>
    <row r="6491" spans="5:10" ht="15.75" hidden="1" thickBot="1">
      <c r="G6491" s="274" t="s">
        <v>4363</v>
      </c>
      <c r="H6491" s="640">
        <f>SUM(H6475:H6490)</f>
        <v>0</v>
      </c>
      <c r="I6491" s="641">
        <f>SUM(I6476:I6490)</f>
        <v>0</v>
      </c>
      <c r="J6491" s="641">
        <f>SUM(J6475:J6490)</f>
        <v>0</v>
      </c>
    </row>
    <row r="6492" spans="5:10" hidden="1" collapsed="1">
      <c r="E6492" s="305"/>
      <c r="F6492" s="309"/>
      <c r="G6492" s="276" t="s">
        <v>4249</v>
      </c>
      <c r="H6492" s="642"/>
      <c r="I6492" s="663"/>
      <c r="J6492" s="643"/>
    </row>
    <row r="6493" spans="5:10" hidden="1">
      <c r="E6493" s="267"/>
      <c r="F6493" s="294" t="s">
        <v>234</v>
      </c>
      <c r="G6493" s="297" t="s">
        <v>235</v>
      </c>
      <c r="H6493" s="638">
        <f>SUM(H6414:H6473)</f>
        <v>0</v>
      </c>
      <c r="I6493" s="639"/>
      <c r="J6493" s="639">
        <f>SUM(H6493:I6493)</f>
        <v>0</v>
      </c>
    </row>
    <row r="6494" spans="5:10" hidden="1">
      <c r="F6494" s="294" t="s">
        <v>236</v>
      </c>
      <c r="G6494" s="297" t="s">
        <v>237</v>
      </c>
      <c r="J6494" s="639">
        <f t="shared" ref="J6494:J6508" si="209">SUM(H6494:I6494)</f>
        <v>0</v>
      </c>
    </row>
    <row r="6495" spans="5:10" hidden="1">
      <c r="F6495" s="294" t="s">
        <v>238</v>
      </c>
      <c r="G6495" s="297" t="s">
        <v>239</v>
      </c>
      <c r="J6495" s="639">
        <f t="shared" si="209"/>
        <v>0</v>
      </c>
    </row>
    <row r="6496" spans="5:10" hidden="1">
      <c r="F6496" s="294" t="s">
        <v>240</v>
      </c>
      <c r="G6496" s="297" t="s">
        <v>241</v>
      </c>
      <c r="J6496" s="639">
        <f t="shared" si="209"/>
        <v>0</v>
      </c>
    </row>
    <row r="6497" spans="3:25" hidden="1">
      <c r="F6497" s="294" t="s">
        <v>242</v>
      </c>
      <c r="G6497" s="297" t="s">
        <v>243</v>
      </c>
      <c r="J6497" s="639">
        <f t="shared" si="209"/>
        <v>0</v>
      </c>
    </row>
    <row r="6498" spans="3:25" hidden="1">
      <c r="F6498" s="294" t="s">
        <v>244</v>
      </c>
      <c r="G6498" s="297" t="s">
        <v>245</v>
      </c>
      <c r="J6498" s="639">
        <f t="shared" si="209"/>
        <v>0</v>
      </c>
    </row>
    <row r="6499" spans="3:25" hidden="1">
      <c r="F6499" s="294" t="s">
        <v>246</v>
      </c>
      <c r="G6499" s="683" t="s">
        <v>5121</v>
      </c>
      <c r="J6499" s="639">
        <f t="shared" si="209"/>
        <v>0</v>
      </c>
    </row>
    <row r="6500" spans="3:25" hidden="1">
      <c r="F6500" s="294" t="s">
        <v>247</v>
      </c>
      <c r="G6500" s="683" t="s">
        <v>5120</v>
      </c>
      <c r="J6500" s="639">
        <f t="shared" si="209"/>
        <v>0</v>
      </c>
    </row>
    <row r="6501" spans="3:25" hidden="1">
      <c r="F6501" s="294" t="s">
        <v>248</v>
      </c>
      <c r="G6501" s="297" t="s">
        <v>57</v>
      </c>
      <c r="J6501" s="639">
        <f t="shared" si="209"/>
        <v>0</v>
      </c>
    </row>
    <row r="6502" spans="3:25" hidden="1">
      <c r="F6502" s="294" t="s">
        <v>249</v>
      </c>
      <c r="G6502" s="297" t="s">
        <v>250</v>
      </c>
      <c r="J6502" s="639">
        <f t="shared" si="209"/>
        <v>0</v>
      </c>
    </row>
    <row r="6503" spans="3:25" hidden="1">
      <c r="F6503" s="294" t="s">
        <v>251</v>
      </c>
      <c r="G6503" s="297" t="s">
        <v>252</v>
      </c>
      <c r="J6503" s="639">
        <f t="shared" si="209"/>
        <v>0</v>
      </c>
    </row>
    <row r="6504" spans="3:25" hidden="1">
      <c r="F6504" s="294" t="s">
        <v>253</v>
      </c>
      <c r="G6504" s="297" t="s">
        <v>254</v>
      </c>
      <c r="J6504" s="639">
        <f t="shared" si="209"/>
        <v>0</v>
      </c>
    </row>
    <row r="6505" spans="3:25" hidden="1">
      <c r="F6505" s="294" t="s">
        <v>255</v>
      </c>
      <c r="G6505" s="297" t="s">
        <v>256</v>
      </c>
      <c r="J6505" s="639">
        <f t="shared" si="209"/>
        <v>0</v>
      </c>
    </row>
    <row r="6506" spans="3:25" hidden="1">
      <c r="F6506" s="294" t="s">
        <v>257</v>
      </c>
      <c r="G6506" s="297" t="s">
        <v>258</v>
      </c>
      <c r="J6506" s="639">
        <f t="shared" si="209"/>
        <v>0</v>
      </c>
    </row>
    <row r="6507" spans="3:25" hidden="1">
      <c r="F6507" s="294" t="s">
        <v>259</v>
      </c>
      <c r="G6507" s="297" t="s">
        <v>260</v>
      </c>
      <c r="J6507" s="639">
        <f t="shared" si="209"/>
        <v>0</v>
      </c>
    </row>
    <row r="6508" spans="3:25" hidden="1">
      <c r="F6508" s="294" t="s">
        <v>261</v>
      </c>
      <c r="G6508" s="297" t="s">
        <v>262</v>
      </c>
      <c r="H6508" s="638"/>
      <c r="I6508" s="639"/>
      <c r="J6508" s="639">
        <f t="shared" si="209"/>
        <v>0</v>
      </c>
    </row>
    <row r="6509" spans="3:25" ht="15.75" hidden="1" collapsed="1" thickBot="1">
      <c r="G6509" s="274" t="s">
        <v>4248</v>
      </c>
      <c r="H6509" s="640">
        <f>SUM(H6493:H6508)</f>
        <v>0</v>
      </c>
      <c r="I6509" s="641">
        <f>SUM(I6494:I6508)</f>
        <v>0</v>
      </c>
      <c r="J6509" s="641">
        <f>SUM(J6493:J6508)</f>
        <v>0</v>
      </c>
    </row>
    <row r="6510" spans="3:25" s="88" customFormat="1" hidden="1">
      <c r="C6510" s="316"/>
      <c r="G6510" s="355"/>
      <c r="H6510" s="651"/>
      <c r="I6510" s="652"/>
      <c r="J6510" s="652"/>
      <c r="K6510" s="575"/>
      <c r="L6510" s="575"/>
      <c r="M6510" s="575"/>
      <c r="N6510" s="575"/>
      <c r="O6510" s="575"/>
      <c r="P6510" s="575"/>
      <c r="Q6510" s="575"/>
      <c r="R6510" s="575"/>
      <c r="S6510" s="575"/>
      <c r="T6510" s="575"/>
      <c r="U6510" s="575"/>
      <c r="V6510" s="575"/>
      <c r="W6510" s="575"/>
      <c r="X6510" s="575"/>
      <c r="Y6510" s="575"/>
    </row>
    <row r="6511" spans="3:25" hidden="1">
      <c r="C6511" s="273" t="s">
        <v>4623</v>
      </c>
      <c r="D6511" s="264"/>
      <c r="G6511" s="307" t="s">
        <v>5098</v>
      </c>
    </row>
    <row r="6512" spans="3:25" hidden="1">
      <c r="C6512" s="273"/>
      <c r="D6512" s="357">
        <v>560</v>
      </c>
      <c r="E6512" s="357"/>
      <c r="F6512" s="357"/>
      <c r="G6512" s="359" t="s">
        <v>179</v>
      </c>
    </row>
    <row r="6513" spans="6:10" hidden="1">
      <c r="F6513" s="308">
        <v>411</v>
      </c>
      <c r="G6513" s="340" t="s">
        <v>4173</v>
      </c>
      <c r="J6513" s="635">
        <f>SUM(H6513:I6513)</f>
        <v>0</v>
      </c>
    </row>
    <row r="6514" spans="6:10" hidden="1">
      <c r="F6514" s="308">
        <v>412</v>
      </c>
      <c r="G6514" s="337" t="s">
        <v>3770</v>
      </c>
      <c r="J6514" s="635">
        <f t="shared" ref="J6514:J6572" si="210">SUM(H6514:I6514)</f>
        <v>0</v>
      </c>
    </row>
    <row r="6515" spans="6:10" hidden="1">
      <c r="F6515" s="308">
        <v>413</v>
      </c>
      <c r="G6515" s="340" t="s">
        <v>4174</v>
      </c>
      <c r="J6515" s="635">
        <f t="shared" si="210"/>
        <v>0</v>
      </c>
    </row>
    <row r="6516" spans="6:10" hidden="1">
      <c r="F6516" s="308">
        <v>414</v>
      </c>
      <c r="G6516" s="340" t="s">
        <v>3773</v>
      </c>
      <c r="J6516" s="635">
        <f t="shared" si="210"/>
        <v>0</v>
      </c>
    </row>
    <row r="6517" spans="6:10" hidden="1">
      <c r="F6517" s="308">
        <v>415</v>
      </c>
      <c r="G6517" s="340" t="s">
        <v>4183</v>
      </c>
      <c r="J6517" s="635">
        <f t="shared" si="210"/>
        <v>0</v>
      </c>
    </row>
    <row r="6518" spans="6:10" hidden="1">
      <c r="F6518" s="308">
        <v>416</v>
      </c>
      <c r="G6518" s="340" t="s">
        <v>4184</v>
      </c>
      <c r="J6518" s="635">
        <f t="shared" si="210"/>
        <v>0</v>
      </c>
    </row>
    <row r="6519" spans="6:10" hidden="1">
      <c r="F6519" s="308">
        <v>417</v>
      </c>
      <c r="G6519" s="340" t="s">
        <v>4185</v>
      </c>
      <c r="J6519" s="635">
        <f t="shared" si="210"/>
        <v>0</v>
      </c>
    </row>
    <row r="6520" spans="6:10" hidden="1">
      <c r="F6520" s="308">
        <v>418</v>
      </c>
      <c r="G6520" s="340" t="s">
        <v>3779</v>
      </c>
      <c r="J6520" s="635">
        <f t="shared" si="210"/>
        <v>0</v>
      </c>
    </row>
    <row r="6521" spans="6:10" hidden="1">
      <c r="F6521" s="308">
        <v>421</v>
      </c>
      <c r="G6521" s="340" t="s">
        <v>3783</v>
      </c>
      <c r="J6521" s="635">
        <f t="shared" si="210"/>
        <v>0</v>
      </c>
    </row>
    <row r="6522" spans="6:10" hidden="1">
      <c r="F6522" s="308">
        <v>422</v>
      </c>
      <c r="G6522" s="340" t="s">
        <v>3784</v>
      </c>
      <c r="J6522" s="635">
        <f t="shared" si="210"/>
        <v>0</v>
      </c>
    </row>
    <row r="6523" spans="6:10" hidden="1">
      <c r="F6523" s="308">
        <v>423</v>
      </c>
      <c r="G6523" s="340" t="s">
        <v>3785</v>
      </c>
      <c r="J6523" s="635">
        <f t="shared" si="210"/>
        <v>0</v>
      </c>
    </row>
    <row r="6524" spans="6:10" hidden="1">
      <c r="F6524" s="308">
        <v>424</v>
      </c>
      <c r="G6524" s="340" t="s">
        <v>3787</v>
      </c>
      <c r="J6524" s="635">
        <f t="shared" si="210"/>
        <v>0</v>
      </c>
    </row>
    <row r="6525" spans="6:10" hidden="1">
      <c r="F6525" s="308">
        <v>425</v>
      </c>
      <c r="G6525" s="340" t="s">
        <v>4186</v>
      </c>
      <c r="J6525" s="635">
        <f t="shared" si="210"/>
        <v>0</v>
      </c>
    </row>
    <row r="6526" spans="6:10" hidden="1">
      <c r="F6526" s="308">
        <v>426</v>
      </c>
      <c r="G6526" s="340" t="s">
        <v>3791</v>
      </c>
      <c r="J6526" s="635">
        <f t="shared" si="210"/>
        <v>0</v>
      </c>
    </row>
    <row r="6527" spans="6:10" hidden="1">
      <c r="F6527" s="308">
        <v>431</v>
      </c>
      <c r="G6527" s="340" t="s">
        <v>4187</v>
      </c>
      <c r="J6527" s="635">
        <f t="shared" si="210"/>
        <v>0</v>
      </c>
    </row>
    <row r="6528" spans="6:10" hidden="1">
      <c r="F6528" s="308">
        <v>432</v>
      </c>
      <c r="G6528" s="340" t="s">
        <v>4188</v>
      </c>
      <c r="J6528" s="635">
        <f t="shared" si="210"/>
        <v>0</v>
      </c>
    </row>
    <row r="6529" spans="6:10" hidden="1">
      <c r="F6529" s="308">
        <v>433</v>
      </c>
      <c r="G6529" s="340" t="s">
        <v>4189</v>
      </c>
      <c r="J6529" s="635">
        <f t="shared" si="210"/>
        <v>0</v>
      </c>
    </row>
    <row r="6530" spans="6:10" hidden="1">
      <c r="F6530" s="308">
        <v>434</v>
      </c>
      <c r="G6530" s="340" t="s">
        <v>4190</v>
      </c>
      <c r="J6530" s="635">
        <f t="shared" si="210"/>
        <v>0</v>
      </c>
    </row>
    <row r="6531" spans="6:10" hidden="1">
      <c r="F6531" s="308">
        <v>435</v>
      </c>
      <c r="G6531" s="340" t="s">
        <v>3798</v>
      </c>
      <c r="J6531" s="635">
        <f t="shared" si="210"/>
        <v>0</v>
      </c>
    </row>
    <row r="6532" spans="6:10" hidden="1">
      <c r="F6532" s="308">
        <v>441</v>
      </c>
      <c r="G6532" s="340" t="s">
        <v>4191</v>
      </c>
      <c r="J6532" s="635">
        <f t="shared" si="210"/>
        <v>0</v>
      </c>
    </row>
    <row r="6533" spans="6:10" hidden="1">
      <c r="F6533" s="308">
        <v>442</v>
      </c>
      <c r="G6533" s="340" t="s">
        <v>4192</v>
      </c>
      <c r="J6533" s="635">
        <f t="shared" si="210"/>
        <v>0</v>
      </c>
    </row>
    <row r="6534" spans="6:10" hidden="1">
      <c r="F6534" s="308">
        <v>443</v>
      </c>
      <c r="G6534" s="340" t="s">
        <v>3803</v>
      </c>
      <c r="J6534" s="635">
        <f t="shared" si="210"/>
        <v>0</v>
      </c>
    </row>
    <row r="6535" spans="6:10" hidden="1">
      <c r="F6535" s="308">
        <v>444</v>
      </c>
      <c r="G6535" s="340" t="s">
        <v>3804</v>
      </c>
      <c r="J6535" s="635">
        <f t="shared" si="210"/>
        <v>0</v>
      </c>
    </row>
    <row r="6536" spans="6:10" ht="30" hidden="1">
      <c r="F6536" s="308">
        <v>4511</v>
      </c>
      <c r="G6536" s="268" t="s">
        <v>1690</v>
      </c>
      <c r="J6536" s="635">
        <f t="shared" si="210"/>
        <v>0</v>
      </c>
    </row>
    <row r="6537" spans="6:10" ht="30" hidden="1">
      <c r="F6537" s="308">
        <v>4512</v>
      </c>
      <c r="G6537" s="268" t="s">
        <v>1699</v>
      </c>
      <c r="J6537" s="635">
        <f t="shared" si="210"/>
        <v>0</v>
      </c>
    </row>
    <row r="6538" spans="6:10" hidden="1">
      <c r="F6538" s="308">
        <v>452</v>
      </c>
      <c r="G6538" s="340" t="s">
        <v>4193</v>
      </c>
      <c r="J6538" s="635">
        <f t="shared" si="210"/>
        <v>0</v>
      </c>
    </row>
    <row r="6539" spans="6:10" hidden="1">
      <c r="F6539" s="308">
        <v>453</v>
      </c>
      <c r="G6539" s="340" t="s">
        <v>4194</v>
      </c>
      <c r="J6539" s="635">
        <f t="shared" si="210"/>
        <v>0</v>
      </c>
    </row>
    <row r="6540" spans="6:10" hidden="1">
      <c r="F6540" s="308">
        <v>454</v>
      </c>
      <c r="G6540" s="340" t="s">
        <v>3809</v>
      </c>
      <c r="J6540" s="635">
        <f t="shared" si="210"/>
        <v>0</v>
      </c>
    </row>
    <row r="6541" spans="6:10" hidden="1">
      <c r="F6541" s="308">
        <v>461</v>
      </c>
      <c r="G6541" s="340" t="s">
        <v>4175</v>
      </c>
      <c r="J6541" s="635">
        <f t="shared" si="210"/>
        <v>0</v>
      </c>
    </row>
    <row r="6542" spans="6:10" hidden="1">
      <c r="F6542" s="308">
        <v>462</v>
      </c>
      <c r="G6542" s="340" t="s">
        <v>3812</v>
      </c>
      <c r="J6542" s="635">
        <f t="shared" si="210"/>
        <v>0</v>
      </c>
    </row>
    <row r="6543" spans="6:10" hidden="1">
      <c r="F6543" s="308">
        <v>4631</v>
      </c>
      <c r="G6543" s="340" t="s">
        <v>3813</v>
      </c>
      <c r="J6543" s="635">
        <f t="shared" si="210"/>
        <v>0</v>
      </c>
    </row>
    <row r="6544" spans="6:10" hidden="1">
      <c r="F6544" s="308">
        <v>4632</v>
      </c>
      <c r="G6544" s="340" t="s">
        <v>3814</v>
      </c>
      <c r="J6544" s="635">
        <f t="shared" si="210"/>
        <v>0</v>
      </c>
    </row>
    <row r="6545" spans="6:10" hidden="1">
      <c r="F6545" s="308">
        <v>464</v>
      </c>
      <c r="G6545" s="340" t="s">
        <v>3815</v>
      </c>
      <c r="J6545" s="635">
        <f t="shared" si="210"/>
        <v>0</v>
      </c>
    </row>
    <row r="6546" spans="6:10" hidden="1">
      <c r="F6546" s="308">
        <v>465</v>
      </c>
      <c r="G6546" s="340" t="s">
        <v>4176</v>
      </c>
      <c r="J6546" s="635">
        <f t="shared" si="210"/>
        <v>0</v>
      </c>
    </row>
    <row r="6547" spans="6:10" hidden="1">
      <c r="F6547" s="308">
        <v>472</v>
      </c>
      <c r="G6547" s="340" t="s">
        <v>3819</v>
      </c>
      <c r="J6547" s="635">
        <f t="shared" si="210"/>
        <v>0</v>
      </c>
    </row>
    <row r="6548" spans="6:10" hidden="1">
      <c r="F6548" s="308">
        <v>481</v>
      </c>
      <c r="G6548" s="340" t="s">
        <v>4195</v>
      </c>
      <c r="J6548" s="635">
        <f t="shared" si="210"/>
        <v>0</v>
      </c>
    </row>
    <row r="6549" spans="6:10" hidden="1">
      <c r="F6549" s="308">
        <v>482</v>
      </c>
      <c r="G6549" s="340" t="s">
        <v>4196</v>
      </c>
      <c r="J6549" s="635">
        <f t="shared" si="210"/>
        <v>0</v>
      </c>
    </row>
    <row r="6550" spans="6:10" hidden="1">
      <c r="F6550" s="308">
        <v>483</v>
      </c>
      <c r="G6550" s="343" t="s">
        <v>4197</v>
      </c>
      <c r="J6550" s="635">
        <f t="shared" si="210"/>
        <v>0</v>
      </c>
    </row>
    <row r="6551" spans="6:10" ht="30" hidden="1">
      <c r="F6551" s="308">
        <v>484</v>
      </c>
      <c r="G6551" s="340" t="s">
        <v>4198</v>
      </c>
      <c r="J6551" s="635">
        <f t="shared" si="210"/>
        <v>0</v>
      </c>
    </row>
    <row r="6552" spans="6:10" ht="30" hidden="1">
      <c r="F6552" s="308">
        <v>485</v>
      </c>
      <c r="G6552" s="340" t="s">
        <v>4199</v>
      </c>
      <c r="J6552" s="635">
        <f t="shared" si="210"/>
        <v>0</v>
      </c>
    </row>
    <row r="6553" spans="6:10" ht="30" hidden="1">
      <c r="F6553" s="308">
        <v>489</v>
      </c>
      <c r="G6553" s="340" t="s">
        <v>3827</v>
      </c>
      <c r="J6553" s="635">
        <f t="shared" si="210"/>
        <v>0</v>
      </c>
    </row>
    <row r="6554" spans="6:10" hidden="1">
      <c r="F6554" s="308">
        <v>494</v>
      </c>
      <c r="G6554" s="340" t="s">
        <v>4177</v>
      </c>
      <c r="J6554" s="635">
        <f t="shared" si="210"/>
        <v>0</v>
      </c>
    </row>
    <row r="6555" spans="6:10" ht="30" hidden="1">
      <c r="F6555" s="308">
        <v>495</v>
      </c>
      <c r="G6555" s="340" t="s">
        <v>4178</v>
      </c>
      <c r="J6555" s="635">
        <f t="shared" si="210"/>
        <v>0</v>
      </c>
    </row>
    <row r="6556" spans="6:10" ht="30" hidden="1">
      <c r="F6556" s="308">
        <v>496</v>
      </c>
      <c r="G6556" s="340" t="s">
        <v>4179</v>
      </c>
      <c r="J6556" s="635">
        <f t="shared" si="210"/>
        <v>0</v>
      </c>
    </row>
    <row r="6557" spans="6:10" hidden="1">
      <c r="F6557" s="308">
        <v>499</v>
      </c>
      <c r="G6557" s="340" t="s">
        <v>4180</v>
      </c>
      <c r="J6557" s="635">
        <f t="shared" si="210"/>
        <v>0</v>
      </c>
    </row>
    <row r="6558" spans="6:10" hidden="1">
      <c r="F6558" s="308">
        <v>511</v>
      </c>
      <c r="G6558" s="343" t="s">
        <v>4200</v>
      </c>
      <c r="J6558" s="635">
        <f t="shared" si="210"/>
        <v>0</v>
      </c>
    </row>
    <row r="6559" spans="6:10" ht="15.75" hidden="1" thickBot="1">
      <c r="F6559" s="308">
        <v>512</v>
      </c>
      <c r="G6559" s="343" t="s">
        <v>4201</v>
      </c>
      <c r="J6559" s="635">
        <f t="shared" si="210"/>
        <v>0</v>
      </c>
    </row>
    <row r="6560" spans="6:10" ht="15.75" hidden="1" thickBot="1">
      <c r="F6560" s="308">
        <v>513</v>
      </c>
      <c r="G6560" s="343" t="s">
        <v>4202</v>
      </c>
      <c r="J6560" s="635">
        <f t="shared" si="210"/>
        <v>0</v>
      </c>
    </row>
    <row r="6561" spans="5:10" ht="15.75" hidden="1" thickBot="1">
      <c r="F6561" s="308">
        <v>514</v>
      </c>
      <c r="G6561" s="340" t="s">
        <v>4203</v>
      </c>
      <c r="J6561" s="635">
        <f t="shared" si="210"/>
        <v>0</v>
      </c>
    </row>
    <row r="6562" spans="5:10" ht="15.75" hidden="1" thickBot="1">
      <c r="F6562" s="308">
        <v>515</v>
      </c>
      <c r="G6562" s="340" t="s">
        <v>3838</v>
      </c>
      <c r="J6562" s="635">
        <f t="shared" si="210"/>
        <v>0</v>
      </c>
    </row>
    <row r="6563" spans="5:10" ht="15.75" hidden="1" thickBot="1">
      <c r="F6563" s="308">
        <v>521</v>
      </c>
      <c r="G6563" s="340" t="s">
        <v>4204</v>
      </c>
      <c r="J6563" s="635">
        <f t="shared" si="210"/>
        <v>0</v>
      </c>
    </row>
    <row r="6564" spans="5:10" ht="15.75" hidden="1" thickBot="1">
      <c r="F6564" s="308">
        <v>522</v>
      </c>
      <c r="G6564" s="340" t="s">
        <v>4205</v>
      </c>
      <c r="J6564" s="635">
        <f t="shared" si="210"/>
        <v>0</v>
      </c>
    </row>
    <row r="6565" spans="5:10" ht="15.75" hidden="1" thickBot="1">
      <c r="F6565" s="308">
        <v>523</v>
      </c>
      <c r="G6565" s="340" t="s">
        <v>3843</v>
      </c>
      <c r="J6565" s="635">
        <f t="shared" si="210"/>
        <v>0</v>
      </c>
    </row>
    <row r="6566" spans="5:10" ht="15.75" hidden="1" thickBot="1">
      <c r="F6566" s="308">
        <v>531</v>
      </c>
      <c r="G6566" s="337" t="s">
        <v>4181</v>
      </c>
      <c r="J6566" s="635">
        <f t="shared" si="210"/>
        <v>0</v>
      </c>
    </row>
    <row r="6567" spans="5:10" ht="15.75" hidden="1" thickBot="1">
      <c r="F6567" s="308">
        <v>541</v>
      </c>
      <c r="G6567" s="340" t="s">
        <v>4206</v>
      </c>
      <c r="J6567" s="635">
        <f t="shared" si="210"/>
        <v>0</v>
      </c>
    </row>
    <row r="6568" spans="5:10" ht="15.75" hidden="1" thickBot="1">
      <c r="F6568" s="308">
        <v>542</v>
      </c>
      <c r="G6568" s="340" t="s">
        <v>4207</v>
      </c>
      <c r="J6568" s="635">
        <f t="shared" si="210"/>
        <v>0</v>
      </c>
    </row>
    <row r="6569" spans="5:10" ht="15.75" hidden="1" thickBot="1">
      <c r="F6569" s="308">
        <v>543</v>
      </c>
      <c r="G6569" s="340" t="s">
        <v>3848</v>
      </c>
      <c r="J6569" s="635">
        <f t="shared" si="210"/>
        <v>0</v>
      </c>
    </row>
    <row r="6570" spans="5:10" ht="30.75" hidden="1" thickBot="1">
      <c r="F6570" s="308">
        <v>551</v>
      </c>
      <c r="G6570" s="340" t="s">
        <v>4182</v>
      </c>
      <c r="J6570" s="635">
        <f t="shared" si="210"/>
        <v>0</v>
      </c>
    </row>
    <row r="6571" spans="5:10" ht="15.75" hidden="1" thickBot="1">
      <c r="F6571" s="309">
        <v>611</v>
      </c>
      <c r="G6571" s="344" t="s">
        <v>3854</v>
      </c>
      <c r="J6571" s="635">
        <f t="shared" si="210"/>
        <v>0</v>
      </c>
    </row>
    <row r="6572" spans="5:10" ht="15.75" hidden="1" thickBot="1">
      <c r="F6572" s="309">
        <v>620</v>
      </c>
      <c r="G6572" s="344" t="s">
        <v>88</v>
      </c>
      <c r="J6572" s="635">
        <f t="shared" si="210"/>
        <v>0</v>
      </c>
    </row>
    <row r="6573" spans="5:10" hidden="1">
      <c r="E6573" s="338"/>
      <c r="F6573" s="346"/>
      <c r="G6573" s="371" t="s">
        <v>4364</v>
      </c>
      <c r="H6573" s="636"/>
      <c r="I6573" s="662"/>
      <c r="J6573" s="637"/>
    </row>
    <row r="6574" spans="5:10" ht="15.75" hidden="1" thickBot="1">
      <c r="E6574" s="267"/>
      <c r="F6574" s="294" t="s">
        <v>234</v>
      </c>
      <c r="G6574" s="297" t="s">
        <v>235</v>
      </c>
      <c r="H6574" s="638">
        <f>SUM(H6513:H6572)</f>
        <v>0</v>
      </c>
      <c r="I6574" s="639"/>
      <c r="J6574" s="639">
        <f>SUM(H6574:I6574)</f>
        <v>0</v>
      </c>
    </row>
    <row r="6575" spans="5:10" ht="15.75" hidden="1" thickBot="1">
      <c r="F6575" s="294" t="s">
        <v>236</v>
      </c>
      <c r="G6575" s="297" t="s">
        <v>237</v>
      </c>
      <c r="J6575" s="639">
        <f t="shared" ref="J6575:J6589" si="211">SUM(H6575:I6575)</f>
        <v>0</v>
      </c>
    </row>
    <row r="6576" spans="5:10" ht="15.75" hidden="1" thickBot="1">
      <c r="F6576" s="294" t="s">
        <v>238</v>
      </c>
      <c r="G6576" s="297" t="s">
        <v>239</v>
      </c>
      <c r="J6576" s="639">
        <f t="shared" si="211"/>
        <v>0</v>
      </c>
    </row>
    <row r="6577" spans="5:10" ht="15.75" hidden="1" thickBot="1">
      <c r="F6577" s="294" t="s">
        <v>240</v>
      </c>
      <c r="G6577" s="297" t="s">
        <v>241</v>
      </c>
      <c r="J6577" s="639">
        <f t="shared" si="211"/>
        <v>0</v>
      </c>
    </row>
    <row r="6578" spans="5:10" ht="15.75" hidden="1" thickBot="1">
      <c r="F6578" s="294" t="s">
        <v>242</v>
      </c>
      <c r="G6578" s="297" t="s">
        <v>243</v>
      </c>
      <c r="J6578" s="639">
        <f t="shared" si="211"/>
        <v>0</v>
      </c>
    </row>
    <row r="6579" spans="5:10" ht="15.75" hidden="1" thickBot="1">
      <c r="F6579" s="294" t="s">
        <v>244</v>
      </c>
      <c r="G6579" s="297" t="s">
        <v>245</v>
      </c>
      <c r="J6579" s="639">
        <f t="shared" si="211"/>
        <v>0</v>
      </c>
    </row>
    <row r="6580" spans="5:10" ht="15.75" hidden="1" thickBot="1">
      <c r="F6580" s="294" t="s">
        <v>246</v>
      </c>
      <c r="G6580" s="683" t="s">
        <v>5121</v>
      </c>
      <c r="J6580" s="639">
        <f t="shared" si="211"/>
        <v>0</v>
      </c>
    </row>
    <row r="6581" spans="5:10" ht="15.75" hidden="1" thickBot="1">
      <c r="F6581" s="294" t="s">
        <v>247</v>
      </c>
      <c r="G6581" s="683" t="s">
        <v>5120</v>
      </c>
      <c r="J6581" s="639">
        <f t="shared" si="211"/>
        <v>0</v>
      </c>
    </row>
    <row r="6582" spans="5:10" ht="15.75" hidden="1" thickBot="1">
      <c r="F6582" s="294" t="s">
        <v>248</v>
      </c>
      <c r="G6582" s="297" t="s">
        <v>57</v>
      </c>
      <c r="J6582" s="639">
        <f t="shared" si="211"/>
        <v>0</v>
      </c>
    </row>
    <row r="6583" spans="5:10" ht="15.75" hidden="1" thickBot="1">
      <c r="F6583" s="294" t="s">
        <v>249</v>
      </c>
      <c r="G6583" s="297" t="s">
        <v>250</v>
      </c>
      <c r="J6583" s="639">
        <f t="shared" si="211"/>
        <v>0</v>
      </c>
    </row>
    <row r="6584" spans="5:10" ht="15.75" hidden="1" thickBot="1">
      <c r="F6584" s="294" t="s">
        <v>251</v>
      </c>
      <c r="G6584" s="297" t="s">
        <v>252</v>
      </c>
      <c r="J6584" s="639">
        <f t="shared" si="211"/>
        <v>0</v>
      </c>
    </row>
    <row r="6585" spans="5:10" ht="15.75" hidden="1" thickBot="1">
      <c r="F6585" s="294" t="s">
        <v>253</v>
      </c>
      <c r="G6585" s="297" t="s">
        <v>254</v>
      </c>
      <c r="J6585" s="639">
        <f t="shared" si="211"/>
        <v>0</v>
      </c>
    </row>
    <row r="6586" spans="5:10" ht="15.75" hidden="1" thickBot="1">
      <c r="F6586" s="294" t="s">
        <v>255</v>
      </c>
      <c r="G6586" s="297" t="s">
        <v>256</v>
      </c>
      <c r="J6586" s="639">
        <f t="shared" si="211"/>
        <v>0</v>
      </c>
    </row>
    <row r="6587" spans="5:10" ht="15.75" hidden="1" thickBot="1">
      <c r="F6587" s="294" t="s">
        <v>257</v>
      </c>
      <c r="G6587" s="297" t="s">
        <v>258</v>
      </c>
      <c r="J6587" s="639">
        <f t="shared" si="211"/>
        <v>0</v>
      </c>
    </row>
    <row r="6588" spans="5:10" ht="15.75" hidden="1" thickBot="1">
      <c r="F6588" s="294" t="s">
        <v>259</v>
      </c>
      <c r="G6588" s="297" t="s">
        <v>260</v>
      </c>
      <c r="J6588" s="639">
        <f t="shared" si="211"/>
        <v>0</v>
      </c>
    </row>
    <row r="6589" spans="5:10" ht="15.75" hidden="1" thickBot="1">
      <c r="F6589" s="294" t="s">
        <v>261</v>
      </c>
      <c r="G6589" s="297" t="s">
        <v>262</v>
      </c>
      <c r="H6589" s="638"/>
      <c r="I6589" s="639"/>
      <c r="J6589" s="639">
        <f t="shared" si="211"/>
        <v>0</v>
      </c>
    </row>
    <row r="6590" spans="5:10" ht="15.75" hidden="1" thickBot="1">
      <c r="G6590" s="274" t="s">
        <v>4365</v>
      </c>
      <c r="H6590" s="640">
        <f>SUM(H6574:H6589)</f>
        <v>0</v>
      </c>
      <c r="I6590" s="641">
        <f>SUM(I6575:I6589)</f>
        <v>0</v>
      </c>
      <c r="J6590" s="641">
        <f>SUM(J6574:J6589)</f>
        <v>0</v>
      </c>
    </row>
    <row r="6591" spans="5:10" hidden="1" collapsed="1">
      <c r="E6591" s="305"/>
      <c r="F6591" s="309"/>
      <c r="G6591" s="276" t="s">
        <v>5050</v>
      </c>
      <c r="H6591" s="642"/>
      <c r="I6591" s="663"/>
      <c r="J6591" s="643"/>
    </row>
    <row r="6592" spans="5:10" ht="15.75" hidden="1" thickBot="1">
      <c r="E6592" s="267"/>
      <c r="F6592" s="294" t="s">
        <v>234</v>
      </c>
      <c r="G6592" s="297" t="s">
        <v>235</v>
      </c>
      <c r="H6592" s="638">
        <f>SUM(H6513:H6572)</f>
        <v>0</v>
      </c>
      <c r="I6592" s="639"/>
      <c r="J6592" s="639">
        <f>SUM(H6592:I6592)</f>
        <v>0</v>
      </c>
    </row>
    <row r="6593" spans="6:10" ht="15.75" hidden="1" thickBot="1">
      <c r="F6593" s="294" t="s">
        <v>236</v>
      </c>
      <c r="G6593" s="297" t="s">
        <v>237</v>
      </c>
      <c r="J6593" s="639">
        <f t="shared" ref="J6593:J6607" si="212">SUM(H6593:I6593)</f>
        <v>0</v>
      </c>
    </row>
    <row r="6594" spans="6:10" ht="15.75" hidden="1" thickBot="1">
      <c r="F6594" s="294" t="s">
        <v>238</v>
      </c>
      <c r="G6594" s="297" t="s">
        <v>239</v>
      </c>
      <c r="J6594" s="639">
        <f t="shared" si="212"/>
        <v>0</v>
      </c>
    </row>
    <row r="6595" spans="6:10" ht="15.75" hidden="1" thickBot="1">
      <c r="F6595" s="294" t="s">
        <v>240</v>
      </c>
      <c r="G6595" s="297" t="s">
        <v>241</v>
      </c>
      <c r="J6595" s="639">
        <f t="shared" si="212"/>
        <v>0</v>
      </c>
    </row>
    <row r="6596" spans="6:10" ht="15.75" hidden="1" thickBot="1">
      <c r="F6596" s="294" t="s">
        <v>242</v>
      </c>
      <c r="G6596" s="297" t="s">
        <v>243</v>
      </c>
      <c r="J6596" s="639">
        <f t="shared" si="212"/>
        <v>0</v>
      </c>
    </row>
    <row r="6597" spans="6:10" ht="15.75" hidden="1" thickBot="1">
      <c r="F6597" s="294" t="s">
        <v>244</v>
      </c>
      <c r="G6597" s="297" t="s">
        <v>245</v>
      </c>
      <c r="J6597" s="639">
        <f t="shared" si="212"/>
        <v>0</v>
      </c>
    </row>
    <row r="6598" spans="6:10" ht="15.75" hidden="1" thickBot="1">
      <c r="F6598" s="294" t="s">
        <v>246</v>
      </c>
      <c r="G6598" s="683" t="s">
        <v>5121</v>
      </c>
      <c r="J6598" s="639">
        <f t="shared" si="212"/>
        <v>0</v>
      </c>
    </row>
    <row r="6599" spans="6:10" ht="15.75" hidden="1" thickBot="1">
      <c r="F6599" s="294" t="s">
        <v>247</v>
      </c>
      <c r="G6599" s="683" t="s">
        <v>5120</v>
      </c>
      <c r="J6599" s="639">
        <f t="shared" si="212"/>
        <v>0</v>
      </c>
    </row>
    <row r="6600" spans="6:10" ht="15.75" hidden="1" thickBot="1">
      <c r="F6600" s="294" t="s">
        <v>248</v>
      </c>
      <c r="G6600" s="297" t="s">
        <v>57</v>
      </c>
      <c r="J6600" s="639">
        <f t="shared" si="212"/>
        <v>0</v>
      </c>
    </row>
    <row r="6601" spans="6:10" ht="15.75" hidden="1" thickBot="1">
      <c r="F6601" s="294" t="s">
        <v>249</v>
      </c>
      <c r="G6601" s="297" t="s">
        <v>250</v>
      </c>
      <c r="J6601" s="639">
        <f t="shared" si="212"/>
        <v>0</v>
      </c>
    </row>
    <row r="6602" spans="6:10" ht="15.75" hidden="1" thickBot="1">
      <c r="F6602" s="294" t="s">
        <v>251</v>
      </c>
      <c r="G6602" s="297" t="s">
        <v>252</v>
      </c>
      <c r="J6602" s="639">
        <f t="shared" si="212"/>
        <v>0</v>
      </c>
    </row>
    <row r="6603" spans="6:10" ht="15.75" hidden="1" thickBot="1">
      <c r="F6603" s="294" t="s">
        <v>253</v>
      </c>
      <c r="G6603" s="297" t="s">
        <v>254</v>
      </c>
      <c r="J6603" s="639">
        <f t="shared" si="212"/>
        <v>0</v>
      </c>
    </row>
    <row r="6604" spans="6:10" ht="15.75" hidden="1" thickBot="1">
      <c r="F6604" s="294" t="s">
        <v>255</v>
      </c>
      <c r="G6604" s="297" t="s">
        <v>256</v>
      </c>
      <c r="J6604" s="639">
        <f t="shared" si="212"/>
        <v>0</v>
      </c>
    </row>
    <row r="6605" spans="6:10" ht="15.75" hidden="1" thickBot="1">
      <c r="F6605" s="294" t="s">
        <v>257</v>
      </c>
      <c r="G6605" s="297" t="s">
        <v>258</v>
      </c>
      <c r="J6605" s="639">
        <f t="shared" si="212"/>
        <v>0</v>
      </c>
    </row>
    <row r="6606" spans="6:10" ht="15.75" hidden="1" thickBot="1">
      <c r="F6606" s="294" t="s">
        <v>259</v>
      </c>
      <c r="G6606" s="297" t="s">
        <v>260</v>
      </c>
      <c r="J6606" s="639">
        <f t="shared" si="212"/>
        <v>0</v>
      </c>
    </row>
    <row r="6607" spans="6:10" ht="15.75" hidden="1" thickBot="1">
      <c r="F6607" s="294" t="s">
        <v>261</v>
      </c>
      <c r="G6607" s="297" t="s">
        <v>262</v>
      </c>
      <c r="H6607" s="638"/>
      <c r="I6607" s="639"/>
      <c r="J6607" s="639">
        <f t="shared" si="212"/>
        <v>0</v>
      </c>
    </row>
    <row r="6608" spans="6:10" ht="15.75" hidden="1" collapsed="1" thickBot="1">
      <c r="G6608" s="274" t="s">
        <v>5012</v>
      </c>
      <c r="H6608" s="640">
        <f>SUM(H6592:H6607)</f>
        <v>0</v>
      </c>
      <c r="I6608" s="641">
        <f>SUM(I6593:I6607)</f>
        <v>0</v>
      </c>
      <c r="J6608" s="641">
        <f>SUM(J6592:J6607)</f>
        <v>0</v>
      </c>
    </row>
    <row r="6609" spans="1:25" s="88" customFormat="1" ht="0.75" customHeight="1">
      <c r="A6609" s="306"/>
      <c r="B6609" s="301"/>
      <c r="C6609" s="316"/>
      <c r="D6609" s="293"/>
      <c r="G6609" s="355"/>
      <c r="H6609" s="667"/>
      <c r="I6609" s="650"/>
      <c r="J6609" s="668"/>
      <c r="K6609" s="575"/>
      <c r="L6609" s="575"/>
      <c r="M6609" s="575"/>
      <c r="N6609" s="575"/>
      <c r="O6609" s="575"/>
      <c r="P6609" s="575"/>
      <c r="Q6609" s="575"/>
      <c r="R6609" s="575"/>
      <c r="S6609" s="575"/>
      <c r="T6609" s="575"/>
      <c r="U6609" s="575"/>
      <c r="V6609" s="575"/>
      <c r="W6609" s="575"/>
      <c r="X6609" s="575"/>
      <c r="Y6609" s="575"/>
    </row>
    <row r="6610" spans="1:25" s="88" customFormat="1">
      <c r="A6610" s="306"/>
      <c r="B6610" s="301"/>
      <c r="C6610" s="361"/>
      <c r="D6610" s="296"/>
      <c r="E6610" s="296"/>
      <c r="F6610" s="309"/>
      <c r="G6610" s="295" t="s">
        <v>4250</v>
      </c>
      <c r="H6610" s="646"/>
      <c r="I6610" s="664"/>
      <c r="J6610" s="647"/>
      <c r="K6610" s="575"/>
      <c r="L6610" s="575"/>
      <c r="M6610" s="575"/>
      <c r="N6610" s="575"/>
      <c r="O6610" s="575"/>
      <c r="P6610" s="575"/>
      <c r="Q6610" s="575"/>
      <c r="R6610" s="575"/>
      <c r="S6610" s="575"/>
      <c r="T6610" s="575"/>
      <c r="U6610" s="575"/>
      <c r="V6610" s="575"/>
      <c r="W6610" s="575"/>
      <c r="X6610" s="575"/>
      <c r="Y6610" s="575"/>
    </row>
    <row r="6611" spans="1:25" s="88" customFormat="1" ht="15.75" thickBot="1">
      <c r="A6611" s="306"/>
      <c r="B6611" s="301"/>
      <c r="C6611" s="361"/>
      <c r="D6611" s="296"/>
      <c r="E6611" s="296"/>
      <c r="F6611" s="294" t="s">
        <v>234</v>
      </c>
      <c r="G6611" s="297" t="s">
        <v>235</v>
      </c>
      <c r="H6611" s="638">
        <f>SUM(H6592,H6493,H6394,H6295)</f>
        <v>2500000</v>
      </c>
      <c r="I6611" s="639"/>
      <c r="J6611" s="639">
        <f>SUM(H6611:I6611)</f>
        <v>2500000</v>
      </c>
      <c r="K6611" s="575"/>
      <c r="L6611" s="575"/>
      <c r="M6611" s="575"/>
      <c r="N6611" s="575"/>
      <c r="O6611" s="575"/>
      <c r="P6611" s="575"/>
      <c r="Q6611" s="575"/>
      <c r="R6611" s="575"/>
      <c r="S6611" s="575"/>
      <c r="T6611" s="575"/>
      <c r="U6611" s="575"/>
      <c r="V6611" s="575"/>
      <c r="W6611" s="575"/>
      <c r="X6611" s="575"/>
      <c r="Y6611" s="575"/>
    </row>
    <row r="6612" spans="1:25" s="88" customFormat="1" ht="15.75" hidden="1" thickBot="1">
      <c r="A6612" s="306"/>
      <c r="B6612" s="301"/>
      <c r="C6612" s="361"/>
      <c r="D6612" s="296"/>
      <c r="E6612" s="296"/>
      <c r="F6612" s="294" t="s">
        <v>236</v>
      </c>
      <c r="G6612" s="297" t="s">
        <v>237</v>
      </c>
      <c r="H6612" s="634"/>
      <c r="I6612" s="635"/>
      <c r="J6612" s="639">
        <f t="shared" ref="J6612:J6626" si="213">SUM(H6612:I6612)</f>
        <v>0</v>
      </c>
      <c r="K6612" s="575"/>
      <c r="L6612" s="575"/>
      <c r="M6612" s="575"/>
      <c r="N6612" s="575"/>
      <c r="O6612" s="575"/>
      <c r="P6612" s="575"/>
      <c r="Q6612" s="575"/>
      <c r="R6612" s="575"/>
      <c r="S6612" s="575"/>
      <c r="T6612" s="575"/>
      <c r="U6612" s="575"/>
      <c r="V6612" s="575"/>
      <c r="W6612" s="575"/>
      <c r="X6612" s="575"/>
      <c r="Y6612" s="575"/>
    </row>
    <row r="6613" spans="1:25" s="88" customFormat="1" ht="15.75" hidden="1" thickBot="1">
      <c r="A6613" s="306"/>
      <c r="B6613" s="301"/>
      <c r="C6613" s="361"/>
      <c r="D6613" s="296"/>
      <c r="E6613" s="296"/>
      <c r="F6613" s="294" t="s">
        <v>238</v>
      </c>
      <c r="G6613" s="297" t="s">
        <v>239</v>
      </c>
      <c r="H6613" s="634"/>
      <c r="I6613" s="635"/>
      <c r="J6613" s="639">
        <f t="shared" si="213"/>
        <v>0</v>
      </c>
      <c r="K6613" s="575"/>
      <c r="L6613" s="575"/>
      <c r="M6613" s="575"/>
      <c r="N6613" s="575"/>
      <c r="O6613" s="575"/>
      <c r="P6613" s="575"/>
      <c r="Q6613" s="575"/>
      <c r="R6613" s="575"/>
      <c r="S6613" s="575"/>
      <c r="T6613" s="575"/>
      <c r="U6613" s="575"/>
      <c r="V6613" s="575"/>
      <c r="W6613" s="575"/>
      <c r="X6613" s="575"/>
      <c r="Y6613" s="575"/>
    </row>
    <row r="6614" spans="1:25" s="88" customFormat="1" ht="15.75" hidden="1" thickBot="1">
      <c r="A6614" s="306"/>
      <c r="B6614" s="301"/>
      <c r="C6614" s="361"/>
      <c r="D6614" s="296"/>
      <c r="E6614" s="296"/>
      <c r="F6614" s="294" t="s">
        <v>240</v>
      </c>
      <c r="G6614" s="297" t="s">
        <v>241</v>
      </c>
      <c r="H6614" s="634"/>
      <c r="I6614" s="635"/>
      <c r="J6614" s="639">
        <f t="shared" si="213"/>
        <v>0</v>
      </c>
      <c r="K6614" s="575"/>
      <c r="L6614" s="575"/>
      <c r="M6614" s="575"/>
      <c r="N6614" s="575"/>
      <c r="O6614" s="575"/>
      <c r="P6614" s="575"/>
      <c r="Q6614" s="575"/>
      <c r="R6614" s="575"/>
      <c r="S6614" s="575"/>
      <c r="T6614" s="575"/>
      <c r="U6614" s="575"/>
      <c r="V6614" s="575"/>
      <c r="W6614" s="575"/>
      <c r="X6614" s="575"/>
      <c r="Y6614" s="575"/>
    </row>
    <row r="6615" spans="1:25" s="88" customFormat="1" ht="15.75" hidden="1" thickBot="1">
      <c r="A6615" s="306"/>
      <c r="B6615" s="301"/>
      <c r="C6615" s="361"/>
      <c r="D6615" s="296"/>
      <c r="E6615" s="296"/>
      <c r="F6615" s="294" t="s">
        <v>242</v>
      </c>
      <c r="G6615" s="297" t="s">
        <v>243</v>
      </c>
      <c r="H6615" s="634"/>
      <c r="I6615" s="635"/>
      <c r="J6615" s="639">
        <f t="shared" si="213"/>
        <v>0</v>
      </c>
      <c r="K6615" s="575"/>
      <c r="L6615" s="575"/>
      <c r="M6615" s="575"/>
      <c r="N6615" s="575"/>
      <c r="O6615" s="575"/>
      <c r="P6615" s="575"/>
      <c r="Q6615" s="575"/>
      <c r="R6615" s="575"/>
      <c r="S6615" s="575"/>
      <c r="T6615" s="575"/>
      <c r="U6615" s="575"/>
      <c r="V6615" s="575"/>
      <c r="W6615" s="575"/>
      <c r="X6615" s="575"/>
      <c r="Y6615" s="575"/>
    </row>
    <row r="6616" spans="1:25" s="88" customFormat="1" ht="15.75" hidden="1" thickBot="1">
      <c r="A6616" s="306"/>
      <c r="B6616" s="301"/>
      <c r="C6616" s="361"/>
      <c r="D6616" s="296"/>
      <c r="E6616" s="296"/>
      <c r="F6616" s="294" t="s">
        <v>244</v>
      </c>
      <c r="G6616" s="297" t="s">
        <v>245</v>
      </c>
      <c r="H6616" s="634"/>
      <c r="I6616" s="635"/>
      <c r="J6616" s="639">
        <f t="shared" si="213"/>
        <v>0</v>
      </c>
      <c r="K6616" s="575"/>
      <c r="L6616" s="575"/>
      <c r="M6616" s="575"/>
      <c r="N6616" s="575"/>
      <c r="O6616" s="575"/>
      <c r="P6616" s="575"/>
      <c r="Q6616" s="575"/>
      <c r="R6616" s="575"/>
      <c r="S6616" s="575"/>
      <c r="T6616" s="575"/>
      <c r="U6616" s="575"/>
      <c r="V6616" s="575"/>
      <c r="W6616" s="575"/>
      <c r="X6616" s="575"/>
      <c r="Y6616" s="575"/>
    </row>
    <row r="6617" spans="1:25" s="88" customFormat="1" ht="15.75" hidden="1" thickBot="1">
      <c r="A6617" s="306"/>
      <c r="B6617" s="301"/>
      <c r="C6617" s="361"/>
      <c r="D6617" s="296"/>
      <c r="E6617" s="296"/>
      <c r="F6617" s="294" t="s">
        <v>246</v>
      </c>
      <c r="G6617" s="683" t="s">
        <v>5121</v>
      </c>
      <c r="H6617" s="634"/>
      <c r="I6617" s="635"/>
      <c r="J6617" s="639">
        <f t="shared" si="213"/>
        <v>0</v>
      </c>
      <c r="K6617" s="575"/>
      <c r="L6617" s="575"/>
      <c r="M6617" s="575"/>
      <c r="N6617" s="575"/>
      <c r="O6617" s="575"/>
      <c r="P6617" s="575"/>
      <c r="Q6617" s="575"/>
      <c r="R6617" s="575"/>
      <c r="S6617" s="575"/>
      <c r="T6617" s="575"/>
      <c r="U6617" s="575"/>
      <c r="V6617" s="575"/>
      <c r="W6617" s="575"/>
      <c r="X6617" s="575"/>
      <c r="Y6617" s="575"/>
    </row>
    <row r="6618" spans="1:25" s="88" customFormat="1" ht="15.75" hidden="1" thickBot="1">
      <c r="A6618" s="306"/>
      <c r="B6618" s="301"/>
      <c r="C6618" s="361"/>
      <c r="D6618" s="296"/>
      <c r="E6618" s="296"/>
      <c r="F6618" s="294" t="s">
        <v>247</v>
      </c>
      <c r="G6618" s="683" t="s">
        <v>5120</v>
      </c>
      <c r="H6618" s="634"/>
      <c r="I6618" s="635"/>
      <c r="J6618" s="639">
        <f t="shared" si="213"/>
        <v>0</v>
      </c>
      <c r="K6618" s="575"/>
      <c r="L6618" s="575"/>
      <c r="M6618" s="575"/>
      <c r="N6618" s="575"/>
      <c r="O6618" s="575"/>
      <c r="P6618" s="575"/>
      <c r="Q6618" s="575"/>
      <c r="R6618" s="575"/>
      <c r="S6618" s="575"/>
      <c r="T6618" s="575"/>
      <c r="U6618" s="575"/>
      <c r="V6618" s="575"/>
      <c r="W6618" s="575"/>
      <c r="X6618" s="575"/>
      <c r="Y6618" s="575"/>
    </row>
    <row r="6619" spans="1:25" s="88" customFormat="1" ht="15.75" hidden="1" thickBot="1">
      <c r="A6619" s="306"/>
      <c r="B6619" s="301"/>
      <c r="C6619" s="361"/>
      <c r="D6619" s="296"/>
      <c r="E6619" s="296"/>
      <c r="F6619" s="294" t="s">
        <v>248</v>
      </c>
      <c r="G6619" s="297" t="s">
        <v>57</v>
      </c>
      <c r="H6619" s="634"/>
      <c r="I6619" s="635"/>
      <c r="J6619" s="639">
        <f t="shared" si="213"/>
        <v>0</v>
      </c>
      <c r="K6619" s="575"/>
      <c r="L6619" s="575"/>
      <c r="M6619" s="575"/>
      <c r="N6619" s="575"/>
      <c r="O6619" s="575"/>
      <c r="P6619" s="575"/>
      <c r="Q6619" s="575"/>
      <c r="R6619" s="575"/>
      <c r="S6619" s="575"/>
      <c r="T6619" s="575"/>
      <c r="U6619" s="575"/>
      <c r="V6619" s="575"/>
      <c r="W6619" s="575"/>
      <c r="X6619" s="575"/>
      <c r="Y6619" s="575"/>
    </row>
    <row r="6620" spans="1:25" s="88" customFormat="1" ht="15.75" hidden="1" thickBot="1">
      <c r="A6620" s="306"/>
      <c r="B6620" s="301"/>
      <c r="C6620" s="361"/>
      <c r="D6620" s="296"/>
      <c r="E6620" s="296"/>
      <c r="F6620" s="294" t="s">
        <v>249</v>
      </c>
      <c r="G6620" s="297" t="s">
        <v>250</v>
      </c>
      <c r="H6620" s="634"/>
      <c r="I6620" s="635"/>
      <c r="J6620" s="639">
        <f t="shared" si="213"/>
        <v>0</v>
      </c>
      <c r="K6620" s="575"/>
      <c r="L6620" s="575"/>
      <c r="M6620" s="575"/>
      <c r="N6620" s="575"/>
      <c r="O6620" s="575"/>
      <c r="P6620" s="575"/>
      <c r="Q6620" s="575"/>
      <c r="R6620" s="575"/>
      <c r="S6620" s="575"/>
      <c r="T6620" s="575"/>
      <c r="U6620" s="575"/>
      <c r="V6620" s="575"/>
      <c r="W6620" s="575"/>
      <c r="X6620" s="575"/>
      <c r="Y6620" s="575"/>
    </row>
    <row r="6621" spans="1:25" s="88" customFormat="1" ht="15.75" hidden="1" thickBot="1">
      <c r="A6621" s="306"/>
      <c r="B6621" s="301"/>
      <c r="C6621" s="361"/>
      <c r="D6621" s="296"/>
      <c r="E6621" s="296"/>
      <c r="F6621" s="294" t="s">
        <v>251</v>
      </c>
      <c r="G6621" s="297" t="s">
        <v>252</v>
      </c>
      <c r="H6621" s="634"/>
      <c r="I6621" s="635"/>
      <c r="J6621" s="639">
        <f t="shared" si="213"/>
        <v>0</v>
      </c>
      <c r="K6621" s="575"/>
      <c r="L6621" s="575"/>
      <c r="M6621" s="575"/>
      <c r="N6621" s="575"/>
      <c r="O6621" s="575"/>
      <c r="P6621" s="575"/>
      <c r="Q6621" s="575"/>
      <c r="R6621" s="575"/>
      <c r="S6621" s="575"/>
      <c r="T6621" s="575"/>
      <c r="U6621" s="575"/>
      <c r="V6621" s="575"/>
      <c r="W6621" s="575"/>
      <c r="X6621" s="575"/>
      <c r="Y6621" s="575"/>
    </row>
    <row r="6622" spans="1:25" s="88" customFormat="1" ht="15.75" hidden="1" thickBot="1">
      <c r="A6622" s="306"/>
      <c r="B6622" s="301"/>
      <c r="C6622" s="361"/>
      <c r="D6622" s="296"/>
      <c r="E6622" s="296"/>
      <c r="F6622" s="294" t="s">
        <v>253</v>
      </c>
      <c r="G6622" s="297" t="s">
        <v>254</v>
      </c>
      <c r="H6622" s="634"/>
      <c r="I6622" s="635"/>
      <c r="J6622" s="639">
        <f t="shared" si="213"/>
        <v>0</v>
      </c>
      <c r="K6622" s="575"/>
      <c r="L6622" s="575"/>
      <c r="M6622" s="575"/>
      <c r="N6622" s="575"/>
      <c r="O6622" s="575"/>
      <c r="P6622" s="575"/>
      <c r="Q6622" s="575"/>
      <c r="R6622" s="575"/>
      <c r="S6622" s="575"/>
      <c r="T6622" s="575"/>
      <c r="U6622" s="575"/>
      <c r="V6622" s="575"/>
      <c r="W6622" s="575"/>
      <c r="X6622" s="575"/>
      <c r="Y6622" s="575"/>
    </row>
    <row r="6623" spans="1:25" s="88" customFormat="1" ht="15.75" hidden="1" thickBot="1">
      <c r="A6623" s="306"/>
      <c r="B6623" s="301"/>
      <c r="C6623" s="361"/>
      <c r="D6623" s="296"/>
      <c r="E6623" s="296"/>
      <c r="F6623" s="294" t="s">
        <v>255</v>
      </c>
      <c r="G6623" s="297" t="s">
        <v>256</v>
      </c>
      <c r="H6623" s="634"/>
      <c r="I6623" s="635"/>
      <c r="J6623" s="639">
        <f t="shared" si="213"/>
        <v>0</v>
      </c>
      <c r="K6623" s="575"/>
      <c r="L6623" s="575"/>
      <c r="M6623" s="575"/>
      <c r="N6623" s="575"/>
      <c r="O6623" s="575"/>
      <c r="P6623" s="575"/>
      <c r="Q6623" s="575"/>
      <c r="R6623" s="575"/>
      <c r="S6623" s="575"/>
      <c r="T6623" s="575"/>
      <c r="U6623" s="575"/>
      <c r="V6623" s="575"/>
      <c r="W6623" s="575"/>
      <c r="X6623" s="575"/>
      <c r="Y6623" s="575"/>
    </row>
    <row r="6624" spans="1:25" s="88" customFormat="1" ht="15.75" hidden="1" thickBot="1">
      <c r="A6624" s="306"/>
      <c r="B6624" s="301"/>
      <c r="C6624" s="361"/>
      <c r="D6624" s="296"/>
      <c r="E6624" s="296"/>
      <c r="F6624" s="294" t="s">
        <v>257</v>
      </c>
      <c r="G6624" s="297" t="s">
        <v>258</v>
      </c>
      <c r="H6624" s="634"/>
      <c r="I6624" s="635"/>
      <c r="J6624" s="639">
        <f t="shared" si="213"/>
        <v>0</v>
      </c>
      <c r="K6624" s="575"/>
      <c r="L6624" s="575"/>
      <c r="M6624" s="575"/>
      <c r="N6624" s="575"/>
      <c r="O6624" s="575"/>
      <c r="P6624" s="575"/>
      <c r="Q6624" s="575"/>
      <c r="R6624" s="575"/>
      <c r="S6624" s="575"/>
      <c r="T6624" s="575"/>
      <c r="U6624" s="575"/>
      <c r="V6624" s="575"/>
      <c r="W6624" s="575"/>
      <c r="X6624" s="575"/>
      <c r="Y6624" s="575"/>
    </row>
    <row r="6625" spans="1:25" s="88" customFormat="1" ht="15.75" hidden="1" thickBot="1">
      <c r="A6625" s="306"/>
      <c r="B6625" s="301"/>
      <c r="C6625" s="361"/>
      <c r="D6625" s="296"/>
      <c r="E6625" s="296"/>
      <c r="F6625" s="294" t="s">
        <v>259</v>
      </c>
      <c r="G6625" s="297" t="s">
        <v>260</v>
      </c>
      <c r="H6625" s="634"/>
      <c r="I6625" s="635"/>
      <c r="J6625" s="639">
        <f t="shared" si="213"/>
        <v>0</v>
      </c>
      <c r="K6625" s="575"/>
      <c r="L6625" s="575"/>
      <c r="M6625" s="575"/>
      <c r="N6625" s="575"/>
      <c r="O6625" s="575"/>
      <c r="P6625" s="575"/>
      <c r="Q6625" s="575"/>
      <c r="R6625" s="575"/>
      <c r="S6625" s="575"/>
      <c r="T6625" s="575"/>
      <c r="U6625" s="575"/>
      <c r="V6625" s="575"/>
      <c r="W6625" s="575"/>
      <c r="X6625" s="575"/>
      <c r="Y6625" s="575"/>
    </row>
    <row r="6626" spans="1:25" s="88" customFormat="1" ht="15.75" hidden="1" thickBot="1">
      <c r="A6626" s="306"/>
      <c r="B6626" s="301"/>
      <c r="C6626" s="361"/>
      <c r="D6626" s="296"/>
      <c r="E6626" s="296"/>
      <c r="F6626" s="294" t="s">
        <v>261</v>
      </c>
      <c r="G6626" s="297" t="s">
        <v>262</v>
      </c>
      <c r="H6626" s="638"/>
      <c r="I6626" s="639"/>
      <c r="J6626" s="639">
        <f t="shared" si="213"/>
        <v>0</v>
      </c>
      <c r="K6626" s="575"/>
      <c r="L6626" s="575"/>
      <c r="M6626" s="575"/>
      <c r="N6626" s="575"/>
      <c r="O6626" s="575"/>
      <c r="P6626" s="575"/>
      <c r="Q6626" s="575"/>
      <c r="R6626" s="575"/>
      <c r="S6626" s="575"/>
      <c r="T6626" s="575"/>
      <c r="U6626" s="575"/>
      <c r="V6626" s="575"/>
      <c r="W6626" s="575"/>
      <c r="X6626" s="575"/>
      <c r="Y6626" s="575"/>
    </row>
    <row r="6627" spans="1:25" s="88" customFormat="1" ht="11.25" customHeight="1" thickBot="1">
      <c r="A6627" s="306"/>
      <c r="B6627" s="301"/>
      <c r="C6627" s="361"/>
      <c r="D6627" s="296"/>
      <c r="E6627" s="296"/>
      <c r="F6627" s="263"/>
      <c r="G6627" s="274" t="s">
        <v>4251</v>
      </c>
      <c r="H6627" s="640">
        <f>SUM(H6611:H6626)</f>
        <v>2500000</v>
      </c>
      <c r="I6627" s="641">
        <f>SUM(I6612:I6626)</f>
        <v>0</v>
      </c>
      <c r="J6627" s="641">
        <f>SUM(J6611:J6626)</f>
        <v>2500000</v>
      </c>
      <c r="K6627" s="575"/>
      <c r="L6627" s="575"/>
      <c r="M6627" s="575"/>
      <c r="N6627" s="575"/>
      <c r="O6627" s="575"/>
      <c r="P6627" s="575"/>
      <c r="Q6627" s="575"/>
      <c r="R6627" s="575"/>
      <c r="S6627" s="575"/>
      <c r="T6627" s="575"/>
      <c r="U6627" s="575"/>
      <c r="V6627" s="575"/>
      <c r="W6627" s="575"/>
      <c r="X6627" s="575"/>
      <c r="Y6627" s="575"/>
    </row>
    <row r="6628" spans="1:25" hidden="1"/>
    <row r="6629" spans="1:25" s="88" customFormat="1">
      <c r="A6629" s="551"/>
      <c r="B6629" s="301"/>
      <c r="C6629" s="361"/>
      <c r="D6629" s="296"/>
      <c r="E6629" s="296"/>
      <c r="F6629" s="570"/>
      <c r="G6629" s="295" t="s">
        <v>4282</v>
      </c>
      <c r="H6629" s="646"/>
      <c r="I6629" s="664"/>
      <c r="J6629" s="647"/>
      <c r="K6629" s="575"/>
      <c r="L6629" s="575"/>
      <c r="M6629" s="575"/>
      <c r="N6629" s="575"/>
      <c r="O6629" s="575"/>
      <c r="P6629" s="575"/>
      <c r="Q6629" s="575"/>
      <c r="R6629" s="575"/>
      <c r="S6629" s="575"/>
      <c r="T6629" s="575"/>
      <c r="U6629" s="575"/>
      <c r="V6629" s="575"/>
      <c r="W6629" s="575"/>
      <c r="X6629" s="575"/>
      <c r="Y6629" s="575"/>
    </row>
    <row r="6630" spans="1:25" s="88" customFormat="1" ht="15.75" thickBot="1">
      <c r="A6630" s="551"/>
      <c r="B6630" s="301"/>
      <c r="C6630" s="361"/>
      <c r="D6630" s="296"/>
      <c r="E6630" s="296"/>
      <c r="F6630" s="294" t="s">
        <v>234</v>
      </c>
      <c r="G6630" s="297" t="s">
        <v>235</v>
      </c>
      <c r="H6630" s="638">
        <f>SUM(H6611)</f>
        <v>2500000</v>
      </c>
      <c r="I6630" s="639"/>
      <c r="J6630" s="639">
        <f>SUM(H6630:I6630)</f>
        <v>2500000</v>
      </c>
      <c r="K6630" s="575"/>
      <c r="L6630" s="575"/>
      <c r="M6630" s="575"/>
      <c r="N6630" s="575"/>
      <c r="O6630" s="575"/>
      <c r="P6630" s="575"/>
      <c r="Q6630" s="575"/>
      <c r="R6630" s="575"/>
      <c r="S6630" s="575"/>
      <c r="T6630" s="575"/>
      <c r="U6630" s="575"/>
      <c r="V6630" s="575"/>
      <c r="W6630" s="575"/>
      <c r="X6630" s="575"/>
      <c r="Y6630" s="575"/>
    </row>
    <row r="6631" spans="1:25" s="88" customFormat="1" ht="15.75" hidden="1" thickBot="1">
      <c r="A6631" s="551"/>
      <c r="B6631" s="301"/>
      <c r="C6631" s="361"/>
      <c r="D6631" s="296"/>
      <c r="E6631" s="296"/>
      <c r="F6631" s="294" t="s">
        <v>236</v>
      </c>
      <c r="G6631" s="297" t="s">
        <v>237</v>
      </c>
      <c r="H6631" s="634"/>
      <c r="I6631" s="635"/>
      <c r="J6631" s="639">
        <f t="shared" ref="J6631:J6645" si="214">SUM(H6631:I6631)</f>
        <v>0</v>
      </c>
      <c r="K6631" s="575"/>
      <c r="L6631" s="575"/>
      <c r="M6631" s="575"/>
      <c r="N6631" s="575"/>
      <c r="O6631" s="575"/>
      <c r="P6631" s="575"/>
      <c r="Q6631" s="575"/>
      <c r="R6631" s="575"/>
      <c r="S6631" s="575"/>
      <c r="T6631" s="575"/>
      <c r="U6631" s="575"/>
      <c r="V6631" s="575"/>
      <c r="W6631" s="575"/>
      <c r="X6631" s="575"/>
      <c r="Y6631" s="575"/>
    </row>
    <row r="6632" spans="1:25" s="88" customFormat="1" ht="15.75" hidden="1" thickBot="1">
      <c r="A6632" s="551"/>
      <c r="B6632" s="301"/>
      <c r="C6632" s="361"/>
      <c r="D6632" s="296"/>
      <c r="E6632" s="296"/>
      <c r="F6632" s="294" t="s">
        <v>238</v>
      </c>
      <c r="G6632" s="297" t="s">
        <v>239</v>
      </c>
      <c r="H6632" s="634"/>
      <c r="I6632" s="635"/>
      <c r="J6632" s="639">
        <f t="shared" si="214"/>
        <v>0</v>
      </c>
      <c r="K6632" s="575"/>
      <c r="L6632" s="575"/>
      <c r="M6632" s="575"/>
      <c r="N6632" s="575"/>
      <c r="O6632" s="575"/>
      <c r="P6632" s="575"/>
      <c r="Q6632" s="575"/>
      <c r="R6632" s="575"/>
      <c r="S6632" s="575"/>
      <c r="T6632" s="575"/>
      <c r="U6632" s="575"/>
      <c r="V6632" s="575"/>
      <c r="W6632" s="575"/>
      <c r="X6632" s="575"/>
      <c r="Y6632" s="575"/>
    </row>
    <row r="6633" spans="1:25" s="88" customFormat="1" ht="15.75" hidden="1" thickBot="1">
      <c r="A6633" s="551"/>
      <c r="B6633" s="301"/>
      <c r="C6633" s="361"/>
      <c r="D6633" s="296"/>
      <c r="E6633" s="296"/>
      <c r="F6633" s="294" t="s">
        <v>240</v>
      </c>
      <c r="G6633" s="297" t="s">
        <v>241</v>
      </c>
      <c r="H6633" s="634"/>
      <c r="I6633" s="635"/>
      <c r="J6633" s="639">
        <f t="shared" si="214"/>
        <v>0</v>
      </c>
      <c r="K6633" s="575"/>
      <c r="L6633" s="575"/>
      <c r="M6633" s="575"/>
      <c r="N6633" s="575"/>
      <c r="O6633" s="575"/>
      <c r="P6633" s="575"/>
      <c r="Q6633" s="575"/>
      <c r="R6633" s="575"/>
      <c r="S6633" s="575"/>
      <c r="T6633" s="575"/>
      <c r="U6633" s="575"/>
      <c r="V6633" s="575"/>
      <c r="W6633" s="575"/>
      <c r="X6633" s="575"/>
      <c r="Y6633" s="575"/>
    </row>
    <row r="6634" spans="1:25" s="88" customFormat="1" ht="15.75" hidden="1" thickBot="1">
      <c r="A6634" s="551"/>
      <c r="B6634" s="301"/>
      <c r="C6634" s="361"/>
      <c r="D6634" s="296"/>
      <c r="E6634" s="296"/>
      <c r="F6634" s="294" t="s">
        <v>242</v>
      </c>
      <c r="G6634" s="297" t="s">
        <v>243</v>
      </c>
      <c r="H6634" s="634"/>
      <c r="I6634" s="635"/>
      <c r="J6634" s="639">
        <f t="shared" si="214"/>
        <v>0</v>
      </c>
      <c r="K6634" s="575"/>
      <c r="L6634" s="575"/>
      <c r="M6634" s="575"/>
      <c r="N6634" s="575"/>
      <c r="O6634" s="575"/>
      <c r="P6634" s="575"/>
      <c r="Q6634" s="575"/>
      <c r="R6634" s="575"/>
      <c r="S6634" s="575"/>
      <c r="T6634" s="575"/>
      <c r="U6634" s="575"/>
      <c r="V6634" s="575"/>
      <c r="W6634" s="575"/>
      <c r="X6634" s="575"/>
      <c r="Y6634" s="575"/>
    </row>
    <row r="6635" spans="1:25" s="88" customFormat="1" ht="15.75" hidden="1" thickBot="1">
      <c r="A6635" s="551"/>
      <c r="B6635" s="301"/>
      <c r="C6635" s="361"/>
      <c r="D6635" s="296"/>
      <c r="E6635" s="296"/>
      <c r="F6635" s="294" t="s">
        <v>244</v>
      </c>
      <c r="G6635" s="297" t="s">
        <v>245</v>
      </c>
      <c r="H6635" s="634"/>
      <c r="I6635" s="635"/>
      <c r="J6635" s="639">
        <f t="shared" si="214"/>
        <v>0</v>
      </c>
      <c r="K6635" s="575"/>
      <c r="L6635" s="575"/>
      <c r="M6635" s="575"/>
      <c r="N6635" s="575"/>
      <c r="O6635" s="575"/>
      <c r="P6635" s="575"/>
      <c r="Q6635" s="575"/>
      <c r="R6635" s="575"/>
      <c r="S6635" s="575"/>
      <c r="T6635" s="575"/>
      <c r="U6635" s="575"/>
      <c r="V6635" s="575"/>
      <c r="W6635" s="575"/>
      <c r="X6635" s="575"/>
      <c r="Y6635" s="575"/>
    </row>
    <row r="6636" spans="1:25" s="88" customFormat="1" ht="15.75" hidden="1" thickBot="1">
      <c r="A6636" s="551"/>
      <c r="B6636" s="301"/>
      <c r="C6636" s="361"/>
      <c r="D6636" s="296"/>
      <c r="E6636" s="296"/>
      <c r="F6636" s="294" t="s">
        <v>246</v>
      </c>
      <c r="G6636" s="683" t="s">
        <v>5121</v>
      </c>
      <c r="H6636" s="634"/>
      <c r="I6636" s="635"/>
      <c r="J6636" s="639">
        <f t="shared" si="214"/>
        <v>0</v>
      </c>
      <c r="K6636" s="575"/>
      <c r="L6636" s="575"/>
      <c r="M6636" s="575"/>
      <c r="N6636" s="575"/>
      <c r="O6636" s="575"/>
      <c r="P6636" s="575"/>
      <c r="Q6636" s="575"/>
      <c r="R6636" s="575"/>
      <c r="S6636" s="575"/>
      <c r="T6636" s="575"/>
      <c r="U6636" s="575"/>
      <c r="V6636" s="575"/>
      <c r="W6636" s="575"/>
      <c r="X6636" s="575"/>
      <c r="Y6636" s="575"/>
    </row>
    <row r="6637" spans="1:25" s="88" customFormat="1" ht="15.75" hidden="1" thickBot="1">
      <c r="A6637" s="551"/>
      <c r="B6637" s="301"/>
      <c r="C6637" s="361"/>
      <c r="D6637" s="296"/>
      <c r="E6637" s="296"/>
      <c r="F6637" s="294" t="s">
        <v>247</v>
      </c>
      <c r="G6637" s="683" t="s">
        <v>5120</v>
      </c>
      <c r="H6637" s="634"/>
      <c r="I6637" s="635"/>
      <c r="J6637" s="639">
        <f t="shared" si="214"/>
        <v>0</v>
      </c>
      <c r="K6637" s="575"/>
      <c r="L6637" s="575"/>
      <c r="M6637" s="575"/>
      <c r="N6637" s="575"/>
      <c r="O6637" s="575"/>
      <c r="P6637" s="575"/>
      <c r="Q6637" s="575"/>
      <c r="R6637" s="575"/>
      <c r="S6637" s="575"/>
      <c r="T6637" s="575"/>
      <c r="U6637" s="575"/>
      <c r="V6637" s="575"/>
      <c r="W6637" s="575"/>
      <c r="X6637" s="575"/>
      <c r="Y6637" s="575"/>
    </row>
    <row r="6638" spans="1:25" s="88" customFormat="1" ht="15.75" hidden="1" thickBot="1">
      <c r="A6638" s="551"/>
      <c r="B6638" s="301"/>
      <c r="C6638" s="361"/>
      <c r="D6638" s="296"/>
      <c r="E6638" s="296"/>
      <c r="F6638" s="294" t="s">
        <v>248</v>
      </c>
      <c r="G6638" s="297" t="s">
        <v>57</v>
      </c>
      <c r="H6638" s="634"/>
      <c r="I6638" s="635"/>
      <c r="J6638" s="639">
        <f t="shared" si="214"/>
        <v>0</v>
      </c>
      <c r="K6638" s="575"/>
      <c r="L6638" s="575"/>
      <c r="M6638" s="575"/>
      <c r="N6638" s="575"/>
      <c r="O6638" s="575"/>
      <c r="P6638" s="575"/>
      <c r="Q6638" s="575"/>
      <c r="R6638" s="575"/>
      <c r="S6638" s="575"/>
      <c r="T6638" s="575"/>
      <c r="U6638" s="575"/>
      <c r="V6638" s="575"/>
      <c r="W6638" s="575"/>
      <c r="X6638" s="575"/>
      <c r="Y6638" s="575"/>
    </row>
    <row r="6639" spans="1:25" s="88" customFormat="1" ht="15.75" hidden="1" thickBot="1">
      <c r="A6639" s="551"/>
      <c r="B6639" s="301"/>
      <c r="C6639" s="361"/>
      <c r="D6639" s="296"/>
      <c r="E6639" s="296"/>
      <c r="F6639" s="294" t="s">
        <v>249</v>
      </c>
      <c r="G6639" s="297" t="s">
        <v>250</v>
      </c>
      <c r="H6639" s="634"/>
      <c r="I6639" s="635"/>
      <c r="J6639" s="639">
        <f t="shared" si="214"/>
        <v>0</v>
      </c>
      <c r="K6639" s="575"/>
      <c r="L6639" s="575"/>
      <c r="M6639" s="575"/>
      <c r="N6639" s="575"/>
      <c r="O6639" s="575"/>
      <c r="P6639" s="575"/>
      <c r="Q6639" s="575"/>
      <c r="R6639" s="575"/>
      <c r="S6639" s="575"/>
      <c r="T6639" s="575"/>
      <c r="U6639" s="575"/>
      <c r="V6639" s="575"/>
      <c r="W6639" s="575"/>
      <c r="X6639" s="575"/>
      <c r="Y6639" s="575"/>
    </row>
    <row r="6640" spans="1:25" s="88" customFormat="1" ht="15.75" hidden="1" thickBot="1">
      <c r="A6640" s="551"/>
      <c r="B6640" s="301"/>
      <c r="C6640" s="361"/>
      <c r="D6640" s="296"/>
      <c r="E6640" s="296"/>
      <c r="F6640" s="294" t="s">
        <v>251</v>
      </c>
      <c r="G6640" s="297" t="s">
        <v>252</v>
      </c>
      <c r="H6640" s="634"/>
      <c r="I6640" s="635"/>
      <c r="J6640" s="639">
        <f t="shared" si="214"/>
        <v>0</v>
      </c>
      <c r="K6640" s="575"/>
      <c r="L6640" s="575"/>
      <c r="M6640" s="575"/>
      <c r="N6640" s="575"/>
      <c r="O6640" s="575"/>
      <c r="P6640" s="575"/>
      <c r="Q6640" s="575"/>
      <c r="R6640" s="575"/>
      <c r="S6640" s="575"/>
      <c r="T6640" s="575"/>
      <c r="U6640" s="575"/>
      <c r="V6640" s="575"/>
      <c r="W6640" s="575"/>
      <c r="X6640" s="575"/>
      <c r="Y6640" s="575"/>
    </row>
    <row r="6641" spans="1:25" s="88" customFormat="1" ht="15.75" hidden="1" thickBot="1">
      <c r="A6641" s="551"/>
      <c r="B6641" s="301"/>
      <c r="C6641" s="361"/>
      <c r="D6641" s="296"/>
      <c r="E6641" s="296"/>
      <c r="F6641" s="294" t="s">
        <v>253</v>
      </c>
      <c r="G6641" s="297" t="s">
        <v>254</v>
      </c>
      <c r="H6641" s="634"/>
      <c r="I6641" s="635"/>
      <c r="J6641" s="639">
        <f t="shared" si="214"/>
        <v>0</v>
      </c>
      <c r="K6641" s="575"/>
      <c r="L6641" s="575"/>
      <c r="M6641" s="575"/>
      <c r="N6641" s="575"/>
      <c r="O6641" s="575"/>
      <c r="P6641" s="575"/>
      <c r="Q6641" s="575"/>
      <c r="R6641" s="575"/>
      <c r="S6641" s="575"/>
      <c r="T6641" s="575"/>
      <c r="U6641" s="575"/>
      <c r="V6641" s="575"/>
      <c r="W6641" s="575"/>
      <c r="X6641" s="575"/>
      <c r="Y6641" s="575"/>
    </row>
    <row r="6642" spans="1:25" s="88" customFormat="1" ht="15.75" hidden="1" thickBot="1">
      <c r="A6642" s="551"/>
      <c r="B6642" s="301"/>
      <c r="C6642" s="361"/>
      <c r="D6642" s="296"/>
      <c r="E6642" s="296"/>
      <c r="F6642" s="294" t="s">
        <v>255</v>
      </c>
      <c r="G6642" s="297" t="s">
        <v>256</v>
      </c>
      <c r="H6642" s="634"/>
      <c r="I6642" s="635"/>
      <c r="J6642" s="639">
        <f t="shared" si="214"/>
        <v>0</v>
      </c>
      <c r="K6642" s="575"/>
      <c r="L6642" s="575"/>
      <c r="M6642" s="575"/>
      <c r="N6642" s="575"/>
      <c r="O6642" s="575"/>
      <c r="P6642" s="575"/>
      <c r="Q6642" s="575"/>
      <c r="R6642" s="575"/>
      <c r="S6642" s="575"/>
      <c r="T6642" s="575"/>
      <c r="U6642" s="575"/>
      <c r="V6642" s="575"/>
      <c r="W6642" s="575"/>
      <c r="X6642" s="575"/>
      <c r="Y6642" s="575"/>
    </row>
    <row r="6643" spans="1:25" s="88" customFormat="1" ht="15.75" hidden="1" thickBot="1">
      <c r="A6643" s="551"/>
      <c r="B6643" s="301"/>
      <c r="C6643" s="361"/>
      <c r="D6643" s="296"/>
      <c r="E6643" s="296"/>
      <c r="F6643" s="294" t="s">
        <v>257</v>
      </c>
      <c r="G6643" s="297" t="s">
        <v>258</v>
      </c>
      <c r="H6643" s="634"/>
      <c r="I6643" s="635"/>
      <c r="J6643" s="639">
        <f t="shared" si="214"/>
        <v>0</v>
      </c>
      <c r="K6643" s="575"/>
      <c r="L6643" s="575"/>
      <c r="M6643" s="575"/>
      <c r="N6643" s="575"/>
      <c r="O6643" s="575"/>
      <c r="P6643" s="575"/>
      <c r="Q6643" s="575"/>
      <c r="R6643" s="575"/>
      <c r="S6643" s="575"/>
      <c r="T6643" s="575"/>
      <c r="U6643" s="575"/>
      <c r="V6643" s="575"/>
      <c r="W6643" s="575"/>
      <c r="X6643" s="575"/>
      <c r="Y6643" s="575"/>
    </row>
    <row r="6644" spans="1:25" s="88" customFormat="1" ht="15.75" hidden="1" thickBot="1">
      <c r="A6644" s="551"/>
      <c r="B6644" s="301"/>
      <c r="C6644" s="361"/>
      <c r="D6644" s="296"/>
      <c r="E6644" s="296"/>
      <c r="F6644" s="294" t="s">
        <v>259</v>
      </c>
      <c r="G6644" s="297" t="s">
        <v>260</v>
      </c>
      <c r="H6644" s="634"/>
      <c r="I6644" s="635"/>
      <c r="J6644" s="639">
        <f t="shared" si="214"/>
        <v>0</v>
      </c>
      <c r="K6644" s="575"/>
      <c r="L6644" s="575"/>
      <c r="M6644" s="575"/>
      <c r="N6644" s="575"/>
      <c r="O6644" s="575"/>
      <c r="P6644" s="575"/>
      <c r="Q6644" s="575"/>
      <c r="R6644" s="575"/>
      <c r="S6644" s="575"/>
      <c r="T6644" s="575"/>
      <c r="U6644" s="575"/>
      <c r="V6644" s="575"/>
      <c r="W6644" s="575"/>
      <c r="X6644" s="575"/>
      <c r="Y6644" s="575"/>
    </row>
    <row r="6645" spans="1:25" s="88" customFormat="1" ht="15.75" hidden="1" thickBot="1">
      <c r="A6645" s="551"/>
      <c r="B6645" s="301"/>
      <c r="C6645" s="361"/>
      <c r="D6645" s="296"/>
      <c r="E6645" s="296"/>
      <c r="F6645" s="294" t="s">
        <v>261</v>
      </c>
      <c r="G6645" s="297" t="s">
        <v>262</v>
      </c>
      <c r="H6645" s="638"/>
      <c r="I6645" s="639"/>
      <c r="J6645" s="639">
        <f t="shared" si="214"/>
        <v>0</v>
      </c>
      <c r="K6645" s="575"/>
      <c r="L6645" s="575"/>
      <c r="M6645" s="575"/>
      <c r="N6645" s="575"/>
      <c r="O6645" s="575"/>
      <c r="P6645" s="575"/>
      <c r="Q6645" s="575"/>
      <c r="R6645" s="575"/>
      <c r="S6645" s="575"/>
      <c r="T6645" s="575"/>
      <c r="U6645" s="575"/>
      <c r="V6645" s="575"/>
      <c r="W6645" s="575"/>
      <c r="X6645" s="575"/>
      <c r="Y6645" s="575"/>
    </row>
    <row r="6646" spans="1:25" s="88" customFormat="1" ht="13.5" customHeight="1" thickBot="1">
      <c r="A6646" s="551"/>
      <c r="B6646" s="301"/>
      <c r="C6646" s="361"/>
      <c r="D6646" s="296"/>
      <c r="E6646" s="296"/>
      <c r="F6646" s="263"/>
      <c r="G6646" s="274" t="s">
        <v>4283</v>
      </c>
      <c r="H6646" s="640">
        <f>SUM(H6630:H6645)</f>
        <v>2500000</v>
      </c>
      <c r="I6646" s="641">
        <f>SUM(I6631:I6645)</f>
        <v>0</v>
      </c>
      <c r="J6646" s="641">
        <f>SUM(J6630:J6645)</f>
        <v>2500000</v>
      </c>
      <c r="K6646" s="575"/>
      <c r="L6646" s="575"/>
      <c r="M6646" s="575"/>
      <c r="N6646" s="575"/>
      <c r="O6646" s="575"/>
      <c r="P6646" s="575"/>
      <c r="Q6646" s="575"/>
      <c r="R6646" s="575"/>
      <c r="S6646" s="575"/>
      <c r="T6646" s="575"/>
      <c r="U6646" s="575"/>
      <c r="V6646" s="575"/>
      <c r="W6646" s="575"/>
      <c r="X6646" s="575"/>
      <c r="Y6646" s="575"/>
    </row>
    <row r="6647" spans="1:25" hidden="1"/>
    <row r="6648" spans="1:25" ht="3" hidden="1" customHeight="1"/>
    <row r="6649" spans="1:25">
      <c r="A6649" s="324"/>
      <c r="B6649" s="325">
        <v>5</v>
      </c>
      <c r="C6649" s="367"/>
      <c r="D6649" s="326"/>
      <c r="E6649" s="327"/>
      <c r="F6649" s="327"/>
      <c r="G6649" s="328" t="s">
        <v>5224</v>
      </c>
      <c r="H6649" s="669"/>
      <c r="I6649" s="670"/>
      <c r="J6649" s="657"/>
    </row>
    <row r="6650" spans="1:25">
      <c r="C6650" s="273" t="s">
        <v>3567</v>
      </c>
      <c r="G6650" s="339" t="s">
        <v>4284</v>
      </c>
    </row>
    <row r="6651" spans="1:25">
      <c r="C6651" s="368" t="s">
        <v>4113</v>
      </c>
      <c r="D6651" s="330"/>
      <c r="E6651" s="330"/>
      <c r="F6651" s="267"/>
      <c r="G6651" s="332" t="s">
        <v>4298</v>
      </c>
      <c r="K6651" s="574"/>
      <c r="L6651" s="572"/>
      <c r="M6651" s="575"/>
    </row>
    <row r="6652" spans="1:25" ht="10.5" customHeight="1">
      <c r="C6652" s="389"/>
      <c r="D6652" s="357">
        <v>473</v>
      </c>
      <c r="E6652" s="357"/>
      <c r="F6652" s="357"/>
      <c r="G6652" s="383" t="s">
        <v>162</v>
      </c>
      <c r="K6652" s="576"/>
      <c r="L6652" s="572"/>
      <c r="M6652" s="575"/>
    </row>
    <row r="6653" spans="1:25">
      <c r="E6653" s="263">
        <v>84</v>
      </c>
      <c r="F6653" s="345">
        <v>411</v>
      </c>
      <c r="G6653" s="340" t="s">
        <v>4173</v>
      </c>
      <c r="H6653" s="634">
        <v>1171000</v>
      </c>
      <c r="J6653" s="635">
        <f>SUM(H6653:I6653)</f>
        <v>1171000</v>
      </c>
      <c r="K6653" s="575"/>
      <c r="L6653" s="575"/>
      <c r="M6653" s="575"/>
    </row>
    <row r="6654" spans="1:25">
      <c r="E6654" s="263">
        <v>85</v>
      </c>
      <c r="F6654" s="345">
        <v>412</v>
      </c>
      <c r="G6654" s="337" t="s">
        <v>3770</v>
      </c>
      <c r="H6654" s="634">
        <v>209000</v>
      </c>
      <c r="J6654" s="635">
        <f t="shared" ref="J6654:J6712" si="215">SUM(H6654:I6654)</f>
        <v>209000</v>
      </c>
      <c r="K6654" s="575"/>
      <c r="L6654" s="575"/>
      <c r="M6654" s="575"/>
    </row>
    <row r="6655" spans="1:25" hidden="1">
      <c r="F6655" s="345">
        <v>413</v>
      </c>
      <c r="G6655" s="340" t="s">
        <v>4174</v>
      </c>
      <c r="J6655" s="635">
        <f t="shared" si="215"/>
        <v>0</v>
      </c>
      <c r="K6655" s="575"/>
      <c r="L6655" s="575"/>
      <c r="M6655" s="575"/>
    </row>
    <row r="6656" spans="1:25" hidden="1">
      <c r="F6656" s="345">
        <v>414</v>
      </c>
      <c r="G6656" s="340" t="s">
        <v>3773</v>
      </c>
      <c r="J6656" s="635">
        <f t="shared" si="215"/>
        <v>0</v>
      </c>
      <c r="K6656" s="575"/>
      <c r="L6656" s="575"/>
      <c r="M6656" s="575"/>
    </row>
    <row r="6657" spans="5:13" hidden="1">
      <c r="F6657" s="345">
        <v>415</v>
      </c>
      <c r="G6657" s="340" t="s">
        <v>4183</v>
      </c>
      <c r="J6657" s="635">
        <f t="shared" si="215"/>
        <v>0</v>
      </c>
      <c r="K6657" s="575"/>
      <c r="L6657" s="575"/>
      <c r="M6657" s="575"/>
    </row>
    <row r="6658" spans="5:13" hidden="1">
      <c r="F6658" s="345">
        <v>416</v>
      </c>
      <c r="G6658" s="340" t="s">
        <v>4184</v>
      </c>
      <c r="J6658" s="635">
        <f t="shared" si="215"/>
        <v>0</v>
      </c>
      <c r="K6658" s="575"/>
      <c r="L6658" s="575"/>
      <c r="M6658" s="575"/>
    </row>
    <row r="6659" spans="5:13" hidden="1">
      <c r="F6659" s="345">
        <v>417</v>
      </c>
      <c r="G6659" s="340" t="s">
        <v>4185</v>
      </c>
      <c r="J6659" s="635">
        <f t="shared" si="215"/>
        <v>0</v>
      </c>
      <c r="K6659" s="575"/>
      <c r="L6659" s="575"/>
      <c r="M6659" s="575"/>
    </row>
    <row r="6660" spans="5:13" hidden="1">
      <c r="F6660" s="345">
        <v>418</v>
      </c>
      <c r="G6660" s="340" t="s">
        <v>3779</v>
      </c>
      <c r="J6660" s="635">
        <f t="shared" si="215"/>
        <v>0</v>
      </c>
      <c r="K6660" s="575"/>
      <c r="L6660" s="575"/>
      <c r="M6660" s="575"/>
    </row>
    <row r="6661" spans="5:13">
      <c r="E6661" s="263">
        <v>86</v>
      </c>
      <c r="F6661" s="345">
        <v>421</v>
      </c>
      <c r="G6661" s="340" t="s">
        <v>3783</v>
      </c>
      <c r="H6661" s="634">
        <v>125000</v>
      </c>
      <c r="J6661" s="635">
        <f t="shared" si="215"/>
        <v>125000</v>
      </c>
      <c r="K6661" s="575"/>
      <c r="L6661" s="575"/>
      <c r="M6661" s="575"/>
    </row>
    <row r="6662" spans="5:13">
      <c r="E6662" s="263">
        <v>87</v>
      </c>
      <c r="F6662" s="345">
        <v>422</v>
      </c>
      <c r="G6662" s="340" t="s">
        <v>3784</v>
      </c>
      <c r="H6662" s="634">
        <v>160000</v>
      </c>
      <c r="J6662" s="635">
        <f t="shared" si="215"/>
        <v>160000</v>
      </c>
      <c r="K6662" s="575"/>
      <c r="L6662" s="575"/>
      <c r="M6662" s="575"/>
    </row>
    <row r="6663" spans="5:13">
      <c r="E6663" s="263">
        <v>88</v>
      </c>
      <c r="F6663" s="345">
        <v>423</v>
      </c>
      <c r="G6663" s="340" t="s">
        <v>3785</v>
      </c>
      <c r="H6663" s="634">
        <v>690000</v>
      </c>
      <c r="I6663" s="635">
        <v>900000</v>
      </c>
      <c r="J6663" s="635">
        <f t="shared" si="215"/>
        <v>1590000</v>
      </c>
      <c r="K6663" s="575"/>
      <c r="L6663" s="575"/>
      <c r="M6663" s="575"/>
    </row>
    <row r="6664" spans="5:13">
      <c r="E6664" s="263">
        <v>89</v>
      </c>
      <c r="F6664" s="345">
        <v>424</v>
      </c>
      <c r="G6664" s="340" t="s">
        <v>3787</v>
      </c>
      <c r="H6664" s="634">
        <v>400000</v>
      </c>
      <c r="J6664" s="635">
        <f t="shared" si="215"/>
        <v>400000</v>
      </c>
      <c r="K6664" s="575"/>
      <c r="L6664" s="575"/>
      <c r="M6664" s="575"/>
    </row>
    <row r="6665" spans="5:13">
      <c r="E6665" s="263">
        <v>90</v>
      </c>
      <c r="F6665" s="345">
        <v>425</v>
      </c>
      <c r="G6665" s="340" t="s">
        <v>4186</v>
      </c>
      <c r="H6665" s="634">
        <v>25000</v>
      </c>
      <c r="J6665" s="635">
        <f t="shared" si="215"/>
        <v>25000</v>
      </c>
      <c r="K6665" s="575"/>
      <c r="L6665" s="575"/>
      <c r="M6665" s="575"/>
    </row>
    <row r="6666" spans="5:13">
      <c r="E6666" s="263">
        <v>91</v>
      </c>
      <c r="F6666" s="345">
        <v>426</v>
      </c>
      <c r="G6666" s="340" t="s">
        <v>3791</v>
      </c>
      <c r="H6666" s="634">
        <v>885000</v>
      </c>
      <c r="I6666" s="635">
        <v>400000</v>
      </c>
      <c r="J6666" s="635">
        <f t="shared" si="215"/>
        <v>1285000</v>
      </c>
      <c r="K6666" s="575"/>
      <c r="L6666" s="575"/>
      <c r="M6666" s="575"/>
    </row>
    <row r="6667" spans="5:13" hidden="1">
      <c r="F6667" s="345">
        <v>431</v>
      </c>
      <c r="G6667" s="340" t="s">
        <v>4187</v>
      </c>
      <c r="J6667" s="635">
        <f t="shared" si="215"/>
        <v>0</v>
      </c>
      <c r="K6667" s="575"/>
      <c r="L6667" s="575"/>
      <c r="M6667" s="575"/>
    </row>
    <row r="6668" spans="5:13" hidden="1">
      <c r="F6668" s="345">
        <v>432</v>
      </c>
      <c r="G6668" s="340" t="s">
        <v>4188</v>
      </c>
      <c r="J6668" s="635">
        <f t="shared" si="215"/>
        <v>0</v>
      </c>
      <c r="K6668" s="575"/>
      <c r="L6668" s="575"/>
      <c r="M6668" s="575"/>
    </row>
    <row r="6669" spans="5:13" hidden="1">
      <c r="F6669" s="345">
        <v>433</v>
      </c>
      <c r="G6669" s="340" t="s">
        <v>4189</v>
      </c>
      <c r="J6669" s="635">
        <f t="shared" si="215"/>
        <v>0</v>
      </c>
      <c r="K6669" s="575"/>
      <c r="L6669" s="575"/>
      <c r="M6669" s="575"/>
    </row>
    <row r="6670" spans="5:13" hidden="1">
      <c r="F6670" s="345">
        <v>434</v>
      </c>
      <c r="G6670" s="340" t="s">
        <v>4190</v>
      </c>
      <c r="J6670" s="635">
        <f t="shared" si="215"/>
        <v>0</v>
      </c>
      <c r="K6670" s="575"/>
      <c r="L6670" s="575"/>
      <c r="M6670" s="575"/>
    </row>
    <row r="6671" spans="5:13" hidden="1">
      <c r="F6671" s="345">
        <v>435</v>
      </c>
      <c r="G6671" s="340" t="s">
        <v>3798</v>
      </c>
      <c r="J6671" s="635">
        <f t="shared" si="215"/>
        <v>0</v>
      </c>
      <c r="K6671" s="575"/>
      <c r="L6671" s="575"/>
      <c r="M6671" s="575"/>
    </row>
    <row r="6672" spans="5:13" hidden="1">
      <c r="F6672" s="345">
        <v>441</v>
      </c>
      <c r="G6672" s="340" t="s">
        <v>4191</v>
      </c>
      <c r="J6672" s="635">
        <f t="shared" si="215"/>
        <v>0</v>
      </c>
      <c r="K6672" s="575"/>
      <c r="L6672" s="575"/>
      <c r="M6672" s="575"/>
    </row>
    <row r="6673" spans="6:13" hidden="1">
      <c r="F6673" s="345">
        <v>442</v>
      </c>
      <c r="G6673" s="340" t="s">
        <v>4192</v>
      </c>
      <c r="J6673" s="635">
        <f t="shared" si="215"/>
        <v>0</v>
      </c>
      <c r="K6673" s="575"/>
      <c r="L6673" s="575"/>
      <c r="M6673" s="575"/>
    </row>
    <row r="6674" spans="6:13" hidden="1">
      <c r="F6674" s="345">
        <v>443</v>
      </c>
      <c r="G6674" s="340" t="s">
        <v>3803</v>
      </c>
      <c r="J6674" s="635">
        <f t="shared" si="215"/>
        <v>0</v>
      </c>
      <c r="K6674" s="575"/>
      <c r="L6674" s="575"/>
      <c r="M6674" s="575"/>
    </row>
    <row r="6675" spans="6:13" hidden="1">
      <c r="F6675" s="345">
        <v>444</v>
      </c>
      <c r="G6675" s="340" t="s">
        <v>3804</v>
      </c>
      <c r="J6675" s="635">
        <f t="shared" si="215"/>
        <v>0</v>
      </c>
      <c r="K6675" s="575"/>
      <c r="L6675" s="575"/>
      <c r="M6675" s="575"/>
    </row>
    <row r="6676" spans="6:13" ht="30" hidden="1">
      <c r="F6676" s="345">
        <v>4511</v>
      </c>
      <c r="G6676" s="268" t="s">
        <v>1690</v>
      </c>
      <c r="J6676" s="635">
        <f t="shared" si="215"/>
        <v>0</v>
      </c>
      <c r="K6676" s="575"/>
      <c r="L6676" s="575"/>
      <c r="M6676" s="575"/>
    </row>
    <row r="6677" spans="6:13" ht="30" hidden="1">
      <c r="F6677" s="345">
        <v>4512</v>
      </c>
      <c r="G6677" s="268" t="s">
        <v>1699</v>
      </c>
      <c r="J6677" s="635">
        <f t="shared" si="215"/>
        <v>0</v>
      </c>
      <c r="K6677" s="575"/>
      <c r="L6677" s="575"/>
      <c r="M6677" s="575"/>
    </row>
    <row r="6678" spans="6:13" hidden="1">
      <c r="F6678" s="345">
        <v>452</v>
      </c>
      <c r="G6678" s="340" t="s">
        <v>4193</v>
      </c>
      <c r="J6678" s="635">
        <f t="shared" si="215"/>
        <v>0</v>
      </c>
      <c r="K6678" s="575"/>
      <c r="L6678" s="575"/>
      <c r="M6678" s="575"/>
    </row>
    <row r="6679" spans="6:13" hidden="1">
      <c r="F6679" s="345">
        <v>453</v>
      </c>
      <c r="G6679" s="340" t="s">
        <v>4194</v>
      </c>
      <c r="J6679" s="635">
        <f t="shared" si="215"/>
        <v>0</v>
      </c>
      <c r="K6679" s="575"/>
      <c r="L6679" s="575"/>
      <c r="M6679" s="575"/>
    </row>
    <row r="6680" spans="6:13" hidden="1">
      <c r="F6680" s="345">
        <v>454</v>
      </c>
      <c r="G6680" s="340" t="s">
        <v>3809</v>
      </c>
      <c r="J6680" s="635">
        <f t="shared" si="215"/>
        <v>0</v>
      </c>
      <c r="K6680" s="575"/>
      <c r="L6680" s="575"/>
      <c r="M6680" s="575"/>
    </row>
    <row r="6681" spans="6:13" hidden="1">
      <c r="F6681" s="345">
        <v>461</v>
      </c>
      <c r="G6681" s="340" t="s">
        <v>4175</v>
      </c>
      <c r="J6681" s="635">
        <f t="shared" si="215"/>
        <v>0</v>
      </c>
      <c r="K6681" s="575"/>
      <c r="L6681" s="575"/>
      <c r="M6681" s="575"/>
    </row>
    <row r="6682" spans="6:13" hidden="1">
      <c r="F6682" s="345">
        <v>462</v>
      </c>
      <c r="G6682" s="340" t="s">
        <v>3812</v>
      </c>
      <c r="J6682" s="635">
        <f t="shared" si="215"/>
        <v>0</v>
      </c>
      <c r="K6682" s="575"/>
      <c r="L6682" s="575"/>
      <c r="M6682" s="575"/>
    </row>
    <row r="6683" spans="6:13" hidden="1">
      <c r="F6683" s="345">
        <v>4631</v>
      </c>
      <c r="G6683" s="340" t="s">
        <v>3813</v>
      </c>
      <c r="J6683" s="635">
        <f t="shared" si="215"/>
        <v>0</v>
      </c>
      <c r="K6683" s="575"/>
      <c r="L6683" s="575"/>
      <c r="M6683" s="575"/>
    </row>
    <row r="6684" spans="6:13" hidden="1">
      <c r="F6684" s="345">
        <v>4632</v>
      </c>
      <c r="G6684" s="340" t="s">
        <v>3814</v>
      </c>
      <c r="J6684" s="635">
        <f t="shared" si="215"/>
        <v>0</v>
      </c>
      <c r="K6684" s="575"/>
      <c r="L6684" s="575"/>
      <c r="M6684" s="575"/>
    </row>
    <row r="6685" spans="6:13" hidden="1">
      <c r="F6685" s="345">
        <v>464</v>
      </c>
      <c r="G6685" s="340" t="s">
        <v>3815</v>
      </c>
      <c r="J6685" s="635">
        <f t="shared" si="215"/>
        <v>0</v>
      </c>
      <c r="K6685" s="575"/>
      <c r="L6685" s="575"/>
      <c r="M6685" s="575"/>
    </row>
    <row r="6686" spans="6:13" hidden="1">
      <c r="F6686" s="345">
        <v>465</v>
      </c>
      <c r="G6686" s="340" t="s">
        <v>4176</v>
      </c>
      <c r="J6686" s="635">
        <f t="shared" si="215"/>
        <v>0</v>
      </c>
      <c r="K6686" s="575"/>
      <c r="L6686" s="575"/>
      <c r="M6686" s="575"/>
    </row>
    <row r="6687" spans="6:13" hidden="1">
      <c r="F6687" s="345">
        <v>472</v>
      </c>
      <c r="G6687" s="340" t="s">
        <v>3819</v>
      </c>
      <c r="J6687" s="635">
        <f t="shared" si="215"/>
        <v>0</v>
      </c>
      <c r="K6687" s="575"/>
      <c r="L6687" s="575"/>
      <c r="M6687" s="575"/>
    </row>
    <row r="6688" spans="6:13" hidden="1">
      <c r="F6688" s="345">
        <v>481</v>
      </c>
      <c r="G6688" s="340" t="s">
        <v>4195</v>
      </c>
      <c r="J6688" s="635">
        <f t="shared" si="215"/>
        <v>0</v>
      </c>
      <c r="K6688" s="575"/>
      <c r="L6688" s="575"/>
      <c r="M6688" s="575"/>
    </row>
    <row r="6689" spans="5:13" hidden="1">
      <c r="F6689" s="345">
        <v>482</v>
      </c>
      <c r="G6689" s="340" t="s">
        <v>4196</v>
      </c>
      <c r="J6689" s="635">
        <f t="shared" si="215"/>
        <v>0</v>
      </c>
      <c r="K6689" s="575"/>
      <c r="L6689" s="575"/>
      <c r="M6689" s="575"/>
    </row>
    <row r="6690" spans="5:13" ht="13.5" customHeight="1" thickBot="1">
      <c r="E6690" s="263">
        <v>92</v>
      </c>
      <c r="F6690" s="345">
        <v>482</v>
      </c>
      <c r="G6690" s="566" t="s">
        <v>4196</v>
      </c>
      <c r="H6690" s="634">
        <v>21000</v>
      </c>
      <c r="J6690" s="635">
        <f t="shared" si="215"/>
        <v>21000</v>
      </c>
      <c r="K6690" s="575"/>
      <c r="L6690" s="575"/>
      <c r="M6690" s="575"/>
    </row>
    <row r="6691" spans="5:13" ht="30.75" hidden="1" thickBot="1">
      <c r="F6691" s="345">
        <v>484</v>
      </c>
      <c r="G6691" s="340" t="s">
        <v>4198</v>
      </c>
      <c r="J6691" s="635">
        <f t="shared" si="215"/>
        <v>0</v>
      </c>
      <c r="K6691" s="575"/>
      <c r="L6691" s="575"/>
      <c r="M6691" s="575"/>
    </row>
    <row r="6692" spans="5:13" ht="30.75" hidden="1" thickBot="1">
      <c r="F6692" s="345">
        <v>485</v>
      </c>
      <c r="G6692" s="340" t="s">
        <v>4199</v>
      </c>
      <c r="J6692" s="635">
        <f t="shared" si="215"/>
        <v>0</v>
      </c>
      <c r="K6692" s="575"/>
      <c r="L6692" s="575"/>
      <c r="M6692" s="575"/>
    </row>
    <row r="6693" spans="5:13" ht="30.75" hidden="1" thickBot="1">
      <c r="F6693" s="345">
        <v>489</v>
      </c>
      <c r="G6693" s="340" t="s">
        <v>3827</v>
      </c>
      <c r="J6693" s="635">
        <f t="shared" si="215"/>
        <v>0</v>
      </c>
      <c r="K6693" s="575"/>
      <c r="L6693" s="575"/>
      <c r="M6693" s="575"/>
    </row>
    <row r="6694" spans="5:13" ht="15.75" hidden="1" thickBot="1">
      <c r="F6694" s="345">
        <v>494</v>
      </c>
      <c r="G6694" s="340" t="s">
        <v>4177</v>
      </c>
      <c r="J6694" s="635">
        <f t="shared" si="215"/>
        <v>0</v>
      </c>
      <c r="K6694" s="575"/>
      <c r="L6694" s="575"/>
      <c r="M6694" s="575"/>
    </row>
    <row r="6695" spans="5:13" ht="30.75" hidden="1" thickBot="1">
      <c r="F6695" s="345">
        <v>495</v>
      </c>
      <c r="G6695" s="340" t="s">
        <v>4178</v>
      </c>
      <c r="J6695" s="635">
        <f t="shared" si="215"/>
        <v>0</v>
      </c>
      <c r="K6695" s="575"/>
      <c r="L6695" s="575"/>
      <c r="M6695" s="575"/>
    </row>
    <row r="6696" spans="5:13" ht="30.75" hidden="1" thickBot="1">
      <c r="F6696" s="345">
        <v>496</v>
      </c>
      <c r="G6696" s="340" t="s">
        <v>4179</v>
      </c>
      <c r="J6696" s="635">
        <f t="shared" si="215"/>
        <v>0</v>
      </c>
      <c r="K6696" s="575"/>
      <c r="L6696" s="575"/>
      <c r="M6696" s="575"/>
    </row>
    <row r="6697" spans="5:13" ht="15.75" hidden="1" thickBot="1">
      <c r="F6697" s="345">
        <v>499</v>
      </c>
      <c r="G6697" s="340" t="s">
        <v>4180</v>
      </c>
      <c r="J6697" s="635">
        <f t="shared" si="215"/>
        <v>0</v>
      </c>
      <c r="K6697" s="575"/>
      <c r="L6697" s="575"/>
      <c r="M6697" s="575"/>
    </row>
    <row r="6698" spans="5:13" ht="15.75" hidden="1" thickBot="1">
      <c r="F6698" s="345">
        <v>511</v>
      </c>
      <c r="G6698" s="343" t="s">
        <v>4200</v>
      </c>
      <c r="J6698" s="635">
        <f t="shared" si="215"/>
        <v>0</v>
      </c>
      <c r="K6698" s="575"/>
      <c r="L6698" s="575"/>
      <c r="M6698" s="575"/>
    </row>
    <row r="6699" spans="5:13" ht="15.75" hidden="1" thickBot="1">
      <c r="F6699" s="345">
        <v>512</v>
      </c>
      <c r="G6699" s="343" t="s">
        <v>4201</v>
      </c>
      <c r="J6699" s="635">
        <f t="shared" si="215"/>
        <v>0</v>
      </c>
      <c r="K6699" s="575"/>
      <c r="L6699" s="575"/>
      <c r="M6699" s="575"/>
    </row>
    <row r="6700" spans="5:13" ht="15.75" hidden="1" thickBot="1">
      <c r="F6700" s="345">
        <v>513</v>
      </c>
      <c r="G6700" s="343" t="s">
        <v>4202</v>
      </c>
      <c r="J6700" s="635">
        <f t="shared" si="215"/>
        <v>0</v>
      </c>
      <c r="K6700" s="575"/>
      <c r="L6700" s="575"/>
      <c r="M6700" s="575"/>
    </row>
    <row r="6701" spans="5:13" ht="15.75" hidden="1" thickBot="1">
      <c r="F6701" s="345">
        <v>514</v>
      </c>
      <c r="G6701" s="340" t="s">
        <v>4203</v>
      </c>
      <c r="J6701" s="635">
        <f t="shared" si="215"/>
        <v>0</v>
      </c>
      <c r="K6701" s="575"/>
      <c r="L6701" s="575"/>
      <c r="M6701" s="575"/>
    </row>
    <row r="6702" spans="5:13" ht="15.75" hidden="1" thickBot="1">
      <c r="F6702" s="345">
        <v>515</v>
      </c>
      <c r="G6702" s="340" t="s">
        <v>3838</v>
      </c>
      <c r="J6702" s="635">
        <f t="shared" si="215"/>
        <v>0</v>
      </c>
      <c r="K6702" s="575"/>
      <c r="L6702" s="575"/>
      <c r="M6702" s="575"/>
    </row>
    <row r="6703" spans="5:13" ht="15.75" hidden="1" thickBot="1">
      <c r="F6703" s="345">
        <v>521</v>
      </c>
      <c r="G6703" s="340" t="s">
        <v>4204</v>
      </c>
      <c r="J6703" s="635">
        <f t="shared" si="215"/>
        <v>0</v>
      </c>
      <c r="K6703" s="575"/>
      <c r="L6703" s="575"/>
      <c r="M6703" s="575"/>
    </row>
    <row r="6704" spans="5:13" ht="15.75" hidden="1" thickBot="1">
      <c r="F6704" s="345">
        <v>522</v>
      </c>
      <c r="G6704" s="340" t="s">
        <v>4205</v>
      </c>
      <c r="J6704" s="635">
        <f t="shared" si="215"/>
        <v>0</v>
      </c>
      <c r="K6704" s="575"/>
      <c r="L6704" s="575"/>
      <c r="M6704" s="575"/>
    </row>
    <row r="6705" spans="5:13" ht="15.75" hidden="1" thickBot="1">
      <c r="F6705" s="345">
        <v>523</v>
      </c>
      <c r="G6705" s="340" t="s">
        <v>3843</v>
      </c>
      <c r="J6705" s="635">
        <f t="shared" si="215"/>
        <v>0</v>
      </c>
      <c r="K6705" s="575"/>
      <c r="L6705" s="575"/>
      <c r="M6705" s="575"/>
    </row>
    <row r="6706" spans="5:13" ht="15.75" hidden="1" thickBot="1">
      <c r="F6706" s="345">
        <v>531</v>
      </c>
      <c r="G6706" s="337" t="s">
        <v>4181</v>
      </c>
      <c r="J6706" s="635">
        <f t="shared" si="215"/>
        <v>0</v>
      </c>
      <c r="K6706" s="575"/>
      <c r="L6706" s="575"/>
      <c r="M6706" s="575"/>
    </row>
    <row r="6707" spans="5:13" ht="15.75" hidden="1" thickBot="1">
      <c r="F6707" s="345">
        <v>541</v>
      </c>
      <c r="G6707" s="340" t="s">
        <v>4206</v>
      </c>
      <c r="J6707" s="635">
        <f t="shared" si="215"/>
        <v>0</v>
      </c>
      <c r="K6707" s="575"/>
      <c r="L6707" s="575"/>
      <c r="M6707" s="575"/>
    </row>
    <row r="6708" spans="5:13" ht="15.75" hidden="1" thickBot="1">
      <c r="F6708" s="345">
        <v>542</v>
      </c>
      <c r="G6708" s="340" t="s">
        <v>4207</v>
      </c>
      <c r="J6708" s="635">
        <f t="shared" si="215"/>
        <v>0</v>
      </c>
      <c r="K6708" s="575"/>
      <c r="L6708" s="575"/>
      <c r="M6708" s="575"/>
    </row>
    <row r="6709" spans="5:13" ht="15.75" hidden="1" thickBot="1">
      <c r="F6709" s="345">
        <v>543</v>
      </c>
      <c r="G6709" s="340" t="s">
        <v>3848</v>
      </c>
      <c r="J6709" s="635">
        <f t="shared" si="215"/>
        <v>0</v>
      </c>
      <c r="K6709" s="575"/>
      <c r="L6709" s="575"/>
      <c r="M6709" s="575"/>
    </row>
    <row r="6710" spans="5:13" ht="30.75" hidden="1" thickBot="1">
      <c r="F6710" s="345">
        <v>551</v>
      </c>
      <c r="G6710" s="340" t="s">
        <v>4182</v>
      </c>
      <c r="J6710" s="635">
        <f t="shared" si="215"/>
        <v>0</v>
      </c>
      <c r="K6710" s="575"/>
      <c r="L6710" s="575"/>
      <c r="M6710" s="575"/>
    </row>
    <row r="6711" spans="5:13" ht="15.75" hidden="1" thickBot="1">
      <c r="F6711" s="346">
        <v>611</v>
      </c>
      <c r="G6711" s="344" t="s">
        <v>3854</v>
      </c>
      <c r="J6711" s="635">
        <f t="shared" si="215"/>
        <v>0</v>
      </c>
      <c r="K6711" s="575"/>
      <c r="L6711" s="575"/>
      <c r="M6711" s="575"/>
    </row>
    <row r="6712" spans="5:13" ht="15.75" hidden="1" customHeight="1" thickBot="1">
      <c r="F6712" s="346">
        <v>512</v>
      </c>
      <c r="G6712" s="568" t="s">
        <v>4201</v>
      </c>
      <c r="J6712" s="635">
        <f t="shared" si="215"/>
        <v>0</v>
      </c>
      <c r="K6712" s="575"/>
      <c r="L6712" s="575"/>
      <c r="M6712" s="575"/>
    </row>
    <row r="6713" spans="5:13" ht="12" customHeight="1">
      <c r="E6713" s="338"/>
      <c r="F6713" s="346"/>
      <c r="G6713" s="372" t="s">
        <v>4396</v>
      </c>
      <c r="H6713" s="636"/>
      <c r="I6713" s="662"/>
      <c r="J6713" s="637"/>
      <c r="K6713" s="575"/>
      <c r="L6713" s="575"/>
      <c r="M6713" s="575"/>
    </row>
    <row r="6714" spans="5:13">
      <c r="E6714" s="267"/>
      <c r="F6714" s="294" t="s">
        <v>234</v>
      </c>
      <c r="G6714" s="297" t="s">
        <v>235</v>
      </c>
      <c r="H6714" s="638">
        <f>SUM(H6653:H6712)</f>
        <v>3686000</v>
      </c>
      <c r="I6714" s="639"/>
      <c r="J6714" s="639">
        <f t="shared" ref="J6714:J6729" si="216">SUM(H6714:I6714)</f>
        <v>3686000</v>
      </c>
      <c r="K6714" s="575"/>
      <c r="L6714" s="575"/>
      <c r="M6714" s="575"/>
    </row>
    <row r="6715" spans="5:13" ht="15.75" hidden="1" thickBot="1">
      <c r="F6715" s="294" t="s">
        <v>236</v>
      </c>
      <c r="G6715" s="297" t="s">
        <v>237</v>
      </c>
      <c r="J6715" s="639">
        <f t="shared" si="216"/>
        <v>0</v>
      </c>
      <c r="K6715" s="575"/>
      <c r="L6715" s="575"/>
      <c r="M6715" s="575"/>
    </row>
    <row r="6716" spans="5:13" ht="15.75" hidden="1" thickBot="1">
      <c r="F6716" s="294" t="s">
        <v>238</v>
      </c>
      <c r="G6716" s="297" t="s">
        <v>239</v>
      </c>
      <c r="J6716" s="639">
        <f t="shared" si="216"/>
        <v>0</v>
      </c>
      <c r="K6716" s="575"/>
      <c r="L6716" s="575"/>
      <c r="M6716" s="575"/>
    </row>
    <row r="6717" spans="5:13" ht="15.75" hidden="1" thickBot="1">
      <c r="F6717" s="294" t="s">
        <v>240</v>
      </c>
      <c r="G6717" s="297" t="s">
        <v>241</v>
      </c>
      <c r="J6717" s="639">
        <f t="shared" si="216"/>
        <v>0</v>
      </c>
      <c r="K6717" s="575"/>
      <c r="L6717" s="575"/>
      <c r="M6717" s="575"/>
    </row>
    <row r="6718" spans="5:13" ht="15.75" hidden="1" thickBot="1">
      <c r="F6718" s="294" t="s">
        <v>242</v>
      </c>
      <c r="G6718" s="297" t="s">
        <v>243</v>
      </c>
      <c r="J6718" s="639">
        <f t="shared" si="216"/>
        <v>0</v>
      </c>
      <c r="K6718" s="575"/>
      <c r="L6718" s="575"/>
      <c r="M6718" s="575"/>
    </row>
    <row r="6719" spans="5:13" ht="15.75" hidden="1" thickBot="1">
      <c r="F6719" s="294" t="s">
        <v>244</v>
      </c>
      <c r="G6719" s="297" t="s">
        <v>245</v>
      </c>
      <c r="J6719" s="639">
        <f t="shared" si="216"/>
        <v>0</v>
      </c>
      <c r="K6719" s="575"/>
      <c r="L6719" s="575"/>
      <c r="M6719" s="575"/>
    </row>
    <row r="6720" spans="5:13" ht="15.75" hidden="1" thickBot="1">
      <c r="F6720" s="294" t="s">
        <v>246</v>
      </c>
      <c r="G6720" s="683" t="s">
        <v>5121</v>
      </c>
      <c r="J6720" s="639">
        <f t="shared" si="216"/>
        <v>0</v>
      </c>
      <c r="K6720" s="575"/>
      <c r="L6720" s="575"/>
      <c r="M6720" s="575"/>
    </row>
    <row r="6721" spans="5:13" ht="15.75" hidden="1" thickBot="1">
      <c r="F6721" s="294" t="s">
        <v>247</v>
      </c>
      <c r="G6721" s="683" t="s">
        <v>5120</v>
      </c>
      <c r="J6721" s="639">
        <f t="shared" si="216"/>
        <v>0</v>
      </c>
      <c r="K6721" s="575"/>
      <c r="L6721" s="575"/>
      <c r="M6721" s="575"/>
    </row>
    <row r="6722" spans="5:13" ht="15.75" hidden="1" thickBot="1">
      <c r="F6722" s="294" t="s">
        <v>248</v>
      </c>
      <c r="G6722" s="297" t="s">
        <v>57</v>
      </c>
      <c r="J6722" s="639">
        <f t="shared" si="216"/>
        <v>0</v>
      </c>
      <c r="K6722" s="575"/>
      <c r="L6722" s="575"/>
      <c r="M6722" s="575"/>
    </row>
    <row r="6723" spans="5:13" ht="15.75" hidden="1" thickBot="1">
      <c r="F6723" s="294" t="s">
        <v>249</v>
      </c>
      <c r="G6723" s="297" t="s">
        <v>250</v>
      </c>
      <c r="J6723" s="639">
        <f t="shared" si="216"/>
        <v>0</v>
      </c>
      <c r="K6723" s="575"/>
      <c r="L6723" s="575"/>
      <c r="M6723" s="575"/>
    </row>
    <row r="6724" spans="5:13" ht="15.75" hidden="1" thickBot="1">
      <c r="F6724" s="294" t="s">
        <v>251</v>
      </c>
      <c r="G6724" s="297" t="s">
        <v>252</v>
      </c>
      <c r="J6724" s="639">
        <f t="shared" si="216"/>
        <v>0</v>
      </c>
      <c r="K6724" s="575"/>
      <c r="L6724" s="575"/>
      <c r="M6724" s="575"/>
    </row>
    <row r="6725" spans="5:13" ht="15.75" hidden="1" thickBot="1">
      <c r="F6725" s="294" t="s">
        <v>253</v>
      </c>
      <c r="G6725" s="297" t="s">
        <v>254</v>
      </c>
      <c r="J6725" s="639">
        <f t="shared" si="216"/>
        <v>0</v>
      </c>
      <c r="K6725" s="575"/>
      <c r="L6725" s="575"/>
      <c r="M6725" s="575"/>
    </row>
    <row r="6726" spans="5:13" ht="15.75" hidden="1" thickBot="1">
      <c r="F6726" s="294" t="s">
        <v>255</v>
      </c>
      <c r="G6726" s="297" t="s">
        <v>256</v>
      </c>
      <c r="J6726" s="639">
        <f t="shared" si="216"/>
        <v>0</v>
      </c>
      <c r="K6726" s="575"/>
      <c r="L6726" s="575"/>
      <c r="M6726" s="575"/>
    </row>
    <row r="6727" spans="5:13" ht="15.75" hidden="1" thickBot="1">
      <c r="F6727" s="294" t="s">
        <v>257</v>
      </c>
      <c r="G6727" s="297" t="s">
        <v>258</v>
      </c>
      <c r="J6727" s="639">
        <f t="shared" si="216"/>
        <v>0</v>
      </c>
      <c r="K6727" s="575"/>
      <c r="L6727" s="575"/>
      <c r="M6727" s="575"/>
    </row>
    <row r="6728" spans="5:13" ht="15.75" hidden="1" thickBot="1">
      <c r="F6728" s="294" t="s">
        <v>259</v>
      </c>
      <c r="G6728" s="297" t="s">
        <v>260</v>
      </c>
      <c r="J6728" s="639">
        <f t="shared" si="216"/>
        <v>0</v>
      </c>
      <c r="K6728" s="575"/>
      <c r="L6728" s="575"/>
      <c r="M6728" s="575"/>
    </row>
    <row r="6729" spans="5:13" ht="15.75" customHeight="1" thickBot="1">
      <c r="F6729" s="771" t="s">
        <v>240</v>
      </c>
      <c r="G6729" s="683" t="s">
        <v>241</v>
      </c>
      <c r="H6729" s="638"/>
      <c r="I6729" s="639">
        <f>SUM(I6653:I6690)</f>
        <v>1300000</v>
      </c>
      <c r="J6729" s="639">
        <f t="shared" si="216"/>
        <v>1300000</v>
      </c>
      <c r="K6729" s="575"/>
      <c r="L6729" s="575"/>
      <c r="M6729" s="575"/>
    </row>
    <row r="6730" spans="5:13" ht="15.75" thickBot="1">
      <c r="G6730" s="274" t="s">
        <v>4397</v>
      </c>
      <c r="H6730" s="640">
        <f>SUM(H6714:H6729)</f>
        <v>3686000</v>
      </c>
      <c r="I6730" s="641">
        <f>SUM(I6729)</f>
        <v>1300000</v>
      </c>
      <c r="J6730" s="641">
        <f>SUM(J6714:J6729)</f>
        <v>4986000</v>
      </c>
      <c r="K6730" s="575"/>
      <c r="L6730" s="575"/>
      <c r="M6730" s="575"/>
    </row>
    <row r="6731" spans="5:13" collapsed="1">
      <c r="E6731" s="338"/>
      <c r="F6731" s="346"/>
      <c r="G6731" s="276" t="s">
        <v>4285</v>
      </c>
      <c r="H6731" s="642"/>
      <c r="I6731" s="663"/>
      <c r="J6731" s="643"/>
      <c r="K6731" s="575"/>
      <c r="L6731" s="575"/>
      <c r="M6731" s="575"/>
    </row>
    <row r="6732" spans="5:13">
      <c r="E6732" s="267"/>
      <c r="F6732" s="294" t="s">
        <v>234</v>
      </c>
      <c r="G6732" s="297" t="s">
        <v>235</v>
      </c>
      <c r="H6732" s="638">
        <f>SUM(H6653:H6712)</f>
        <v>3686000</v>
      </c>
      <c r="I6732" s="639"/>
      <c r="J6732" s="639">
        <f>SUM(H6732:I6732)</f>
        <v>3686000</v>
      </c>
      <c r="K6732" s="575"/>
      <c r="L6732" s="575"/>
      <c r="M6732" s="575"/>
    </row>
    <row r="6733" spans="5:13" ht="15.75" hidden="1" thickBot="1">
      <c r="F6733" s="294" t="s">
        <v>236</v>
      </c>
      <c r="G6733" s="297" t="s">
        <v>237</v>
      </c>
      <c r="J6733" s="639">
        <f t="shared" ref="J6733:J6747" si="217">SUM(H6733:I6733)</f>
        <v>0</v>
      </c>
      <c r="K6733" s="575"/>
      <c r="L6733" s="575"/>
      <c r="M6733" s="575"/>
    </row>
    <row r="6734" spans="5:13" ht="15.75" hidden="1" thickBot="1">
      <c r="F6734" s="294" t="s">
        <v>238</v>
      </c>
      <c r="G6734" s="297" t="s">
        <v>239</v>
      </c>
      <c r="J6734" s="639">
        <f t="shared" si="217"/>
        <v>0</v>
      </c>
      <c r="K6734" s="575"/>
      <c r="L6734" s="575"/>
      <c r="M6734" s="575"/>
    </row>
    <row r="6735" spans="5:13" ht="15.75" hidden="1" thickBot="1">
      <c r="F6735" s="294" t="s">
        <v>240</v>
      </c>
      <c r="G6735" s="297" t="s">
        <v>241</v>
      </c>
      <c r="J6735" s="639">
        <f t="shared" si="217"/>
        <v>0</v>
      </c>
      <c r="K6735" s="575"/>
      <c r="L6735" s="575"/>
      <c r="M6735" s="575"/>
    </row>
    <row r="6736" spans="5:13" ht="15.75" hidden="1" thickBot="1">
      <c r="F6736" s="294" t="s">
        <v>242</v>
      </c>
      <c r="G6736" s="297" t="s">
        <v>243</v>
      </c>
      <c r="J6736" s="639">
        <f t="shared" si="217"/>
        <v>0</v>
      </c>
      <c r="K6736" s="575"/>
      <c r="L6736" s="575"/>
      <c r="M6736" s="575"/>
    </row>
    <row r="6737" spans="3:13" ht="15.75" hidden="1" thickBot="1">
      <c r="F6737" s="294" t="s">
        <v>244</v>
      </c>
      <c r="G6737" s="297" t="s">
        <v>245</v>
      </c>
      <c r="J6737" s="639">
        <f t="shared" si="217"/>
        <v>0</v>
      </c>
      <c r="K6737" s="575"/>
      <c r="L6737" s="575"/>
      <c r="M6737" s="575"/>
    </row>
    <row r="6738" spans="3:13" ht="15.75" hidden="1" thickBot="1">
      <c r="F6738" s="294" t="s">
        <v>246</v>
      </c>
      <c r="G6738" s="683" t="s">
        <v>5121</v>
      </c>
      <c r="J6738" s="639">
        <f t="shared" si="217"/>
        <v>0</v>
      </c>
      <c r="K6738" s="575"/>
      <c r="L6738" s="575"/>
      <c r="M6738" s="575"/>
    </row>
    <row r="6739" spans="3:13" ht="15.75" hidden="1" thickBot="1">
      <c r="F6739" s="294" t="s">
        <v>247</v>
      </c>
      <c r="G6739" s="683" t="s">
        <v>5120</v>
      </c>
      <c r="J6739" s="639">
        <f t="shared" si="217"/>
        <v>0</v>
      </c>
      <c r="K6739" s="575"/>
      <c r="L6739" s="575"/>
      <c r="M6739" s="575"/>
    </row>
    <row r="6740" spans="3:13" ht="15.75" hidden="1" thickBot="1">
      <c r="F6740" s="294" t="s">
        <v>248</v>
      </c>
      <c r="G6740" s="297" t="s">
        <v>57</v>
      </c>
      <c r="J6740" s="639">
        <f t="shared" si="217"/>
        <v>0</v>
      </c>
      <c r="K6740" s="575"/>
      <c r="L6740" s="575"/>
      <c r="M6740" s="575"/>
    </row>
    <row r="6741" spans="3:13" ht="15.75" hidden="1" thickBot="1">
      <c r="F6741" s="294" t="s">
        <v>249</v>
      </c>
      <c r="G6741" s="297" t="s">
        <v>250</v>
      </c>
      <c r="J6741" s="639">
        <f t="shared" si="217"/>
        <v>0</v>
      </c>
      <c r="K6741" s="575"/>
      <c r="L6741" s="575"/>
      <c r="M6741" s="575"/>
    </row>
    <row r="6742" spans="3:13" ht="15.75" hidden="1" thickBot="1">
      <c r="F6742" s="294" t="s">
        <v>251</v>
      </c>
      <c r="G6742" s="297" t="s">
        <v>252</v>
      </c>
      <c r="J6742" s="639">
        <f t="shared" si="217"/>
        <v>0</v>
      </c>
      <c r="K6742" s="575"/>
      <c r="L6742" s="575"/>
      <c r="M6742" s="575"/>
    </row>
    <row r="6743" spans="3:13" ht="15.75" hidden="1" thickBot="1">
      <c r="F6743" s="294" t="s">
        <v>253</v>
      </c>
      <c r="G6743" s="297" t="s">
        <v>254</v>
      </c>
      <c r="J6743" s="639">
        <f t="shared" si="217"/>
        <v>0</v>
      </c>
      <c r="K6743" s="575"/>
      <c r="L6743" s="575"/>
      <c r="M6743" s="575"/>
    </row>
    <row r="6744" spans="3:13" ht="15.75" hidden="1" thickBot="1">
      <c r="F6744" s="294" t="s">
        <v>255</v>
      </c>
      <c r="G6744" s="297" t="s">
        <v>256</v>
      </c>
      <c r="J6744" s="639">
        <f t="shared" si="217"/>
        <v>0</v>
      </c>
      <c r="K6744" s="575"/>
      <c r="L6744" s="575"/>
      <c r="M6744" s="575"/>
    </row>
    <row r="6745" spans="3:13" ht="15.75" hidden="1" thickBot="1">
      <c r="F6745" s="294" t="s">
        <v>257</v>
      </c>
      <c r="G6745" s="297" t="s">
        <v>258</v>
      </c>
      <c r="J6745" s="639">
        <f t="shared" si="217"/>
        <v>0</v>
      </c>
      <c r="K6745" s="575"/>
      <c r="L6745" s="575"/>
      <c r="M6745" s="575"/>
    </row>
    <row r="6746" spans="3:13" ht="15.75" hidden="1" thickBot="1">
      <c r="F6746" s="294" t="s">
        <v>259</v>
      </c>
      <c r="G6746" s="297" t="s">
        <v>260</v>
      </c>
      <c r="J6746" s="639">
        <f t="shared" si="217"/>
        <v>0</v>
      </c>
      <c r="K6746" s="575"/>
      <c r="L6746" s="575"/>
      <c r="M6746" s="575"/>
    </row>
    <row r="6747" spans="3:13" ht="12.75" customHeight="1" thickBot="1">
      <c r="F6747" s="771" t="s">
        <v>240</v>
      </c>
      <c r="G6747" s="683" t="s">
        <v>241</v>
      </c>
      <c r="H6747" s="638"/>
      <c r="I6747" s="639">
        <f>SUM(I6729)</f>
        <v>1300000</v>
      </c>
      <c r="J6747" s="639">
        <f t="shared" si="217"/>
        <v>1300000</v>
      </c>
      <c r="K6747" s="575"/>
      <c r="L6747" s="575"/>
      <c r="M6747" s="575"/>
    </row>
    <row r="6748" spans="3:13" ht="15.75" collapsed="1" thickBot="1">
      <c r="G6748" s="274" t="s">
        <v>4399</v>
      </c>
      <c r="H6748" s="640">
        <f>SUM(H6732:H6747)</f>
        <v>3686000</v>
      </c>
      <c r="I6748" s="641">
        <f>SUM(I6747)</f>
        <v>1300000</v>
      </c>
      <c r="J6748" s="641">
        <f>SUM(J6732:J6747)</f>
        <v>4986000</v>
      </c>
      <c r="K6748" s="575"/>
      <c r="L6748" s="575"/>
      <c r="M6748" s="575"/>
    </row>
    <row r="6749" spans="3:13" ht="0.75" customHeight="1">
      <c r="K6749" s="575"/>
      <c r="L6749" s="575"/>
      <c r="M6749" s="575"/>
    </row>
    <row r="6750" spans="3:13">
      <c r="C6750" s="368" t="s">
        <v>4300</v>
      </c>
      <c r="D6750" s="330"/>
      <c r="E6750" s="330"/>
      <c r="F6750" s="267"/>
      <c r="G6750" s="332" t="s">
        <v>4096</v>
      </c>
      <c r="K6750" s="574"/>
      <c r="L6750" s="572"/>
      <c r="M6750" s="575"/>
    </row>
    <row r="6751" spans="3:13">
      <c r="C6751" s="389"/>
      <c r="D6751" s="357">
        <v>473</v>
      </c>
      <c r="E6751" s="357"/>
      <c r="F6751" s="357"/>
      <c r="G6751" s="383" t="s">
        <v>162</v>
      </c>
      <c r="K6751" s="576"/>
      <c r="L6751" s="572"/>
      <c r="M6751" s="575"/>
    </row>
    <row r="6752" spans="3:13" hidden="1">
      <c r="F6752" s="402">
        <v>411</v>
      </c>
      <c r="G6752" s="393" t="s">
        <v>4173</v>
      </c>
      <c r="J6752" s="635">
        <f>SUM(H6752:I6752)</f>
        <v>0</v>
      </c>
      <c r="K6752" s="575"/>
      <c r="L6752" s="575"/>
      <c r="M6752" s="575"/>
    </row>
    <row r="6753" spans="5:13" hidden="1">
      <c r="F6753" s="402">
        <v>412</v>
      </c>
      <c r="G6753" s="390" t="s">
        <v>3770</v>
      </c>
      <c r="J6753" s="635">
        <f t="shared" ref="J6753:J6811" si="218">SUM(H6753:I6753)</f>
        <v>0</v>
      </c>
      <c r="K6753" s="575"/>
      <c r="L6753" s="575"/>
      <c r="M6753" s="575"/>
    </row>
    <row r="6754" spans="5:13" hidden="1">
      <c r="F6754" s="402">
        <v>413</v>
      </c>
      <c r="G6754" s="393" t="s">
        <v>4174</v>
      </c>
      <c r="J6754" s="635">
        <f t="shared" si="218"/>
        <v>0</v>
      </c>
      <c r="K6754" s="575"/>
      <c r="L6754" s="575"/>
      <c r="M6754" s="575"/>
    </row>
    <row r="6755" spans="5:13" hidden="1">
      <c r="F6755" s="402">
        <v>414</v>
      </c>
      <c r="G6755" s="393" t="s">
        <v>3773</v>
      </c>
      <c r="J6755" s="635">
        <f t="shared" si="218"/>
        <v>0</v>
      </c>
      <c r="K6755" s="575"/>
      <c r="L6755" s="575"/>
      <c r="M6755" s="575"/>
    </row>
    <row r="6756" spans="5:13" hidden="1">
      <c r="F6756" s="402">
        <v>415</v>
      </c>
      <c r="G6756" s="393" t="s">
        <v>4183</v>
      </c>
      <c r="J6756" s="635">
        <f t="shared" si="218"/>
        <v>0</v>
      </c>
      <c r="K6756" s="575"/>
      <c r="L6756" s="575"/>
      <c r="M6756" s="575"/>
    </row>
    <row r="6757" spans="5:13" hidden="1">
      <c r="F6757" s="402">
        <v>416</v>
      </c>
      <c r="G6757" s="393" t="s">
        <v>4184</v>
      </c>
      <c r="J6757" s="635">
        <f t="shared" si="218"/>
        <v>0</v>
      </c>
      <c r="K6757" s="575"/>
      <c r="L6757" s="575"/>
      <c r="M6757" s="575"/>
    </row>
    <row r="6758" spans="5:13" hidden="1">
      <c r="F6758" s="402">
        <v>417</v>
      </c>
      <c r="G6758" s="393" t="s">
        <v>4185</v>
      </c>
      <c r="J6758" s="635">
        <f t="shared" si="218"/>
        <v>0</v>
      </c>
      <c r="K6758" s="575"/>
      <c r="L6758" s="575"/>
      <c r="M6758" s="575"/>
    </row>
    <row r="6759" spans="5:13" hidden="1">
      <c r="F6759" s="402">
        <v>418</v>
      </c>
      <c r="G6759" s="393" t="s">
        <v>3779</v>
      </c>
      <c r="J6759" s="635">
        <f t="shared" si="218"/>
        <v>0</v>
      </c>
      <c r="K6759" s="575"/>
      <c r="L6759" s="575"/>
      <c r="M6759" s="575"/>
    </row>
    <row r="6760" spans="5:13" hidden="1">
      <c r="F6760" s="402">
        <v>421</v>
      </c>
      <c r="G6760" s="393" t="s">
        <v>3783</v>
      </c>
      <c r="J6760" s="635">
        <f t="shared" si="218"/>
        <v>0</v>
      </c>
      <c r="K6760" s="575"/>
      <c r="L6760" s="575"/>
      <c r="M6760" s="575"/>
    </row>
    <row r="6761" spans="5:13" hidden="1">
      <c r="F6761" s="402">
        <v>422</v>
      </c>
      <c r="G6761" s="393" t="s">
        <v>3784</v>
      </c>
      <c r="J6761" s="635">
        <f t="shared" si="218"/>
        <v>0</v>
      </c>
      <c r="K6761" s="575"/>
      <c r="L6761" s="575"/>
      <c r="M6761" s="575"/>
    </row>
    <row r="6762" spans="5:13">
      <c r="E6762" s="263">
        <v>93</v>
      </c>
      <c r="F6762" s="402">
        <v>423</v>
      </c>
      <c r="G6762" s="393" t="s">
        <v>3785</v>
      </c>
      <c r="H6762" s="634">
        <v>850000</v>
      </c>
      <c r="J6762" s="635">
        <f t="shared" si="218"/>
        <v>850000</v>
      </c>
      <c r="K6762" s="575"/>
      <c r="L6762" s="575"/>
      <c r="M6762" s="575"/>
    </row>
    <row r="6763" spans="5:13" ht="15.75" hidden="1" thickBot="1">
      <c r="F6763" s="402">
        <v>424</v>
      </c>
      <c r="G6763" s="393" t="s">
        <v>3787</v>
      </c>
      <c r="J6763" s="635">
        <f t="shared" si="218"/>
        <v>0</v>
      </c>
      <c r="K6763" s="575"/>
      <c r="L6763" s="575"/>
      <c r="M6763" s="575"/>
    </row>
    <row r="6764" spans="5:13" ht="15.75" hidden="1" thickBot="1">
      <c r="F6764" s="402">
        <v>425</v>
      </c>
      <c r="G6764" s="393" t="s">
        <v>4186</v>
      </c>
      <c r="J6764" s="635">
        <f t="shared" si="218"/>
        <v>0</v>
      </c>
      <c r="K6764" s="575"/>
      <c r="L6764" s="575"/>
      <c r="M6764" s="575"/>
    </row>
    <row r="6765" spans="5:13" ht="15.75" hidden="1" thickBot="1">
      <c r="F6765" s="402">
        <v>426</v>
      </c>
      <c r="G6765" s="393" t="s">
        <v>3791</v>
      </c>
      <c r="J6765" s="635">
        <f t="shared" si="218"/>
        <v>0</v>
      </c>
      <c r="K6765" s="575"/>
      <c r="L6765" s="575"/>
      <c r="M6765" s="575"/>
    </row>
    <row r="6766" spans="5:13" ht="15.75" hidden="1" thickBot="1">
      <c r="F6766" s="402">
        <v>431</v>
      </c>
      <c r="G6766" s="393" t="s">
        <v>4187</v>
      </c>
      <c r="J6766" s="635">
        <f t="shared" si="218"/>
        <v>0</v>
      </c>
      <c r="K6766" s="575"/>
      <c r="L6766" s="575"/>
      <c r="M6766" s="575"/>
    </row>
    <row r="6767" spans="5:13" ht="15.75" hidden="1" thickBot="1">
      <c r="F6767" s="402">
        <v>432</v>
      </c>
      <c r="G6767" s="393" t="s">
        <v>4188</v>
      </c>
      <c r="J6767" s="635">
        <f t="shared" si="218"/>
        <v>0</v>
      </c>
      <c r="K6767" s="575"/>
      <c r="L6767" s="575"/>
      <c r="M6767" s="575"/>
    </row>
    <row r="6768" spans="5:13" ht="15.75" hidden="1" thickBot="1">
      <c r="F6768" s="402">
        <v>433</v>
      </c>
      <c r="G6768" s="393" t="s">
        <v>4189</v>
      </c>
      <c r="J6768" s="635">
        <f t="shared" si="218"/>
        <v>0</v>
      </c>
      <c r="K6768" s="575"/>
      <c r="L6768" s="575"/>
      <c r="M6768" s="575"/>
    </row>
    <row r="6769" spans="6:13" ht="15.75" hidden="1" thickBot="1">
      <c r="F6769" s="402">
        <v>434</v>
      </c>
      <c r="G6769" s="393" t="s">
        <v>4190</v>
      </c>
      <c r="J6769" s="635">
        <f t="shared" si="218"/>
        <v>0</v>
      </c>
      <c r="K6769" s="575"/>
      <c r="L6769" s="575"/>
      <c r="M6769" s="575"/>
    </row>
    <row r="6770" spans="6:13" ht="15.75" hidden="1" thickBot="1">
      <c r="F6770" s="402">
        <v>435</v>
      </c>
      <c r="G6770" s="393" t="s">
        <v>3798</v>
      </c>
      <c r="J6770" s="635">
        <f t="shared" si="218"/>
        <v>0</v>
      </c>
      <c r="K6770" s="575"/>
      <c r="L6770" s="575"/>
      <c r="M6770" s="575"/>
    </row>
    <row r="6771" spans="6:13" ht="15.75" hidden="1" thickBot="1">
      <c r="F6771" s="402">
        <v>441</v>
      </c>
      <c r="G6771" s="393" t="s">
        <v>4191</v>
      </c>
      <c r="J6771" s="635">
        <f t="shared" si="218"/>
        <v>0</v>
      </c>
      <c r="K6771" s="575"/>
      <c r="L6771" s="575"/>
      <c r="M6771" s="575"/>
    </row>
    <row r="6772" spans="6:13" ht="15.75" hidden="1" thickBot="1">
      <c r="F6772" s="402">
        <v>442</v>
      </c>
      <c r="G6772" s="393" t="s">
        <v>4192</v>
      </c>
      <c r="J6772" s="635">
        <f t="shared" si="218"/>
        <v>0</v>
      </c>
      <c r="K6772" s="575"/>
      <c r="L6772" s="575"/>
      <c r="M6772" s="575"/>
    </row>
    <row r="6773" spans="6:13" ht="15.75" hidden="1" thickBot="1">
      <c r="F6773" s="402">
        <v>443</v>
      </c>
      <c r="G6773" s="393" t="s">
        <v>3803</v>
      </c>
      <c r="J6773" s="635">
        <f t="shared" si="218"/>
        <v>0</v>
      </c>
      <c r="K6773" s="575"/>
      <c r="L6773" s="575"/>
      <c r="M6773" s="575"/>
    </row>
    <row r="6774" spans="6:13" ht="15.75" hidden="1" thickBot="1">
      <c r="F6774" s="402">
        <v>444</v>
      </c>
      <c r="G6774" s="393" t="s">
        <v>3804</v>
      </c>
      <c r="J6774" s="635">
        <f t="shared" si="218"/>
        <v>0</v>
      </c>
      <c r="K6774" s="575"/>
      <c r="L6774" s="575"/>
      <c r="M6774" s="575"/>
    </row>
    <row r="6775" spans="6:13" ht="30.75" hidden="1" thickBot="1">
      <c r="F6775" s="402">
        <v>4511</v>
      </c>
      <c r="G6775" s="268" t="s">
        <v>1690</v>
      </c>
      <c r="J6775" s="635">
        <f t="shared" si="218"/>
        <v>0</v>
      </c>
      <c r="K6775" s="575"/>
      <c r="L6775" s="575"/>
      <c r="M6775" s="575"/>
    </row>
    <row r="6776" spans="6:13" ht="30.75" hidden="1" thickBot="1">
      <c r="F6776" s="402">
        <v>4512</v>
      </c>
      <c r="G6776" s="268" t="s">
        <v>1699</v>
      </c>
      <c r="J6776" s="635">
        <f t="shared" si="218"/>
        <v>0</v>
      </c>
      <c r="K6776" s="575"/>
      <c r="L6776" s="575"/>
      <c r="M6776" s="575"/>
    </row>
    <row r="6777" spans="6:13" ht="15.75" hidden="1" thickBot="1">
      <c r="F6777" s="402">
        <v>452</v>
      </c>
      <c r="G6777" s="393" t="s">
        <v>4193</v>
      </c>
      <c r="J6777" s="635">
        <f t="shared" si="218"/>
        <v>0</v>
      </c>
      <c r="K6777" s="575"/>
      <c r="L6777" s="575"/>
      <c r="M6777" s="575"/>
    </row>
    <row r="6778" spans="6:13" ht="15.75" hidden="1" thickBot="1">
      <c r="F6778" s="402">
        <v>453</v>
      </c>
      <c r="G6778" s="393" t="s">
        <v>4194</v>
      </c>
      <c r="J6778" s="635">
        <f t="shared" si="218"/>
        <v>0</v>
      </c>
      <c r="K6778" s="575"/>
      <c r="L6778" s="575"/>
      <c r="M6778" s="575"/>
    </row>
    <row r="6779" spans="6:13" ht="15.75" hidden="1" thickBot="1">
      <c r="F6779" s="402">
        <v>454</v>
      </c>
      <c r="G6779" s="393" t="s">
        <v>3809</v>
      </c>
      <c r="J6779" s="635">
        <f t="shared" si="218"/>
        <v>0</v>
      </c>
      <c r="K6779" s="575"/>
      <c r="L6779" s="575"/>
      <c r="M6779" s="575"/>
    </row>
    <row r="6780" spans="6:13" ht="15.75" hidden="1" thickBot="1">
      <c r="F6780" s="402">
        <v>461</v>
      </c>
      <c r="G6780" s="393" t="s">
        <v>4175</v>
      </c>
      <c r="J6780" s="635">
        <f t="shared" si="218"/>
        <v>0</v>
      </c>
      <c r="K6780" s="575"/>
      <c r="L6780" s="575"/>
      <c r="M6780" s="575"/>
    </row>
    <row r="6781" spans="6:13" ht="15.75" hidden="1" thickBot="1">
      <c r="F6781" s="402">
        <v>462</v>
      </c>
      <c r="G6781" s="393" t="s">
        <v>3812</v>
      </c>
      <c r="J6781" s="635">
        <f t="shared" si="218"/>
        <v>0</v>
      </c>
      <c r="K6781" s="575"/>
      <c r="L6781" s="575"/>
      <c r="M6781" s="575"/>
    </row>
    <row r="6782" spans="6:13" ht="15.75" hidden="1" thickBot="1">
      <c r="F6782" s="402">
        <v>4631</v>
      </c>
      <c r="G6782" s="393" t="s">
        <v>3813</v>
      </c>
      <c r="J6782" s="635">
        <f t="shared" si="218"/>
        <v>0</v>
      </c>
      <c r="K6782" s="575"/>
      <c r="L6782" s="575"/>
      <c r="M6782" s="575"/>
    </row>
    <row r="6783" spans="6:13" ht="15.75" hidden="1" thickBot="1">
      <c r="F6783" s="402">
        <v>4632</v>
      </c>
      <c r="G6783" s="393" t="s">
        <v>3814</v>
      </c>
      <c r="J6783" s="635">
        <f t="shared" si="218"/>
        <v>0</v>
      </c>
      <c r="K6783" s="575"/>
      <c r="L6783" s="575"/>
      <c r="M6783" s="575"/>
    </row>
    <row r="6784" spans="6:13" ht="15.75" hidden="1" thickBot="1">
      <c r="F6784" s="402">
        <v>464</v>
      </c>
      <c r="G6784" s="393" t="s">
        <v>3815</v>
      </c>
      <c r="J6784" s="635">
        <f t="shared" si="218"/>
        <v>0</v>
      </c>
      <c r="K6784" s="575"/>
      <c r="L6784" s="575"/>
      <c r="M6784" s="575"/>
    </row>
    <row r="6785" spans="6:13" ht="15.75" hidden="1" thickBot="1">
      <c r="F6785" s="402">
        <v>465</v>
      </c>
      <c r="G6785" s="393" t="s">
        <v>4176</v>
      </c>
      <c r="J6785" s="635">
        <f t="shared" si="218"/>
        <v>0</v>
      </c>
      <c r="K6785" s="575"/>
      <c r="L6785" s="575"/>
      <c r="M6785" s="575"/>
    </row>
    <row r="6786" spans="6:13" ht="15.75" hidden="1" thickBot="1">
      <c r="F6786" s="402">
        <v>472</v>
      </c>
      <c r="G6786" s="393" t="s">
        <v>3819</v>
      </c>
      <c r="J6786" s="635">
        <f t="shared" si="218"/>
        <v>0</v>
      </c>
      <c r="K6786" s="575"/>
      <c r="L6786" s="575"/>
      <c r="M6786" s="575"/>
    </row>
    <row r="6787" spans="6:13" ht="15.75" hidden="1" thickBot="1">
      <c r="F6787" s="402">
        <v>481</v>
      </c>
      <c r="G6787" s="393" t="s">
        <v>4195</v>
      </c>
      <c r="J6787" s="635">
        <f t="shared" si="218"/>
        <v>0</v>
      </c>
      <c r="K6787" s="575"/>
      <c r="L6787" s="575"/>
      <c r="M6787" s="575"/>
    </row>
    <row r="6788" spans="6:13" ht="15.75" hidden="1" thickBot="1">
      <c r="F6788" s="402">
        <v>482</v>
      </c>
      <c r="G6788" s="393" t="s">
        <v>4196</v>
      </c>
      <c r="J6788" s="635">
        <f t="shared" si="218"/>
        <v>0</v>
      </c>
      <c r="K6788" s="575"/>
      <c r="L6788" s="575"/>
      <c r="M6788" s="575"/>
    </row>
    <row r="6789" spans="6:13" ht="15.75" hidden="1" thickBot="1">
      <c r="F6789" s="402">
        <v>483</v>
      </c>
      <c r="G6789" s="398" t="s">
        <v>4197</v>
      </c>
      <c r="J6789" s="635">
        <f t="shared" si="218"/>
        <v>0</v>
      </c>
      <c r="K6789" s="575"/>
      <c r="L6789" s="575"/>
      <c r="M6789" s="575"/>
    </row>
    <row r="6790" spans="6:13" ht="30.75" hidden="1" thickBot="1">
      <c r="F6790" s="402">
        <v>484</v>
      </c>
      <c r="G6790" s="393" t="s">
        <v>4198</v>
      </c>
      <c r="J6790" s="635">
        <f t="shared" si="218"/>
        <v>0</v>
      </c>
      <c r="K6790" s="575"/>
      <c r="L6790" s="575"/>
      <c r="M6790" s="575"/>
    </row>
    <row r="6791" spans="6:13" ht="30.75" hidden="1" thickBot="1">
      <c r="F6791" s="402">
        <v>485</v>
      </c>
      <c r="G6791" s="393" t="s">
        <v>4199</v>
      </c>
      <c r="J6791" s="635">
        <f t="shared" si="218"/>
        <v>0</v>
      </c>
      <c r="K6791" s="575"/>
      <c r="L6791" s="575"/>
      <c r="M6791" s="575"/>
    </row>
    <row r="6792" spans="6:13" ht="30.75" hidden="1" thickBot="1">
      <c r="F6792" s="402">
        <v>489</v>
      </c>
      <c r="G6792" s="393" t="s">
        <v>3827</v>
      </c>
      <c r="J6792" s="635">
        <f t="shared" si="218"/>
        <v>0</v>
      </c>
      <c r="K6792" s="575"/>
      <c r="L6792" s="575"/>
      <c r="M6792" s="575"/>
    </row>
    <row r="6793" spans="6:13" ht="15.75" hidden="1" thickBot="1">
      <c r="F6793" s="402">
        <v>494</v>
      </c>
      <c r="G6793" s="393" t="s">
        <v>4177</v>
      </c>
      <c r="J6793" s="635">
        <f t="shared" si="218"/>
        <v>0</v>
      </c>
      <c r="K6793" s="575"/>
      <c r="L6793" s="575"/>
      <c r="M6793" s="575"/>
    </row>
    <row r="6794" spans="6:13" ht="30.75" hidden="1" thickBot="1">
      <c r="F6794" s="402">
        <v>495</v>
      </c>
      <c r="G6794" s="393" t="s">
        <v>4178</v>
      </c>
      <c r="J6794" s="635">
        <f t="shared" si="218"/>
        <v>0</v>
      </c>
      <c r="K6794" s="575"/>
      <c r="L6794" s="575"/>
      <c r="M6794" s="575"/>
    </row>
    <row r="6795" spans="6:13" ht="30.75" hidden="1" thickBot="1">
      <c r="F6795" s="402">
        <v>496</v>
      </c>
      <c r="G6795" s="393" t="s">
        <v>4179</v>
      </c>
      <c r="J6795" s="635">
        <f t="shared" si="218"/>
        <v>0</v>
      </c>
      <c r="K6795" s="575"/>
      <c r="L6795" s="575"/>
      <c r="M6795" s="575"/>
    </row>
    <row r="6796" spans="6:13" ht="15.75" hidden="1" thickBot="1">
      <c r="F6796" s="402">
        <v>499</v>
      </c>
      <c r="G6796" s="393" t="s">
        <v>4180</v>
      </c>
      <c r="J6796" s="635">
        <f t="shared" si="218"/>
        <v>0</v>
      </c>
      <c r="K6796" s="575"/>
      <c r="L6796" s="575"/>
      <c r="M6796" s="575"/>
    </row>
    <row r="6797" spans="6:13" ht="15.75" hidden="1" thickBot="1">
      <c r="F6797" s="402">
        <v>511</v>
      </c>
      <c r="G6797" s="398" t="s">
        <v>4200</v>
      </c>
      <c r="J6797" s="635">
        <f t="shared" si="218"/>
        <v>0</v>
      </c>
      <c r="K6797" s="575"/>
      <c r="L6797" s="575"/>
      <c r="M6797" s="575"/>
    </row>
    <row r="6798" spans="6:13" ht="15.75" hidden="1" thickBot="1">
      <c r="F6798" s="402">
        <v>512</v>
      </c>
      <c r="G6798" s="398" t="s">
        <v>4201</v>
      </c>
      <c r="J6798" s="635">
        <f t="shared" si="218"/>
        <v>0</v>
      </c>
      <c r="K6798" s="575"/>
      <c r="L6798" s="575"/>
      <c r="M6798" s="575"/>
    </row>
    <row r="6799" spans="6:13" ht="15.75" hidden="1" thickBot="1">
      <c r="F6799" s="402">
        <v>513</v>
      </c>
      <c r="G6799" s="398" t="s">
        <v>4202</v>
      </c>
      <c r="J6799" s="635">
        <f t="shared" si="218"/>
        <v>0</v>
      </c>
      <c r="K6799" s="575"/>
      <c r="L6799" s="575"/>
      <c r="M6799" s="575"/>
    </row>
    <row r="6800" spans="6:13" ht="15.75" hidden="1" thickBot="1">
      <c r="F6800" s="402">
        <v>514</v>
      </c>
      <c r="G6800" s="393" t="s">
        <v>4203</v>
      </c>
      <c r="J6800" s="635">
        <f t="shared" si="218"/>
        <v>0</v>
      </c>
      <c r="K6800" s="575"/>
      <c r="L6800" s="575"/>
      <c r="M6800" s="575"/>
    </row>
    <row r="6801" spans="5:13" ht="15.75" hidden="1" thickBot="1">
      <c r="F6801" s="402">
        <v>515</v>
      </c>
      <c r="G6801" s="393" t="s">
        <v>3838</v>
      </c>
      <c r="J6801" s="635">
        <f t="shared" si="218"/>
        <v>0</v>
      </c>
      <c r="K6801" s="575"/>
      <c r="L6801" s="575"/>
      <c r="M6801" s="575"/>
    </row>
    <row r="6802" spans="5:13" ht="15.75" hidden="1" thickBot="1">
      <c r="F6802" s="402">
        <v>521</v>
      </c>
      <c r="G6802" s="393" t="s">
        <v>4204</v>
      </c>
      <c r="J6802" s="635">
        <f t="shared" si="218"/>
        <v>0</v>
      </c>
      <c r="K6802" s="575"/>
      <c r="L6802" s="575"/>
      <c r="M6802" s="575"/>
    </row>
    <row r="6803" spans="5:13" ht="15.75" hidden="1" thickBot="1">
      <c r="F6803" s="402">
        <v>522</v>
      </c>
      <c r="G6803" s="393" t="s">
        <v>4205</v>
      </c>
      <c r="J6803" s="635">
        <f t="shared" si="218"/>
        <v>0</v>
      </c>
      <c r="K6803" s="575"/>
      <c r="L6803" s="575"/>
      <c r="M6803" s="575"/>
    </row>
    <row r="6804" spans="5:13" ht="15.75" hidden="1" thickBot="1">
      <c r="F6804" s="402">
        <v>523</v>
      </c>
      <c r="G6804" s="393" t="s">
        <v>3843</v>
      </c>
      <c r="J6804" s="635">
        <f t="shared" si="218"/>
        <v>0</v>
      </c>
      <c r="K6804" s="575"/>
      <c r="L6804" s="575"/>
      <c r="M6804" s="575"/>
    </row>
    <row r="6805" spans="5:13" ht="15.75" hidden="1" thickBot="1">
      <c r="F6805" s="402">
        <v>531</v>
      </c>
      <c r="G6805" s="390" t="s">
        <v>4181</v>
      </c>
      <c r="J6805" s="635">
        <f t="shared" si="218"/>
        <v>0</v>
      </c>
      <c r="K6805" s="575"/>
      <c r="L6805" s="575"/>
      <c r="M6805" s="575"/>
    </row>
    <row r="6806" spans="5:13" ht="15.75" hidden="1" thickBot="1">
      <c r="F6806" s="402">
        <v>541</v>
      </c>
      <c r="G6806" s="393" t="s">
        <v>4206</v>
      </c>
      <c r="J6806" s="635">
        <f t="shared" si="218"/>
        <v>0</v>
      </c>
      <c r="K6806" s="575"/>
      <c r="L6806" s="575"/>
      <c r="M6806" s="575"/>
    </row>
    <row r="6807" spans="5:13" ht="15.75" hidden="1" thickBot="1">
      <c r="F6807" s="402">
        <v>542</v>
      </c>
      <c r="G6807" s="393" t="s">
        <v>4207</v>
      </c>
      <c r="J6807" s="635">
        <f t="shared" si="218"/>
        <v>0</v>
      </c>
      <c r="K6807" s="575"/>
      <c r="L6807" s="575"/>
      <c r="M6807" s="575"/>
    </row>
    <row r="6808" spans="5:13" ht="15.75" hidden="1" thickBot="1">
      <c r="F6808" s="402">
        <v>543</v>
      </c>
      <c r="G6808" s="393" t="s">
        <v>3848</v>
      </c>
      <c r="J6808" s="635">
        <f t="shared" si="218"/>
        <v>0</v>
      </c>
      <c r="K6808" s="575"/>
      <c r="L6808" s="575"/>
      <c r="M6808" s="575"/>
    </row>
    <row r="6809" spans="5:13" ht="30.75" hidden="1" thickBot="1">
      <c r="F6809" s="402">
        <v>551</v>
      </c>
      <c r="G6809" s="393" t="s">
        <v>4182</v>
      </c>
      <c r="J6809" s="635">
        <f t="shared" si="218"/>
        <v>0</v>
      </c>
      <c r="K6809" s="575"/>
      <c r="L6809" s="575"/>
      <c r="M6809" s="575"/>
    </row>
    <row r="6810" spans="5:13" ht="15.75" hidden="1" thickBot="1">
      <c r="F6810" s="403">
        <v>611</v>
      </c>
      <c r="G6810" s="401" t="s">
        <v>3854</v>
      </c>
      <c r="J6810" s="635">
        <f t="shared" si="218"/>
        <v>0</v>
      </c>
      <c r="K6810" s="575"/>
      <c r="L6810" s="575"/>
      <c r="M6810" s="575"/>
    </row>
    <row r="6811" spans="5:13" ht="14.25" customHeight="1" thickBot="1">
      <c r="E6811" s="263">
        <v>94</v>
      </c>
      <c r="F6811" s="403">
        <v>426</v>
      </c>
      <c r="G6811" s="568" t="s">
        <v>3791</v>
      </c>
      <c r="H6811" s="634">
        <v>100000</v>
      </c>
      <c r="J6811" s="635">
        <f t="shared" si="218"/>
        <v>100000</v>
      </c>
      <c r="K6811" s="575"/>
      <c r="L6811" s="575"/>
      <c r="M6811" s="575"/>
    </row>
    <row r="6812" spans="5:13">
      <c r="E6812" s="391"/>
      <c r="F6812" s="403"/>
      <c r="G6812" s="372" t="s">
        <v>4396</v>
      </c>
      <c r="H6812" s="636"/>
      <c r="I6812" s="662"/>
      <c r="J6812" s="637"/>
      <c r="K6812" s="575"/>
      <c r="L6812" s="575"/>
      <c r="M6812" s="575"/>
    </row>
    <row r="6813" spans="5:13" ht="15.75" thickBot="1">
      <c r="E6813" s="267"/>
      <c r="F6813" s="294" t="s">
        <v>234</v>
      </c>
      <c r="G6813" s="297" t="s">
        <v>235</v>
      </c>
      <c r="H6813" s="638">
        <f>SUM(H6752:H6811)</f>
        <v>950000</v>
      </c>
      <c r="I6813" s="639"/>
      <c r="J6813" s="639">
        <f t="shared" ref="J6813:J6828" si="219">SUM(H6813:I6813)</f>
        <v>950000</v>
      </c>
      <c r="K6813" s="575"/>
      <c r="L6813" s="575"/>
      <c r="M6813" s="575"/>
    </row>
    <row r="6814" spans="5:13" ht="15.75" hidden="1" thickBot="1">
      <c r="F6814" s="294" t="s">
        <v>236</v>
      </c>
      <c r="G6814" s="297" t="s">
        <v>237</v>
      </c>
      <c r="J6814" s="639">
        <f t="shared" si="219"/>
        <v>0</v>
      </c>
    </row>
    <row r="6815" spans="5:13" ht="15.75" hidden="1" thickBot="1">
      <c r="F6815" s="294" t="s">
        <v>238</v>
      </c>
      <c r="G6815" s="297" t="s">
        <v>239</v>
      </c>
      <c r="J6815" s="639">
        <f t="shared" si="219"/>
        <v>0</v>
      </c>
    </row>
    <row r="6816" spans="5:13" ht="15.75" hidden="1" thickBot="1">
      <c r="F6816" s="294" t="s">
        <v>240</v>
      </c>
      <c r="G6816" s="297" t="s">
        <v>241</v>
      </c>
      <c r="J6816" s="639">
        <f t="shared" si="219"/>
        <v>0</v>
      </c>
    </row>
    <row r="6817" spans="5:10" ht="15.75" hidden="1" thickBot="1">
      <c r="F6817" s="294" t="s">
        <v>242</v>
      </c>
      <c r="G6817" s="297" t="s">
        <v>243</v>
      </c>
      <c r="J6817" s="639">
        <f t="shared" si="219"/>
        <v>0</v>
      </c>
    </row>
    <row r="6818" spans="5:10" ht="15.75" hidden="1" thickBot="1">
      <c r="F6818" s="294" t="s">
        <v>244</v>
      </c>
      <c r="G6818" s="297" t="s">
        <v>245</v>
      </c>
      <c r="J6818" s="639">
        <f t="shared" si="219"/>
        <v>0</v>
      </c>
    </row>
    <row r="6819" spans="5:10" ht="15.75" hidden="1" thickBot="1">
      <c r="F6819" s="294" t="s">
        <v>246</v>
      </c>
      <c r="G6819" s="683" t="s">
        <v>5121</v>
      </c>
      <c r="J6819" s="639">
        <f t="shared" si="219"/>
        <v>0</v>
      </c>
    </row>
    <row r="6820" spans="5:10" ht="15.75" hidden="1" thickBot="1">
      <c r="F6820" s="294" t="s">
        <v>247</v>
      </c>
      <c r="G6820" s="683" t="s">
        <v>5120</v>
      </c>
      <c r="J6820" s="639">
        <f t="shared" si="219"/>
        <v>0</v>
      </c>
    </row>
    <row r="6821" spans="5:10" ht="15.75" hidden="1" thickBot="1">
      <c r="F6821" s="294" t="s">
        <v>248</v>
      </c>
      <c r="G6821" s="297" t="s">
        <v>57</v>
      </c>
      <c r="J6821" s="639">
        <f t="shared" si="219"/>
        <v>0</v>
      </c>
    </row>
    <row r="6822" spans="5:10" ht="15.75" hidden="1" thickBot="1">
      <c r="F6822" s="294" t="s">
        <v>249</v>
      </c>
      <c r="G6822" s="297" t="s">
        <v>250</v>
      </c>
      <c r="J6822" s="639">
        <f t="shared" si="219"/>
        <v>0</v>
      </c>
    </row>
    <row r="6823" spans="5:10" ht="15.75" hidden="1" thickBot="1">
      <c r="F6823" s="294" t="s">
        <v>251</v>
      </c>
      <c r="G6823" s="297" t="s">
        <v>252</v>
      </c>
      <c r="J6823" s="639">
        <f t="shared" si="219"/>
        <v>0</v>
      </c>
    </row>
    <row r="6824" spans="5:10" ht="15.75" hidden="1" thickBot="1">
      <c r="F6824" s="294" t="s">
        <v>253</v>
      </c>
      <c r="G6824" s="297" t="s">
        <v>254</v>
      </c>
      <c r="J6824" s="639">
        <f t="shared" si="219"/>
        <v>0</v>
      </c>
    </row>
    <row r="6825" spans="5:10" ht="15.75" hidden="1" thickBot="1">
      <c r="F6825" s="294" t="s">
        <v>255</v>
      </c>
      <c r="G6825" s="297" t="s">
        <v>256</v>
      </c>
      <c r="J6825" s="639">
        <f t="shared" si="219"/>
        <v>0</v>
      </c>
    </row>
    <row r="6826" spans="5:10" ht="15.75" hidden="1" thickBot="1">
      <c r="F6826" s="294" t="s">
        <v>257</v>
      </c>
      <c r="G6826" s="297" t="s">
        <v>258</v>
      </c>
      <c r="J6826" s="639">
        <f t="shared" si="219"/>
        <v>0</v>
      </c>
    </row>
    <row r="6827" spans="5:10" ht="15.75" hidden="1" thickBot="1">
      <c r="F6827" s="294" t="s">
        <v>259</v>
      </c>
      <c r="G6827" s="297" t="s">
        <v>260</v>
      </c>
      <c r="J6827" s="639">
        <f t="shared" si="219"/>
        <v>0</v>
      </c>
    </row>
    <row r="6828" spans="5:10" ht="15.75" hidden="1" thickBot="1">
      <c r="F6828" s="294" t="s">
        <v>261</v>
      </c>
      <c r="G6828" s="297" t="s">
        <v>262</v>
      </c>
      <c r="H6828" s="638"/>
      <c r="I6828" s="639"/>
      <c r="J6828" s="639">
        <f t="shared" si="219"/>
        <v>0</v>
      </c>
    </row>
    <row r="6829" spans="5:10" ht="15.75" thickBot="1">
      <c r="G6829" s="274" t="s">
        <v>4397</v>
      </c>
      <c r="H6829" s="640">
        <f>SUM(H6813:H6828)</f>
        <v>950000</v>
      </c>
      <c r="I6829" s="641">
        <f>SUM(I6814:I6828)</f>
        <v>0</v>
      </c>
      <c r="J6829" s="641">
        <f>SUM(J6813:J6828)</f>
        <v>950000</v>
      </c>
    </row>
    <row r="6830" spans="5:10" collapsed="1">
      <c r="E6830" s="391"/>
      <c r="F6830" s="403"/>
      <c r="G6830" s="276" t="s">
        <v>4301</v>
      </c>
      <c r="H6830" s="642"/>
      <c r="I6830" s="663"/>
      <c r="J6830" s="643"/>
    </row>
    <row r="6831" spans="5:10" ht="15.75" thickBot="1">
      <c r="E6831" s="267"/>
      <c r="F6831" s="294" t="s">
        <v>234</v>
      </c>
      <c r="G6831" s="297" t="s">
        <v>235</v>
      </c>
      <c r="H6831" s="638">
        <f>SUM(H6752:H6811)</f>
        <v>950000</v>
      </c>
      <c r="I6831" s="639"/>
      <c r="J6831" s="639">
        <f>SUM(H6831:I6831)</f>
        <v>950000</v>
      </c>
    </row>
    <row r="6832" spans="5:10" ht="15.75" hidden="1" thickBot="1">
      <c r="F6832" s="294" t="s">
        <v>236</v>
      </c>
      <c r="G6832" s="297" t="s">
        <v>237</v>
      </c>
      <c r="J6832" s="639">
        <f t="shared" ref="J6832:J6846" si="220">SUM(H6832:I6832)</f>
        <v>0</v>
      </c>
    </row>
    <row r="6833" spans="6:10" ht="15.75" hidden="1" thickBot="1">
      <c r="F6833" s="294" t="s">
        <v>238</v>
      </c>
      <c r="G6833" s="297" t="s">
        <v>239</v>
      </c>
      <c r="J6833" s="639">
        <f t="shared" si="220"/>
        <v>0</v>
      </c>
    </row>
    <row r="6834" spans="6:10" ht="15.75" hidden="1" thickBot="1">
      <c r="F6834" s="294" t="s">
        <v>240</v>
      </c>
      <c r="G6834" s="297" t="s">
        <v>241</v>
      </c>
      <c r="J6834" s="639">
        <f t="shared" si="220"/>
        <v>0</v>
      </c>
    </row>
    <row r="6835" spans="6:10" ht="15.75" hidden="1" thickBot="1">
      <c r="F6835" s="294" t="s">
        <v>242</v>
      </c>
      <c r="G6835" s="297" t="s">
        <v>243</v>
      </c>
      <c r="J6835" s="639">
        <f t="shared" si="220"/>
        <v>0</v>
      </c>
    </row>
    <row r="6836" spans="6:10" ht="15.75" hidden="1" thickBot="1">
      <c r="F6836" s="294" t="s">
        <v>244</v>
      </c>
      <c r="G6836" s="297" t="s">
        <v>245</v>
      </c>
      <c r="J6836" s="639">
        <f t="shared" si="220"/>
        <v>0</v>
      </c>
    </row>
    <row r="6837" spans="6:10" ht="15.75" hidden="1" thickBot="1">
      <c r="F6837" s="294" t="s">
        <v>246</v>
      </c>
      <c r="G6837" s="683" t="s">
        <v>5121</v>
      </c>
      <c r="J6837" s="639">
        <f t="shared" si="220"/>
        <v>0</v>
      </c>
    </row>
    <row r="6838" spans="6:10" ht="15.75" hidden="1" thickBot="1">
      <c r="F6838" s="294" t="s">
        <v>247</v>
      </c>
      <c r="G6838" s="683" t="s">
        <v>5120</v>
      </c>
      <c r="J6838" s="639">
        <f t="shared" si="220"/>
        <v>0</v>
      </c>
    </row>
    <row r="6839" spans="6:10" ht="15.75" hidden="1" thickBot="1">
      <c r="F6839" s="294" t="s">
        <v>248</v>
      </c>
      <c r="G6839" s="297" t="s">
        <v>57</v>
      </c>
      <c r="J6839" s="639">
        <f t="shared" si="220"/>
        <v>0</v>
      </c>
    </row>
    <row r="6840" spans="6:10" ht="15.75" hidden="1" thickBot="1">
      <c r="F6840" s="294" t="s">
        <v>249</v>
      </c>
      <c r="G6840" s="297" t="s">
        <v>250</v>
      </c>
      <c r="J6840" s="639">
        <f t="shared" si="220"/>
        <v>0</v>
      </c>
    </row>
    <row r="6841" spans="6:10" ht="15.75" hidden="1" thickBot="1">
      <c r="F6841" s="294" t="s">
        <v>251</v>
      </c>
      <c r="G6841" s="297" t="s">
        <v>252</v>
      </c>
      <c r="J6841" s="639">
        <f t="shared" si="220"/>
        <v>0</v>
      </c>
    </row>
    <row r="6842" spans="6:10" ht="15.75" hidden="1" thickBot="1">
      <c r="F6842" s="294" t="s">
        <v>253</v>
      </c>
      <c r="G6842" s="297" t="s">
        <v>254</v>
      </c>
      <c r="J6842" s="639">
        <f t="shared" si="220"/>
        <v>0</v>
      </c>
    </row>
    <row r="6843" spans="6:10" ht="15.75" hidden="1" thickBot="1">
      <c r="F6843" s="294" t="s">
        <v>255</v>
      </c>
      <c r="G6843" s="297" t="s">
        <v>256</v>
      </c>
      <c r="J6843" s="639">
        <f t="shared" si="220"/>
        <v>0</v>
      </c>
    </row>
    <row r="6844" spans="6:10" ht="15.75" hidden="1" thickBot="1">
      <c r="F6844" s="294" t="s">
        <v>257</v>
      </c>
      <c r="G6844" s="297" t="s">
        <v>258</v>
      </c>
      <c r="J6844" s="639">
        <f t="shared" si="220"/>
        <v>0</v>
      </c>
    </row>
    <row r="6845" spans="6:10" ht="15.75" hidden="1" thickBot="1">
      <c r="F6845" s="294" t="s">
        <v>259</v>
      </c>
      <c r="G6845" s="297" t="s">
        <v>260</v>
      </c>
      <c r="J6845" s="639">
        <f t="shared" si="220"/>
        <v>0</v>
      </c>
    </row>
    <row r="6846" spans="6:10" ht="15.75" hidden="1" thickBot="1">
      <c r="F6846" s="294" t="s">
        <v>261</v>
      </c>
      <c r="G6846" s="297" t="s">
        <v>262</v>
      </c>
      <c r="H6846" s="638"/>
      <c r="I6846" s="639"/>
      <c r="J6846" s="639">
        <f t="shared" si="220"/>
        <v>0</v>
      </c>
    </row>
    <row r="6847" spans="6:10" ht="15.75" collapsed="1" thickBot="1">
      <c r="G6847" s="274" t="s">
        <v>4398</v>
      </c>
      <c r="H6847" s="640">
        <f>SUM(H6831:H6846)</f>
        <v>950000</v>
      </c>
      <c r="I6847" s="641">
        <f>SUM(I6832:I6846)</f>
        <v>0</v>
      </c>
      <c r="J6847" s="641">
        <f>SUM(J6831:J6846)</f>
        <v>950000</v>
      </c>
    </row>
    <row r="6848" spans="6:10" ht="0.75" customHeight="1"/>
    <row r="6849" spans="3:10">
      <c r="C6849" s="273" t="s">
        <v>4583</v>
      </c>
      <c r="D6849" s="264"/>
      <c r="G6849" s="563" t="s">
        <v>5209</v>
      </c>
    </row>
    <row r="6850" spans="3:10" ht="12.75" customHeight="1">
      <c r="C6850" s="273"/>
      <c r="D6850" s="357">
        <v>473</v>
      </c>
      <c r="E6850" s="357"/>
      <c r="F6850" s="357"/>
      <c r="G6850" s="383" t="s">
        <v>162</v>
      </c>
    </row>
    <row r="6851" spans="3:10" hidden="1">
      <c r="F6851" s="345">
        <v>411</v>
      </c>
      <c r="G6851" s="340" t="s">
        <v>4173</v>
      </c>
      <c r="J6851" s="635">
        <f>SUM(H6851:I6851)</f>
        <v>0</v>
      </c>
    </row>
    <row r="6852" spans="3:10" hidden="1">
      <c r="F6852" s="345">
        <v>412</v>
      </c>
      <c r="G6852" s="337" t="s">
        <v>3770</v>
      </c>
      <c r="J6852" s="635">
        <f t="shared" ref="J6852:J6910" si="221">SUM(H6852:I6852)</f>
        <v>0</v>
      </c>
    </row>
    <row r="6853" spans="3:10" hidden="1">
      <c r="F6853" s="345">
        <v>413</v>
      </c>
      <c r="G6853" s="340" t="s">
        <v>4174</v>
      </c>
      <c r="J6853" s="635">
        <f t="shared" si="221"/>
        <v>0</v>
      </c>
    </row>
    <row r="6854" spans="3:10" hidden="1">
      <c r="F6854" s="345">
        <v>414</v>
      </c>
      <c r="G6854" s="340" t="s">
        <v>3773</v>
      </c>
      <c r="J6854" s="635">
        <f t="shared" si="221"/>
        <v>0</v>
      </c>
    </row>
    <row r="6855" spans="3:10" hidden="1">
      <c r="F6855" s="345">
        <v>415</v>
      </c>
      <c r="G6855" s="340" t="s">
        <v>4183</v>
      </c>
      <c r="J6855" s="635">
        <f t="shared" si="221"/>
        <v>0</v>
      </c>
    </row>
    <row r="6856" spans="3:10" hidden="1">
      <c r="F6856" s="345">
        <v>416</v>
      </c>
      <c r="G6856" s="340" t="s">
        <v>4184</v>
      </c>
      <c r="J6856" s="635">
        <f t="shared" si="221"/>
        <v>0</v>
      </c>
    </row>
    <row r="6857" spans="3:10" hidden="1">
      <c r="F6857" s="345">
        <v>417</v>
      </c>
      <c r="G6857" s="340" t="s">
        <v>4185</v>
      </c>
      <c r="J6857" s="635">
        <f t="shared" si="221"/>
        <v>0</v>
      </c>
    </row>
    <row r="6858" spans="3:10" hidden="1">
      <c r="F6858" s="345">
        <v>418</v>
      </c>
      <c r="G6858" s="340" t="s">
        <v>3779</v>
      </c>
      <c r="J6858" s="635">
        <f t="shared" si="221"/>
        <v>0</v>
      </c>
    </row>
    <row r="6859" spans="3:10" ht="15.75" customHeight="1">
      <c r="E6859" s="263">
        <v>95</v>
      </c>
      <c r="F6859" s="345">
        <v>421</v>
      </c>
      <c r="G6859" s="340" t="s">
        <v>3783</v>
      </c>
      <c r="H6859" s="634">
        <v>25000</v>
      </c>
      <c r="J6859" s="635">
        <f t="shared" si="221"/>
        <v>25000</v>
      </c>
    </row>
    <row r="6860" spans="3:10" ht="16.5" hidden="1" customHeight="1">
      <c r="F6860" s="345">
        <v>422</v>
      </c>
      <c r="G6860" s="340" t="s">
        <v>3784</v>
      </c>
      <c r="J6860" s="635">
        <f>SUM(H6860:I6860)</f>
        <v>0</v>
      </c>
    </row>
    <row r="6861" spans="3:10" ht="12" customHeight="1">
      <c r="E6861" s="263">
        <v>96</v>
      </c>
      <c r="F6861" s="345">
        <v>423</v>
      </c>
      <c r="G6861" s="340" t="s">
        <v>3785</v>
      </c>
      <c r="H6861" s="634">
        <v>5900000</v>
      </c>
      <c r="J6861" s="635">
        <f t="shared" si="221"/>
        <v>5900000</v>
      </c>
    </row>
    <row r="6862" spans="3:10" hidden="1">
      <c r="F6862" s="345">
        <v>424</v>
      </c>
      <c r="G6862" s="340" t="s">
        <v>3787</v>
      </c>
      <c r="J6862" s="635">
        <f t="shared" si="221"/>
        <v>0</v>
      </c>
    </row>
    <row r="6863" spans="3:10" hidden="1">
      <c r="F6863" s="345">
        <v>425</v>
      </c>
      <c r="G6863" s="340" t="s">
        <v>4186</v>
      </c>
      <c r="J6863" s="635">
        <f t="shared" si="221"/>
        <v>0</v>
      </c>
    </row>
    <row r="6864" spans="3:10" ht="13.5" customHeight="1" thickBot="1">
      <c r="E6864" s="263">
        <v>97</v>
      </c>
      <c r="F6864" s="345">
        <v>426</v>
      </c>
      <c r="G6864" s="340" t="s">
        <v>3791</v>
      </c>
      <c r="H6864" s="634">
        <v>400000</v>
      </c>
      <c r="J6864" s="635">
        <f t="shared" si="221"/>
        <v>400000</v>
      </c>
    </row>
    <row r="6865" spans="6:10" ht="15.75" hidden="1" thickBot="1">
      <c r="F6865" s="345">
        <v>431</v>
      </c>
      <c r="G6865" s="340" t="s">
        <v>4187</v>
      </c>
      <c r="J6865" s="635">
        <f t="shared" si="221"/>
        <v>0</v>
      </c>
    </row>
    <row r="6866" spans="6:10" ht="15.75" hidden="1" thickBot="1">
      <c r="F6866" s="345">
        <v>432</v>
      </c>
      <c r="G6866" s="340" t="s">
        <v>4188</v>
      </c>
      <c r="J6866" s="635">
        <f t="shared" si="221"/>
        <v>0</v>
      </c>
    </row>
    <row r="6867" spans="6:10" ht="15.75" hidden="1" thickBot="1">
      <c r="F6867" s="345">
        <v>433</v>
      </c>
      <c r="G6867" s="340" t="s">
        <v>4189</v>
      </c>
      <c r="J6867" s="635">
        <f t="shared" si="221"/>
        <v>0</v>
      </c>
    </row>
    <row r="6868" spans="6:10" ht="15.75" hidden="1" thickBot="1">
      <c r="F6868" s="345">
        <v>434</v>
      </c>
      <c r="G6868" s="340" t="s">
        <v>4190</v>
      </c>
      <c r="J6868" s="635">
        <f t="shared" si="221"/>
        <v>0</v>
      </c>
    </row>
    <row r="6869" spans="6:10" ht="15.75" hidden="1" thickBot="1">
      <c r="F6869" s="345">
        <v>435</v>
      </c>
      <c r="G6869" s="340" t="s">
        <v>3798</v>
      </c>
      <c r="J6869" s="635">
        <f t="shared" si="221"/>
        <v>0</v>
      </c>
    </row>
    <row r="6870" spans="6:10" ht="15.75" hidden="1" thickBot="1">
      <c r="F6870" s="345">
        <v>441</v>
      </c>
      <c r="G6870" s="340" t="s">
        <v>4191</v>
      </c>
      <c r="J6870" s="635">
        <f t="shared" si="221"/>
        <v>0</v>
      </c>
    </row>
    <row r="6871" spans="6:10" ht="15.75" hidden="1" thickBot="1">
      <c r="F6871" s="345">
        <v>442</v>
      </c>
      <c r="G6871" s="340" t="s">
        <v>4192</v>
      </c>
      <c r="J6871" s="635">
        <f t="shared" si="221"/>
        <v>0</v>
      </c>
    </row>
    <row r="6872" spans="6:10" ht="15.75" hidden="1" thickBot="1">
      <c r="F6872" s="345">
        <v>443</v>
      </c>
      <c r="G6872" s="340" t="s">
        <v>3803</v>
      </c>
      <c r="J6872" s="635">
        <f t="shared" si="221"/>
        <v>0</v>
      </c>
    </row>
    <row r="6873" spans="6:10" ht="15.75" hidden="1" thickBot="1">
      <c r="F6873" s="345">
        <v>444</v>
      </c>
      <c r="G6873" s="340" t="s">
        <v>3804</v>
      </c>
      <c r="J6873" s="635">
        <f t="shared" si="221"/>
        <v>0</v>
      </c>
    </row>
    <row r="6874" spans="6:10" ht="30.75" hidden="1" thickBot="1">
      <c r="F6874" s="345">
        <v>4511</v>
      </c>
      <c r="G6874" s="268" t="s">
        <v>1690</v>
      </c>
      <c r="J6874" s="635">
        <f t="shared" si="221"/>
        <v>0</v>
      </c>
    </row>
    <row r="6875" spans="6:10" ht="30.75" hidden="1" thickBot="1">
      <c r="F6875" s="345">
        <v>4512</v>
      </c>
      <c r="G6875" s="268" t="s">
        <v>1699</v>
      </c>
      <c r="J6875" s="635">
        <f t="shared" si="221"/>
        <v>0</v>
      </c>
    </row>
    <row r="6876" spans="6:10" ht="15.75" hidden="1" thickBot="1">
      <c r="F6876" s="345">
        <v>452</v>
      </c>
      <c r="G6876" s="340" t="s">
        <v>4193</v>
      </c>
      <c r="J6876" s="635">
        <f t="shared" si="221"/>
        <v>0</v>
      </c>
    </row>
    <row r="6877" spans="6:10" ht="15.75" hidden="1" thickBot="1">
      <c r="F6877" s="345">
        <v>453</v>
      </c>
      <c r="G6877" s="340" t="s">
        <v>4194</v>
      </c>
      <c r="J6877" s="635">
        <f t="shared" si="221"/>
        <v>0</v>
      </c>
    </row>
    <row r="6878" spans="6:10" ht="15.75" hidden="1" thickBot="1">
      <c r="F6878" s="345">
        <v>454</v>
      </c>
      <c r="G6878" s="340" t="s">
        <v>3809</v>
      </c>
      <c r="J6878" s="635">
        <f t="shared" si="221"/>
        <v>0</v>
      </c>
    </row>
    <row r="6879" spans="6:10" ht="15.75" hidden="1" thickBot="1">
      <c r="F6879" s="345">
        <v>461</v>
      </c>
      <c r="G6879" s="340" t="s">
        <v>4175</v>
      </c>
      <c r="J6879" s="635">
        <f t="shared" si="221"/>
        <v>0</v>
      </c>
    </row>
    <row r="6880" spans="6:10" ht="15.75" hidden="1" thickBot="1">
      <c r="F6880" s="345">
        <v>462</v>
      </c>
      <c r="G6880" s="340" t="s">
        <v>3812</v>
      </c>
      <c r="J6880" s="635">
        <f t="shared" si="221"/>
        <v>0</v>
      </c>
    </row>
    <row r="6881" spans="6:10" ht="15.75" hidden="1" thickBot="1">
      <c r="F6881" s="345">
        <v>4631</v>
      </c>
      <c r="G6881" s="340" t="s">
        <v>3813</v>
      </c>
      <c r="J6881" s="635">
        <f t="shared" si="221"/>
        <v>0</v>
      </c>
    </row>
    <row r="6882" spans="6:10" ht="15.75" hidden="1" thickBot="1">
      <c r="F6882" s="345">
        <v>4632</v>
      </c>
      <c r="G6882" s="340" t="s">
        <v>3814</v>
      </c>
      <c r="J6882" s="635">
        <f t="shared" si="221"/>
        <v>0</v>
      </c>
    </row>
    <row r="6883" spans="6:10" ht="15.75" hidden="1" thickBot="1">
      <c r="F6883" s="345">
        <v>464</v>
      </c>
      <c r="G6883" s="340" t="s">
        <v>3815</v>
      </c>
      <c r="J6883" s="635">
        <f t="shared" si="221"/>
        <v>0</v>
      </c>
    </row>
    <row r="6884" spans="6:10" ht="15.75" hidden="1" thickBot="1">
      <c r="F6884" s="345">
        <v>465</v>
      </c>
      <c r="G6884" s="340" t="s">
        <v>4176</v>
      </c>
      <c r="J6884" s="635">
        <f t="shared" si="221"/>
        <v>0</v>
      </c>
    </row>
    <row r="6885" spans="6:10" ht="15.75" hidden="1" thickBot="1">
      <c r="F6885" s="345">
        <v>472</v>
      </c>
      <c r="G6885" s="340" t="s">
        <v>3819</v>
      </c>
      <c r="J6885" s="635">
        <f t="shared" si="221"/>
        <v>0</v>
      </c>
    </row>
    <row r="6886" spans="6:10" ht="15.75" hidden="1" thickBot="1">
      <c r="F6886" s="345">
        <v>481</v>
      </c>
      <c r="G6886" s="340" t="s">
        <v>4195</v>
      </c>
      <c r="J6886" s="635">
        <f t="shared" si="221"/>
        <v>0</v>
      </c>
    </row>
    <row r="6887" spans="6:10" ht="15.75" hidden="1" thickBot="1">
      <c r="F6887" s="345">
        <v>482</v>
      </c>
      <c r="G6887" s="340" t="s">
        <v>4196</v>
      </c>
      <c r="J6887" s="635">
        <f t="shared" si="221"/>
        <v>0</v>
      </c>
    </row>
    <row r="6888" spans="6:10" ht="15.75" hidden="1" thickBot="1">
      <c r="F6888" s="345">
        <v>483</v>
      </c>
      <c r="G6888" s="343" t="s">
        <v>4197</v>
      </c>
      <c r="J6888" s="635">
        <f t="shared" si="221"/>
        <v>0</v>
      </c>
    </row>
    <row r="6889" spans="6:10" ht="30.75" hidden="1" thickBot="1">
      <c r="F6889" s="345">
        <v>484</v>
      </c>
      <c r="G6889" s="340" t="s">
        <v>4198</v>
      </c>
      <c r="J6889" s="635">
        <f t="shared" si="221"/>
        <v>0</v>
      </c>
    </row>
    <row r="6890" spans="6:10" ht="30.75" hidden="1" thickBot="1">
      <c r="F6890" s="345">
        <v>485</v>
      </c>
      <c r="G6890" s="340" t="s">
        <v>4199</v>
      </c>
      <c r="J6890" s="635">
        <f t="shared" si="221"/>
        <v>0</v>
      </c>
    </row>
    <row r="6891" spans="6:10" ht="30.75" hidden="1" thickBot="1">
      <c r="F6891" s="345">
        <v>489</v>
      </c>
      <c r="G6891" s="340" t="s">
        <v>3827</v>
      </c>
      <c r="J6891" s="635">
        <f t="shared" si="221"/>
        <v>0</v>
      </c>
    </row>
    <row r="6892" spans="6:10" ht="15.75" hidden="1" thickBot="1">
      <c r="F6892" s="345">
        <v>494</v>
      </c>
      <c r="G6892" s="340" t="s">
        <v>4177</v>
      </c>
      <c r="J6892" s="635">
        <f t="shared" si="221"/>
        <v>0</v>
      </c>
    </row>
    <row r="6893" spans="6:10" ht="30.75" hidden="1" thickBot="1">
      <c r="F6893" s="345">
        <v>495</v>
      </c>
      <c r="G6893" s="340" t="s">
        <v>4178</v>
      </c>
      <c r="J6893" s="635">
        <f t="shared" si="221"/>
        <v>0</v>
      </c>
    </row>
    <row r="6894" spans="6:10" ht="30.75" hidden="1" thickBot="1">
      <c r="F6894" s="345">
        <v>496</v>
      </c>
      <c r="G6894" s="340" t="s">
        <v>4179</v>
      </c>
      <c r="J6894" s="635">
        <f t="shared" si="221"/>
        <v>0</v>
      </c>
    </row>
    <row r="6895" spans="6:10" ht="15.75" hidden="1" thickBot="1">
      <c r="F6895" s="345">
        <v>499</v>
      </c>
      <c r="G6895" s="340" t="s">
        <v>4180</v>
      </c>
      <c r="J6895" s="635">
        <f t="shared" si="221"/>
        <v>0</v>
      </c>
    </row>
    <row r="6896" spans="6:10" ht="15.75" hidden="1" thickBot="1">
      <c r="F6896" s="345">
        <v>511</v>
      </c>
      <c r="G6896" s="343" t="s">
        <v>4200</v>
      </c>
      <c r="J6896" s="635">
        <f t="shared" si="221"/>
        <v>0</v>
      </c>
    </row>
    <row r="6897" spans="5:10" ht="15.75" hidden="1" thickBot="1">
      <c r="F6897" s="345">
        <v>512</v>
      </c>
      <c r="G6897" s="343" t="s">
        <v>4201</v>
      </c>
      <c r="J6897" s="635">
        <f t="shared" si="221"/>
        <v>0</v>
      </c>
    </row>
    <row r="6898" spans="5:10" ht="15.75" hidden="1" thickBot="1">
      <c r="F6898" s="345">
        <v>513</v>
      </c>
      <c r="G6898" s="343" t="s">
        <v>4202</v>
      </c>
      <c r="J6898" s="635">
        <f t="shared" si="221"/>
        <v>0</v>
      </c>
    </row>
    <row r="6899" spans="5:10" ht="15.75" hidden="1" thickBot="1">
      <c r="F6899" s="345">
        <v>514</v>
      </c>
      <c r="G6899" s="340" t="s">
        <v>4203</v>
      </c>
      <c r="J6899" s="635">
        <f t="shared" si="221"/>
        <v>0</v>
      </c>
    </row>
    <row r="6900" spans="5:10" ht="15.75" hidden="1" thickBot="1">
      <c r="F6900" s="345">
        <v>515</v>
      </c>
      <c r="G6900" s="340" t="s">
        <v>3838</v>
      </c>
      <c r="J6900" s="635">
        <f t="shared" si="221"/>
        <v>0</v>
      </c>
    </row>
    <row r="6901" spans="5:10" ht="15.75" hidden="1" thickBot="1">
      <c r="F6901" s="345">
        <v>521</v>
      </c>
      <c r="G6901" s="340" t="s">
        <v>4204</v>
      </c>
      <c r="J6901" s="635">
        <f t="shared" si="221"/>
        <v>0</v>
      </c>
    </row>
    <row r="6902" spans="5:10" ht="15.75" hidden="1" thickBot="1">
      <c r="F6902" s="345">
        <v>522</v>
      </c>
      <c r="G6902" s="340" t="s">
        <v>4205</v>
      </c>
      <c r="J6902" s="635">
        <f t="shared" si="221"/>
        <v>0</v>
      </c>
    </row>
    <row r="6903" spans="5:10" ht="15.75" hidden="1" thickBot="1">
      <c r="F6903" s="345">
        <v>523</v>
      </c>
      <c r="G6903" s="340" t="s">
        <v>3843</v>
      </c>
      <c r="J6903" s="635">
        <f t="shared" si="221"/>
        <v>0</v>
      </c>
    </row>
    <row r="6904" spans="5:10" ht="15.75" hidden="1" thickBot="1">
      <c r="F6904" s="345">
        <v>531</v>
      </c>
      <c r="G6904" s="337" t="s">
        <v>4181</v>
      </c>
      <c r="J6904" s="635">
        <f t="shared" si="221"/>
        <v>0</v>
      </c>
    </row>
    <row r="6905" spans="5:10" ht="15.75" hidden="1" thickBot="1">
      <c r="F6905" s="345">
        <v>541</v>
      </c>
      <c r="G6905" s="340" t="s">
        <v>4206</v>
      </c>
      <c r="J6905" s="635">
        <f t="shared" si="221"/>
        <v>0</v>
      </c>
    </row>
    <row r="6906" spans="5:10" ht="15.75" hidden="1" thickBot="1">
      <c r="F6906" s="345">
        <v>542</v>
      </c>
      <c r="G6906" s="340" t="s">
        <v>4207</v>
      </c>
      <c r="J6906" s="635">
        <f t="shared" si="221"/>
        <v>0</v>
      </c>
    </row>
    <row r="6907" spans="5:10" ht="15.75" hidden="1" thickBot="1">
      <c r="F6907" s="345">
        <v>543</v>
      </c>
      <c r="G6907" s="340" t="s">
        <v>3848</v>
      </c>
      <c r="J6907" s="635">
        <f t="shared" si="221"/>
        <v>0</v>
      </c>
    </row>
    <row r="6908" spans="5:10" ht="30.75" hidden="1" thickBot="1">
      <c r="F6908" s="345">
        <v>551</v>
      </c>
      <c r="G6908" s="340" t="s">
        <v>4182</v>
      </c>
      <c r="J6908" s="635">
        <f t="shared" si="221"/>
        <v>0</v>
      </c>
    </row>
    <row r="6909" spans="5:10" ht="15.75" hidden="1" thickBot="1">
      <c r="F6909" s="346">
        <v>611</v>
      </c>
      <c r="G6909" s="344" t="s">
        <v>3854</v>
      </c>
      <c r="J6909" s="635">
        <f t="shared" si="221"/>
        <v>0</v>
      </c>
    </row>
    <row r="6910" spans="5:10" ht="15.75" hidden="1" thickBot="1">
      <c r="F6910" s="346">
        <v>620</v>
      </c>
      <c r="G6910" s="344" t="s">
        <v>88</v>
      </c>
      <c r="J6910" s="635">
        <f t="shared" si="221"/>
        <v>0</v>
      </c>
    </row>
    <row r="6911" spans="5:10">
      <c r="E6911" s="338"/>
      <c r="F6911" s="346"/>
      <c r="G6911" s="372" t="s">
        <v>4396</v>
      </c>
      <c r="H6911" s="636"/>
      <c r="I6911" s="662"/>
      <c r="J6911" s="637"/>
    </row>
    <row r="6912" spans="5:10" ht="15.75" thickBot="1">
      <c r="E6912" s="267"/>
      <c r="F6912" s="294" t="s">
        <v>234</v>
      </c>
      <c r="G6912" s="297" t="s">
        <v>235</v>
      </c>
      <c r="H6912" s="638">
        <f>SUM(H6851:H6910)</f>
        <v>6325000</v>
      </c>
      <c r="I6912" s="639"/>
      <c r="J6912" s="639">
        <f t="shared" ref="J6912:J6927" si="222">SUM(H6912:I6912)</f>
        <v>6325000</v>
      </c>
    </row>
    <row r="6913" spans="6:10" ht="15.75" hidden="1" thickBot="1">
      <c r="F6913" s="294" t="s">
        <v>236</v>
      </c>
      <c r="G6913" s="297" t="s">
        <v>237</v>
      </c>
      <c r="J6913" s="639">
        <f t="shared" si="222"/>
        <v>0</v>
      </c>
    </row>
    <row r="6914" spans="6:10" ht="15.75" hidden="1" thickBot="1">
      <c r="F6914" s="294" t="s">
        <v>238</v>
      </c>
      <c r="G6914" s="297" t="s">
        <v>239</v>
      </c>
      <c r="J6914" s="639">
        <f t="shared" si="222"/>
        <v>0</v>
      </c>
    </row>
    <row r="6915" spans="6:10" ht="15.75" hidden="1" thickBot="1">
      <c r="F6915" s="294" t="s">
        <v>240</v>
      </c>
      <c r="G6915" s="297" t="s">
        <v>241</v>
      </c>
      <c r="J6915" s="639">
        <f t="shared" si="222"/>
        <v>0</v>
      </c>
    </row>
    <row r="6916" spans="6:10" ht="15.75" hidden="1" thickBot="1">
      <c r="F6916" s="294" t="s">
        <v>242</v>
      </c>
      <c r="G6916" s="297" t="s">
        <v>243</v>
      </c>
      <c r="J6916" s="639">
        <f t="shared" si="222"/>
        <v>0</v>
      </c>
    </row>
    <row r="6917" spans="6:10" ht="15.75" hidden="1" thickBot="1">
      <c r="F6917" s="294" t="s">
        <v>244</v>
      </c>
      <c r="G6917" s="297" t="s">
        <v>245</v>
      </c>
      <c r="J6917" s="639">
        <f t="shared" si="222"/>
        <v>0</v>
      </c>
    </row>
    <row r="6918" spans="6:10" ht="15.75" hidden="1" thickBot="1">
      <c r="F6918" s="294" t="s">
        <v>246</v>
      </c>
      <c r="G6918" s="683" t="s">
        <v>5121</v>
      </c>
      <c r="J6918" s="639">
        <f t="shared" si="222"/>
        <v>0</v>
      </c>
    </row>
    <row r="6919" spans="6:10" ht="15.75" hidden="1" thickBot="1">
      <c r="F6919" s="294" t="s">
        <v>247</v>
      </c>
      <c r="G6919" s="683" t="s">
        <v>5120</v>
      </c>
      <c r="J6919" s="639">
        <f t="shared" si="222"/>
        <v>0</v>
      </c>
    </row>
    <row r="6920" spans="6:10" ht="15.75" hidden="1" thickBot="1">
      <c r="F6920" s="294" t="s">
        <v>248</v>
      </c>
      <c r="G6920" s="297" t="s">
        <v>57</v>
      </c>
      <c r="J6920" s="639">
        <f t="shared" si="222"/>
        <v>0</v>
      </c>
    </row>
    <row r="6921" spans="6:10" ht="15.75" hidden="1" thickBot="1">
      <c r="F6921" s="294" t="s">
        <v>249</v>
      </c>
      <c r="G6921" s="297" t="s">
        <v>250</v>
      </c>
      <c r="J6921" s="639">
        <f t="shared" si="222"/>
        <v>0</v>
      </c>
    </row>
    <row r="6922" spans="6:10" ht="15.75" hidden="1" thickBot="1">
      <c r="F6922" s="294" t="s">
        <v>251</v>
      </c>
      <c r="G6922" s="297" t="s">
        <v>252</v>
      </c>
      <c r="J6922" s="639">
        <f t="shared" si="222"/>
        <v>0</v>
      </c>
    </row>
    <row r="6923" spans="6:10" ht="15.75" hidden="1" thickBot="1">
      <c r="F6923" s="294" t="s">
        <v>253</v>
      </c>
      <c r="G6923" s="297" t="s">
        <v>254</v>
      </c>
      <c r="J6923" s="639">
        <f t="shared" si="222"/>
        <v>0</v>
      </c>
    </row>
    <row r="6924" spans="6:10" ht="15.75" hidden="1" thickBot="1">
      <c r="F6924" s="294" t="s">
        <v>255</v>
      </c>
      <c r="G6924" s="297" t="s">
        <v>256</v>
      </c>
      <c r="J6924" s="639">
        <f t="shared" si="222"/>
        <v>0</v>
      </c>
    </row>
    <row r="6925" spans="6:10" ht="15.75" hidden="1" thickBot="1">
      <c r="F6925" s="294" t="s">
        <v>257</v>
      </c>
      <c r="G6925" s="297" t="s">
        <v>258</v>
      </c>
      <c r="J6925" s="639">
        <f t="shared" si="222"/>
        <v>0</v>
      </c>
    </row>
    <row r="6926" spans="6:10" ht="15.75" hidden="1" thickBot="1">
      <c r="F6926" s="294" t="s">
        <v>259</v>
      </c>
      <c r="G6926" s="297" t="s">
        <v>260</v>
      </c>
      <c r="J6926" s="639">
        <f t="shared" si="222"/>
        <v>0</v>
      </c>
    </row>
    <row r="6927" spans="6:10" ht="15.75" hidden="1" thickBot="1">
      <c r="F6927" s="294" t="s">
        <v>261</v>
      </c>
      <c r="G6927" s="297" t="s">
        <v>262</v>
      </c>
      <c r="H6927" s="638"/>
      <c r="I6927" s="639"/>
      <c r="J6927" s="639">
        <f t="shared" si="222"/>
        <v>0</v>
      </c>
    </row>
    <row r="6928" spans="6:10" ht="12.75" customHeight="1" thickBot="1">
      <c r="G6928" s="274" t="s">
        <v>4397</v>
      </c>
      <c r="H6928" s="640">
        <f>SUM(H6912:H6927)</f>
        <v>6325000</v>
      </c>
      <c r="I6928" s="641">
        <f>SUM(I6913:I6927)</f>
        <v>0</v>
      </c>
      <c r="J6928" s="641">
        <f>SUM(J6912:J6927)</f>
        <v>6325000</v>
      </c>
    </row>
    <row r="6929" spans="5:10">
      <c r="E6929" s="338"/>
      <c r="F6929" s="346"/>
      <c r="G6929" s="276" t="s">
        <v>5054</v>
      </c>
      <c r="H6929" s="642"/>
      <c r="I6929" s="663"/>
      <c r="J6929" s="643"/>
    </row>
    <row r="6930" spans="5:10" ht="15.75" thickBot="1">
      <c r="E6930" s="267"/>
      <c r="F6930" s="294" t="s">
        <v>234</v>
      </c>
      <c r="G6930" s="297" t="s">
        <v>235</v>
      </c>
      <c r="H6930" s="638">
        <f>SUM(H6851:H6910)</f>
        <v>6325000</v>
      </c>
      <c r="I6930" s="639"/>
      <c r="J6930" s="639">
        <f>SUM(H6930:I6930)</f>
        <v>6325000</v>
      </c>
    </row>
    <row r="6931" spans="5:10" ht="15.75" hidden="1" thickBot="1">
      <c r="F6931" s="294" t="s">
        <v>236</v>
      </c>
      <c r="G6931" s="297" t="s">
        <v>237</v>
      </c>
      <c r="J6931" s="639">
        <f t="shared" ref="J6931:J6945" si="223">SUM(H6931:I6931)</f>
        <v>0</v>
      </c>
    </row>
    <row r="6932" spans="5:10" ht="15.75" hidden="1" thickBot="1">
      <c r="F6932" s="294" t="s">
        <v>238</v>
      </c>
      <c r="G6932" s="297" t="s">
        <v>239</v>
      </c>
      <c r="J6932" s="639">
        <f t="shared" si="223"/>
        <v>0</v>
      </c>
    </row>
    <row r="6933" spans="5:10" ht="15.75" hidden="1" thickBot="1">
      <c r="F6933" s="294" t="s">
        <v>240</v>
      </c>
      <c r="G6933" s="297" t="s">
        <v>241</v>
      </c>
      <c r="J6933" s="639">
        <f t="shared" si="223"/>
        <v>0</v>
      </c>
    </row>
    <row r="6934" spans="5:10" ht="15.75" hidden="1" thickBot="1">
      <c r="F6934" s="294" t="s">
        <v>242</v>
      </c>
      <c r="G6934" s="297" t="s">
        <v>243</v>
      </c>
      <c r="J6934" s="639">
        <f t="shared" si="223"/>
        <v>0</v>
      </c>
    </row>
    <row r="6935" spans="5:10" ht="15.75" hidden="1" thickBot="1">
      <c r="F6935" s="294" t="s">
        <v>244</v>
      </c>
      <c r="G6935" s="297" t="s">
        <v>245</v>
      </c>
      <c r="J6935" s="639">
        <f t="shared" si="223"/>
        <v>0</v>
      </c>
    </row>
    <row r="6936" spans="5:10" ht="15.75" hidden="1" thickBot="1">
      <c r="F6936" s="294" t="s">
        <v>246</v>
      </c>
      <c r="G6936" s="683" t="s">
        <v>5121</v>
      </c>
      <c r="J6936" s="639">
        <f t="shared" si="223"/>
        <v>0</v>
      </c>
    </row>
    <row r="6937" spans="5:10" ht="15.75" hidden="1" thickBot="1">
      <c r="F6937" s="294" t="s">
        <v>247</v>
      </c>
      <c r="G6937" s="683" t="s">
        <v>5120</v>
      </c>
      <c r="J6937" s="639">
        <f t="shared" si="223"/>
        <v>0</v>
      </c>
    </row>
    <row r="6938" spans="5:10" ht="15.75" hidden="1" thickBot="1">
      <c r="F6938" s="294" t="s">
        <v>248</v>
      </c>
      <c r="G6938" s="297" t="s">
        <v>57</v>
      </c>
      <c r="J6938" s="639">
        <f t="shared" si="223"/>
        <v>0</v>
      </c>
    </row>
    <row r="6939" spans="5:10" ht="15.75" hidden="1" thickBot="1">
      <c r="F6939" s="294" t="s">
        <v>249</v>
      </c>
      <c r="G6939" s="297" t="s">
        <v>250</v>
      </c>
      <c r="J6939" s="639">
        <f t="shared" si="223"/>
        <v>0</v>
      </c>
    </row>
    <row r="6940" spans="5:10" ht="15.75" hidden="1" thickBot="1">
      <c r="F6940" s="294" t="s">
        <v>251</v>
      </c>
      <c r="G6940" s="297" t="s">
        <v>252</v>
      </c>
      <c r="J6940" s="639">
        <f t="shared" si="223"/>
        <v>0</v>
      </c>
    </row>
    <row r="6941" spans="5:10" ht="15.75" hidden="1" thickBot="1">
      <c r="F6941" s="294" t="s">
        <v>253</v>
      </c>
      <c r="G6941" s="297" t="s">
        <v>254</v>
      </c>
      <c r="J6941" s="639">
        <f t="shared" si="223"/>
        <v>0</v>
      </c>
    </row>
    <row r="6942" spans="5:10" ht="15.75" hidden="1" thickBot="1">
      <c r="F6942" s="294" t="s">
        <v>255</v>
      </c>
      <c r="G6942" s="297" t="s">
        <v>256</v>
      </c>
      <c r="J6942" s="639">
        <f t="shared" si="223"/>
        <v>0</v>
      </c>
    </row>
    <row r="6943" spans="5:10" ht="15.75" hidden="1" thickBot="1">
      <c r="F6943" s="294" t="s">
        <v>257</v>
      </c>
      <c r="G6943" s="297" t="s">
        <v>258</v>
      </c>
      <c r="J6943" s="639">
        <f t="shared" si="223"/>
        <v>0</v>
      </c>
    </row>
    <row r="6944" spans="5:10" ht="15.75" hidden="1" thickBot="1">
      <c r="F6944" s="294" t="s">
        <v>259</v>
      </c>
      <c r="G6944" s="297" t="s">
        <v>260</v>
      </c>
      <c r="J6944" s="639">
        <f t="shared" si="223"/>
        <v>0</v>
      </c>
    </row>
    <row r="6945" spans="3:10" ht="15.75" hidden="1" thickBot="1">
      <c r="F6945" s="294" t="s">
        <v>261</v>
      </c>
      <c r="G6945" s="297" t="s">
        <v>262</v>
      </c>
      <c r="H6945" s="638"/>
      <c r="I6945" s="639"/>
      <c r="J6945" s="639">
        <f t="shared" si="223"/>
        <v>0</v>
      </c>
    </row>
    <row r="6946" spans="3:10" ht="15" customHeight="1" thickBot="1">
      <c r="G6946" s="274" t="s">
        <v>5014</v>
      </c>
      <c r="H6946" s="640">
        <f>SUM(H6930:H6945)</f>
        <v>6325000</v>
      </c>
      <c r="I6946" s="641">
        <f>SUM(I6931:I6945)</f>
        <v>0</v>
      </c>
      <c r="J6946" s="641">
        <f>SUM(J6930:J6945)</f>
        <v>6325000</v>
      </c>
    </row>
    <row r="6947" spans="3:10" hidden="1"/>
    <row r="6948" spans="3:10">
      <c r="C6948" s="273" t="s">
        <v>4584</v>
      </c>
      <c r="D6948" s="264"/>
      <c r="G6948" s="563" t="s">
        <v>5210</v>
      </c>
    </row>
    <row r="6949" spans="3:10">
      <c r="C6949" s="273"/>
      <c r="D6949" s="357">
        <v>473</v>
      </c>
      <c r="E6949" s="357"/>
      <c r="F6949" s="357"/>
      <c r="G6949" s="383" t="s">
        <v>162</v>
      </c>
    </row>
    <row r="6950" spans="3:10" hidden="1">
      <c r="F6950" s="345">
        <v>411</v>
      </c>
      <c r="G6950" s="340" t="s">
        <v>4173</v>
      </c>
      <c r="J6950" s="635">
        <f>SUM(H6950:I6950)</f>
        <v>0</v>
      </c>
    </row>
    <row r="6951" spans="3:10" hidden="1">
      <c r="F6951" s="345">
        <v>412</v>
      </c>
      <c r="G6951" s="337" t="s">
        <v>3770</v>
      </c>
      <c r="J6951" s="635">
        <f t="shared" ref="J6951:J6958" si="224">SUM(H6951:I6951)</f>
        <v>0</v>
      </c>
    </row>
    <row r="6952" spans="3:10" hidden="1">
      <c r="F6952" s="345">
        <v>413</v>
      </c>
      <c r="G6952" s="340" t="s">
        <v>4174</v>
      </c>
      <c r="J6952" s="635">
        <f t="shared" si="224"/>
        <v>0</v>
      </c>
    </row>
    <row r="6953" spans="3:10" hidden="1">
      <c r="F6953" s="345">
        <v>414</v>
      </c>
      <c r="G6953" s="340" t="s">
        <v>3773</v>
      </c>
      <c r="J6953" s="635">
        <f t="shared" si="224"/>
        <v>0</v>
      </c>
    </row>
    <row r="6954" spans="3:10" hidden="1">
      <c r="F6954" s="345">
        <v>415</v>
      </c>
      <c r="G6954" s="340" t="s">
        <v>4183</v>
      </c>
      <c r="J6954" s="635">
        <f t="shared" si="224"/>
        <v>0</v>
      </c>
    </row>
    <row r="6955" spans="3:10" hidden="1">
      <c r="F6955" s="345">
        <v>416</v>
      </c>
      <c r="G6955" s="340" t="s">
        <v>4184</v>
      </c>
      <c r="J6955" s="635">
        <f t="shared" si="224"/>
        <v>0</v>
      </c>
    </row>
    <row r="6956" spans="3:10" hidden="1">
      <c r="F6956" s="345">
        <v>417</v>
      </c>
      <c r="G6956" s="340" t="s">
        <v>4185</v>
      </c>
      <c r="J6956" s="635">
        <f t="shared" si="224"/>
        <v>0</v>
      </c>
    </row>
    <row r="6957" spans="3:10" hidden="1">
      <c r="F6957" s="345">
        <v>418</v>
      </c>
      <c r="G6957" s="340" t="s">
        <v>3779</v>
      </c>
      <c r="J6957" s="635">
        <f t="shared" si="224"/>
        <v>0</v>
      </c>
    </row>
    <row r="6958" spans="3:10" ht="12.75" customHeight="1">
      <c r="E6958" s="263">
        <v>98</v>
      </c>
      <c r="F6958" s="345">
        <v>421</v>
      </c>
      <c r="G6958" s="340" t="s">
        <v>3783</v>
      </c>
      <c r="H6958" s="634">
        <v>10000</v>
      </c>
      <c r="J6958" s="635">
        <f t="shared" si="224"/>
        <v>10000</v>
      </c>
    </row>
    <row r="6959" spans="3:10" ht="18" hidden="1" customHeight="1">
      <c r="F6959" s="345">
        <v>422</v>
      </c>
      <c r="G6959" s="340" t="s">
        <v>3784</v>
      </c>
      <c r="J6959" s="635">
        <f>SUM(H6959:I6959)</f>
        <v>0</v>
      </c>
    </row>
    <row r="6960" spans="3:10">
      <c r="E6960" s="263">
        <v>99</v>
      </c>
      <c r="F6960" s="345">
        <v>423</v>
      </c>
      <c r="G6960" s="340" t="s">
        <v>3785</v>
      </c>
      <c r="H6960" s="634">
        <v>470000</v>
      </c>
      <c r="J6960" s="635">
        <f t="shared" ref="J6960:J7009" si="225">SUM(H6960:I6960)</f>
        <v>470000</v>
      </c>
    </row>
    <row r="6961" spans="6:10" ht="15.75" hidden="1" thickBot="1">
      <c r="F6961" s="345">
        <v>424</v>
      </c>
      <c r="G6961" s="340" t="s">
        <v>3787</v>
      </c>
      <c r="J6961" s="635">
        <f t="shared" si="225"/>
        <v>0</v>
      </c>
    </row>
    <row r="6962" spans="6:10" ht="15.75" hidden="1" thickBot="1">
      <c r="F6962" s="345">
        <v>425</v>
      </c>
      <c r="G6962" s="340" t="s">
        <v>4186</v>
      </c>
      <c r="J6962" s="635">
        <f t="shared" si="225"/>
        <v>0</v>
      </c>
    </row>
    <row r="6963" spans="6:10" ht="15.75" hidden="1" thickBot="1">
      <c r="F6963" s="345">
        <v>426</v>
      </c>
      <c r="G6963" s="340" t="s">
        <v>3791</v>
      </c>
      <c r="J6963" s="635">
        <f t="shared" si="225"/>
        <v>0</v>
      </c>
    </row>
    <row r="6964" spans="6:10" ht="15.75" hidden="1" thickBot="1">
      <c r="F6964" s="345">
        <v>431</v>
      </c>
      <c r="G6964" s="340" t="s">
        <v>4187</v>
      </c>
      <c r="J6964" s="635">
        <f t="shared" si="225"/>
        <v>0</v>
      </c>
    </row>
    <row r="6965" spans="6:10" ht="15.75" hidden="1" thickBot="1">
      <c r="F6965" s="345">
        <v>432</v>
      </c>
      <c r="G6965" s="340" t="s">
        <v>4188</v>
      </c>
      <c r="J6965" s="635">
        <f t="shared" si="225"/>
        <v>0</v>
      </c>
    </row>
    <row r="6966" spans="6:10" ht="15.75" hidden="1" thickBot="1">
      <c r="F6966" s="345">
        <v>433</v>
      </c>
      <c r="G6966" s="340" t="s">
        <v>4189</v>
      </c>
      <c r="J6966" s="635">
        <f t="shared" si="225"/>
        <v>0</v>
      </c>
    </row>
    <row r="6967" spans="6:10" ht="15.75" hidden="1" thickBot="1">
      <c r="F6967" s="345">
        <v>434</v>
      </c>
      <c r="G6967" s="340" t="s">
        <v>4190</v>
      </c>
      <c r="J6967" s="635">
        <f t="shared" si="225"/>
        <v>0</v>
      </c>
    </row>
    <row r="6968" spans="6:10" ht="15.75" hidden="1" thickBot="1">
      <c r="F6968" s="345">
        <v>435</v>
      </c>
      <c r="G6968" s="340" t="s">
        <v>3798</v>
      </c>
      <c r="J6968" s="635">
        <f t="shared" si="225"/>
        <v>0</v>
      </c>
    </row>
    <row r="6969" spans="6:10" ht="15.75" hidden="1" thickBot="1">
      <c r="F6969" s="345">
        <v>441</v>
      </c>
      <c r="G6969" s="340" t="s">
        <v>4191</v>
      </c>
      <c r="J6969" s="635">
        <f t="shared" si="225"/>
        <v>0</v>
      </c>
    </row>
    <row r="6970" spans="6:10" ht="15.75" hidden="1" thickBot="1">
      <c r="F6970" s="345">
        <v>442</v>
      </c>
      <c r="G6970" s="340" t="s">
        <v>4192</v>
      </c>
      <c r="J6970" s="635">
        <f t="shared" si="225"/>
        <v>0</v>
      </c>
    </row>
    <row r="6971" spans="6:10" ht="15.75" hidden="1" thickBot="1">
      <c r="F6971" s="345">
        <v>443</v>
      </c>
      <c r="G6971" s="340" t="s">
        <v>3803</v>
      </c>
      <c r="J6971" s="635">
        <f t="shared" si="225"/>
        <v>0</v>
      </c>
    </row>
    <row r="6972" spans="6:10" ht="15.75" hidden="1" thickBot="1">
      <c r="F6972" s="345">
        <v>444</v>
      </c>
      <c r="G6972" s="340" t="s">
        <v>3804</v>
      </c>
      <c r="J6972" s="635">
        <f t="shared" si="225"/>
        <v>0</v>
      </c>
    </row>
    <row r="6973" spans="6:10" ht="30.75" hidden="1" thickBot="1">
      <c r="F6973" s="345">
        <v>4511</v>
      </c>
      <c r="G6973" s="268" t="s">
        <v>1690</v>
      </c>
      <c r="J6973" s="635">
        <f t="shared" si="225"/>
        <v>0</v>
      </c>
    </row>
    <row r="6974" spans="6:10" ht="30.75" hidden="1" thickBot="1">
      <c r="F6974" s="345">
        <v>4512</v>
      </c>
      <c r="G6974" s="268" t="s">
        <v>1699</v>
      </c>
      <c r="J6974" s="635">
        <f t="shared" si="225"/>
        <v>0</v>
      </c>
    </row>
    <row r="6975" spans="6:10" ht="15.75" hidden="1" thickBot="1">
      <c r="F6975" s="345">
        <v>452</v>
      </c>
      <c r="G6975" s="340" t="s">
        <v>4193</v>
      </c>
      <c r="J6975" s="635">
        <f t="shared" si="225"/>
        <v>0</v>
      </c>
    </row>
    <row r="6976" spans="6:10" ht="15.75" hidden="1" thickBot="1">
      <c r="F6976" s="345">
        <v>453</v>
      </c>
      <c r="G6976" s="340" t="s">
        <v>4194</v>
      </c>
      <c r="J6976" s="635">
        <f t="shared" si="225"/>
        <v>0</v>
      </c>
    </row>
    <row r="6977" spans="6:10" ht="15.75" hidden="1" thickBot="1">
      <c r="F6977" s="345">
        <v>454</v>
      </c>
      <c r="G6977" s="340" t="s">
        <v>3809</v>
      </c>
      <c r="J6977" s="635">
        <f t="shared" si="225"/>
        <v>0</v>
      </c>
    </row>
    <row r="6978" spans="6:10" ht="15.75" hidden="1" thickBot="1">
      <c r="F6978" s="345">
        <v>461</v>
      </c>
      <c r="G6978" s="340" t="s">
        <v>4175</v>
      </c>
      <c r="J6978" s="635">
        <f t="shared" si="225"/>
        <v>0</v>
      </c>
    </row>
    <row r="6979" spans="6:10" ht="15.75" hidden="1" thickBot="1">
      <c r="F6979" s="345">
        <v>462</v>
      </c>
      <c r="G6979" s="340" t="s">
        <v>3812</v>
      </c>
      <c r="J6979" s="635">
        <f t="shared" si="225"/>
        <v>0</v>
      </c>
    </row>
    <row r="6980" spans="6:10" ht="15.75" hidden="1" thickBot="1">
      <c r="F6980" s="345">
        <v>4631</v>
      </c>
      <c r="G6980" s="340" t="s">
        <v>3813</v>
      </c>
      <c r="J6980" s="635">
        <f t="shared" si="225"/>
        <v>0</v>
      </c>
    </row>
    <row r="6981" spans="6:10" ht="15.75" hidden="1" thickBot="1">
      <c r="F6981" s="345">
        <v>4632</v>
      </c>
      <c r="G6981" s="340" t="s">
        <v>3814</v>
      </c>
      <c r="J6981" s="635">
        <f t="shared" si="225"/>
        <v>0</v>
      </c>
    </row>
    <row r="6982" spans="6:10" ht="15.75" hidden="1" thickBot="1">
      <c r="F6982" s="345">
        <v>464</v>
      </c>
      <c r="G6982" s="340" t="s">
        <v>3815</v>
      </c>
      <c r="J6982" s="635">
        <f t="shared" si="225"/>
        <v>0</v>
      </c>
    </row>
    <row r="6983" spans="6:10" ht="15.75" hidden="1" thickBot="1">
      <c r="F6983" s="345">
        <v>465</v>
      </c>
      <c r="G6983" s="340" t="s">
        <v>4176</v>
      </c>
      <c r="J6983" s="635">
        <f t="shared" si="225"/>
        <v>0</v>
      </c>
    </row>
    <row r="6984" spans="6:10" ht="15.75" hidden="1" thickBot="1">
      <c r="F6984" s="345">
        <v>472</v>
      </c>
      <c r="G6984" s="340" t="s">
        <v>3819</v>
      </c>
      <c r="J6984" s="635">
        <f t="shared" si="225"/>
        <v>0</v>
      </c>
    </row>
    <row r="6985" spans="6:10" ht="15.75" hidden="1" thickBot="1">
      <c r="F6985" s="345">
        <v>481</v>
      </c>
      <c r="G6985" s="340" t="s">
        <v>4195</v>
      </c>
      <c r="J6985" s="635">
        <f t="shared" si="225"/>
        <v>0</v>
      </c>
    </row>
    <row r="6986" spans="6:10" ht="15.75" hidden="1" thickBot="1">
      <c r="F6986" s="345">
        <v>482</v>
      </c>
      <c r="G6986" s="340" t="s">
        <v>4196</v>
      </c>
      <c r="J6986" s="635">
        <f t="shared" si="225"/>
        <v>0</v>
      </c>
    </row>
    <row r="6987" spans="6:10" ht="15.75" hidden="1" thickBot="1">
      <c r="F6987" s="345">
        <v>483</v>
      </c>
      <c r="G6987" s="343" t="s">
        <v>4197</v>
      </c>
      <c r="J6987" s="635">
        <f t="shared" si="225"/>
        <v>0</v>
      </c>
    </row>
    <row r="6988" spans="6:10" ht="30.75" hidden="1" thickBot="1">
      <c r="F6988" s="345">
        <v>484</v>
      </c>
      <c r="G6988" s="340" t="s">
        <v>4198</v>
      </c>
      <c r="J6988" s="635">
        <f t="shared" si="225"/>
        <v>0</v>
      </c>
    </row>
    <row r="6989" spans="6:10" ht="30.75" hidden="1" thickBot="1">
      <c r="F6989" s="345">
        <v>485</v>
      </c>
      <c r="G6989" s="340" t="s">
        <v>4199</v>
      </c>
      <c r="J6989" s="635">
        <f t="shared" si="225"/>
        <v>0</v>
      </c>
    </row>
    <row r="6990" spans="6:10" ht="30.75" hidden="1" thickBot="1">
      <c r="F6990" s="345">
        <v>489</v>
      </c>
      <c r="G6990" s="340" t="s">
        <v>3827</v>
      </c>
      <c r="J6990" s="635">
        <f t="shared" si="225"/>
        <v>0</v>
      </c>
    </row>
    <row r="6991" spans="6:10" ht="15.75" hidden="1" thickBot="1">
      <c r="F6991" s="345">
        <v>494</v>
      </c>
      <c r="G6991" s="340" t="s">
        <v>4177</v>
      </c>
      <c r="J6991" s="635">
        <f t="shared" si="225"/>
        <v>0</v>
      </c>
    </row>
    <row r="6992" spans="6:10" ht="30.75" hidden="1" thickBot="1">
      <c r="F6992" s="345">
        <v>495</v>
      </c>
      <c r="G6992" s="340" t="s">
        <v>4178</v>
      </c>
      <c r="J6992" s="635">
        <f t="shared" si="225"/>
        <v>0</v>
      </c>
    </row>
    <row r="6993" spans="6:10" ht="30.75" hidden="1" thickBot="1">
      <c r="F6993" s="345">
        <v>496</v>
      </c>
      <c r="G6993" s="340" t="s">
        <v>4179</v>
      </c>
      <c r="J6993" s="635">
        <f t="shared" si="225"/>
        <v>0</v>
      </c>
    </row>
    <row r="6994" spans="6:10" ht="15.75" hidden="1" thickBot="1">
      <c r="F6994" s="345">
        <v>499</v>
      </c>
      <c r="G6994" s="340" t="s">
        <v>4180</v>
      </c>
      <c r="J6994" s="635">
        <f t="shared" si="225"/>
        <v>0</v>
      </c>
    </row>
    <row r="6995" spans="6:10" ht="15.75" hidden="1" thickBot="1">
      <c r="F6995" s="345">
        <v>511</v>
      </c>
      <c r="G6995" s="343" t="s">
        <v>4200</v>
      </c>
      <c r="J6995" s="635">
        <f t="shared" si="225"/>
        <v>0</v>
      </c>
    </row>
    <row r="6996" spans="6:10" ht="15.75" hidden="1" thickBot="1">
      <c r="F6996" s="345">
        <v>512</v>
      </c>
      <c r="G6996" s="343" t="s">
        <v>4201</v>
      </c>
      <c r="J6996" s="635">
        <f t="shared" si="225"/>
        <v>0</v>
      </c>
    </row>
    <row r="6997" spans="6:10" ht="15.75" hidden="1" thickBot="1">
      <c r="F6997" s="345">
        <v>513</v>
      </c>
      <c r="G6997" s="343" t="s">
        <v>4202</v>
      </c>
      <c r="J6997" s="635">
        <f t="shared" si="225"/>
        <v>0</v>
      </c>
    </row>
    <row r="6998" spans="6:10" ht="15.75" hidden="1" thickBot="1">
      <c r="F6998" s="345">
        <v>514</v>
      </c>
      <c r="G6998" s="340" t="s">
        <v>4203</v>
      </c>
      <c r="J6998" s="635">
        <f t="shared" si="225"/>
        <v>0</v>
      </c>
    </row>
    <row r="6999" spans="6:10" ht="15.75" hidden="1" thickBot="1">
      <c r="F6999" s="345">
        <v>515</v>
      </c>
      <c r="G6999" s="340" t="s">
        <v>3838</v>
      </c>
      <c r="J6999" s="635">
        <f t="shared" si="225"/>
        <v>0</v>
      </c>
    </row>
    <row r="7000" spans="6:10" ht="15.75" hidden="1" thickBot="1">
      <c r="F7000" s="345">
        <v>521</v>
      </c>
      <c r="G7000" s="340" t="s">
        <v>4204</v>
      </c>
      <c r="J7000" s="635">
        <f t="shared" si="225"/>
        <v>0</v>
      </c>
    </row>
    <row r="7001" spans="6:10" ht="15.75" hidden="1" thickBot="1">
      <c r="F7001" s="345">
        <v>522</v>
      </c>
      <c r="G7001" s="340" t="s">
        <v>4205</v>
      </c>
      <c r="J7001" s="635">
        <f t="shared" si="225"/>
        <v>0</v>
      </c>
    </row>
    <row r="7002" spans="6:10" ht="15.75" hidden="1" thickBot="1">
      <c r="F7002" s="345">
        <v>523</v>
      </c>
      <c r="G7002" s="340" t="s">
        <v>3843</v>
      </c>
      <c r="J7002" s="635">
        <f t="shared" si="225"/>
        <v>0</v>
      </c>
    </row>
    <row r="7003" spans="6:10" ht="15.75" hidden="1" thickBot="1">
      <c r="F7003" s="345">
        <v>531</v>
      </c>
      <c r="G7003" s="337" t="s">
        <v>4181</v>
      </c>
      <c r="J7003" s="635">
        <f t="shared" si="225"/>
        <v>0</v>
      </c>
    </row>
    <row r="7004" spans="6:10" ht="15.75" hidden="1" thickBot="1">
      <c r="F7004" s="345">
        <v>541</v>
      </c>
      <c r="G7004" s="340" t="s">
        <v>4206</v>
      </c>
      <c r="J7004" s="635">
        <f t="shared" si="225"/>
        <v>0</v>
      </c>
    </row>
    <row r="7005" spans="6:10" ht="15.75" hidden="1" thickBot="1">
      <c r="F7005" s="345">
        <v>542</v>
      </c>
      <c r="G7005" s="340" t="s">
        <v>4207</v>
      </c>
      <c r="J7005" s="635">
        <f t="shared" si="225"/>
        <v>0</v>
      </c>
    </row>
    <row r="7006" spans="6:10" ht="15.75" hidden="1" thickBot="1">
      <c r="F7006" s="345">
        <v>543</v>
      </c>
      <c r="G7006" s="340" t="s">
        <v>3848</v>
      </c>
      <c r="J7006" s="635">
        <f t="shared" si="225"/>
        <v>0</v>
      </c>
    </row>
    <row r="7007" spans="6:10" ht="30.75" hidden="1" thickBot="1">
      <c r="F7007" s="345">
        <v>551</v>
      </c>
      <c r="G7007" s="340" t="s">
        <v>4182</v>
      </c>
      <c r="J7007" s="635">
        <f t="shared" si="225"/>
        <v>0</v>
      </c>
    </row>
    <row r="7008" spans="6:10" ht="15.75" hidden="1" thickBot="1">
      <c r="F7008" s="346">
        <v>611</v>
      </c>
      <c r="G7008" s="344" t="s">
        <v>3854</v>
      </c>
      <c r="J7008" s="635">
        <f t="shared" si="225"/>
        <v>0</v>
      </c>
    </row>
    <row r="7009" spans="5:10" ht="10.5" customHeight="1" thickBot="1">
      <c r="E7009" s="263">
        <v>100</v>
      </c>
      <c r="F7009" s="346">
        <v>426</v>
      </c>
      <c r="G7009" s="568" t="s">
        <v>3791</v>
      </c>
      <c r="H7009" s="634">
        <v>120000</v>
      </c>
      <c r="J7009" s="635">
        <f t="shared" si="225"/>
        <v>120000</v>
      </c>
    </row>
    <row r="7010" spans="5:10">
      <c r="E7010" s="338"/>
      <c r="F7010" s="346"/>
      <c r="G7010" s="372" t="s">
        <v>4396</v>
      </c>
      <c r="H7010" s="636"/>
      <c r="I7010" s="662"/>
      <c r="J7010" s="637"/>
    </row>
    <row r="7011" spans="5:10" ht="15.75" thickBot="1">
      <c r="E7011" s="267"/>
      <c r="F7011" s="294" t="s">
        <v>234</v>
      </c>
      <c r="G7011" s="297" t="s">
        <v>235</v>
      </c>
      <c r="H7011" s="638">
        <f>SUM(H6950:H7009)</f>
        <v>600000</v>
      </c>
      <c r="I7011" s="639"/>
      <c r="J7011" s="639">
        <f t="shared" ref="J7011:J7026" si="226">SUM(H7011:I7011)</f>
        <v>600000</v>
      </c>
    </row>
    <row r="7012" spans="5:10" ht="15.75" hidden="1" thickBot="1">
      <c r="F7012" s="294" t="s">
        <v>236</v>
      </c>
      <c r="G7012" s="297" t="s">
        <v>237</v>
      </c>
      <c r="J7012" s="639">
        <f t="shared" si="226"/>
        <v>0</v>
      </c>
    </row>
    <row r="7013" spans="5:10" ht="15.75" hidden="1" thickBot="1">
      <c r="F7013" s="294" t="s">
        <v>238</v>
      </c>
      <c r="G7013" s="297" t="s">
        <v>239</v>
      </c>
      <c r="J7013" s="639">
        <f t="shared" si="226"/>
        <v>0</v>
      </c>
    </row>
    <row r="7014" spans="5:10" ht="15.75" hidden="1" thickBot="1">
      <c r="F7014" s="294" t="s">
        <v>240</v>
      </c>
      <c r="G7014" s="297" t="s">
        <v>241</v>
      </c>
      <c r="J7014" s="639">
        <f t="shared" si="226"/>
        <v>0</v>
      </c>
    </row>
    <row r="7015" spans="5:10" ht="15.75" hidden="1" thickBot="1">
      <c r="F7015" s="294" t="s">
        <v>242</v>
      </c>
      <c r="G7015" s="297" t="s">
        <v>243</v>
      </c>
      <c r="J7015" s="639">
        <f t="shared" si="226"/>
        <v>0</v>
      </c>
    </row>
    <row r="7016" spans="5:10" ht="15.75" hidden="1" thickBot="1">
      <c r="F7016" s="294" t="s">
        <v>244</v>
      </c>
      <c r="G7016" s="297" t="s">
        <v>245</v>
      </c>
      <c r="J7016" s="639">
        <f t="shared" si="226"/>
        <v>0</v>
      </c>
    </row>
    <row r="7017" spans="5:10" ht="15.75" hidden="1" thickBot="1">
      <c r="F7017" s="294" t="s">
        <v>246</v>
      </c>
      <c r="G7017" s="683" t="s">
        <v>5121</v>
      </c>
      <c r="J7017" s="639">
        <f t="shared" si="226"/>
        <v>0</v>
      </c>
    </row>
    <row r="7018" spans="5:10" ht="15.75" hidden="1" thickBot="1">
      <c r="F7018" s="294" t="s">
        <v>247</v>
      </c>
      <c r="G7018" s="683" t="s">
        <v>5120</v>
      </c>
      <c r="J7018" s="639">
        <f t="shared" si="226"/>
        <v>0</v>
      </c>
    </row>
    <row r="7019" spans="5:10" ht="15.75" hidden="1" thickBot="1">
      <c r="F7019" s="294" t="s">
        <v>248</v>
      </c>
      <c r="G7019" s="297" t="s">
        <v>57</v>
      </c>
      <c r="J7019" s="639">
        <f t="shared" si="226"/>
        <v>0</v>
      </c>
    </row>
    <row r="7020" spans="5:10" ht="15.75" hidden="1" thickBot="1">
      <c r="F7020" s="294" t="s">
        <v>249</v>
      </c>
      <c r="G7020" s="297" t="s">
        <v>250</v>
      </c>
      <c r="J7020" s="639">
        <f t="shared" si="226"/>
        <v>0</v>
      </c>
    </row>
    <row r="7021" spans="5:10" ht="15.75" hidden="1" thickBot="1">
      <c r="F7021" s="294" t="s">
        <v>251</v>
      </c>
      <c r="G7021" s="297" t="s">
        <v>252</v>
      </c>
      <c r="J7021" s="639">
        <f t="shared" si="226"/>
        <v>0</v>
      </c>
    </row>
    <row r="7022" spans="5:10" ht="15.75" hidden="1" thickBot="1">
      <c r="F7022" s="294" t="s">
        <v>253</v>
      </c>
      <c r="G7022" s="297" t="s">
        <v>254</v>
      </c>
      <c r="J7022" s="639">
        <f t="shared" si="226"/>
        <v>0</v>
      </c>
    </row>
    <row r="7023" spans="5:10" ht="15.75" hidden="1" thickBot="1">
      <c r="F7023" s="294" t="s">
        <v>255</v>
      </c>
      <c r="G7023" s="297" t="s">
        <v>256</v>
      </c>
      <c r="J7023" s="639">
        <f t="shared" si="226"/>
        <v>0</v>
      </c>
    </row>
    <row r="7024" spans="5:10" ht="15.75" hidden="1" thickBot="1">
      <c r="F7024" s="294" t="s">
        <v>257</v>
      </c>
      <c r="G7024" s="297" t="s">
        <v>258</v>
      </c>
      <c r="J7024" s="639">
        <f t="shared" si="226"/>
        <v>0</v>
      </c>
    </row>
    <row r="7025" spans="5:10" ht="15.75" hidden="1" thickBot="1">
      <c r="F7025" s="294" t="s">
        <v>259</v>
      </c>
      <c r="G7025" s="297" t="s">
        <v>260</v>
      </c>
      <c r="J7025" s="639">
        <f t="shared" si="226"/>
        <v>0</v>
      </c>
    </row>
    <row r="7026" spans="5:10" ht="15.75" hidden="1" thickBot="1">
      <c r="F7026" s="294" t="s">
        <v>261</v>
      </c>
      <c r="G7026" s="297" t="s">
        <v>262</v>
      </c>
      <c r="H7026" s="638"/>
      <c r="I7026" s="639"/>
      <c r="J7026" s="639">
        <f t="shared" si="226"/>
        <v>0</v>
      </c>
    </row>
    <row r="7027" spans="5:10" ht="11.25" customHeight="1" thickBot="1">
      <c r="G7027" s="274" t="s">
        <v>4397</v>
      </c>
      <c r="H7027" s="640">
        <f>SUM(H7011:H7026)</f>
        <v>600000</v>
      </c>
      <c r="I7027" s="641">
        <f>SUM(I7012:I7026)</f>
        <v>0</v>
      </c>
      <c r="J7027" s="641">
        <f>SUM(J7011:J7026)</f>
        <v>600000</v>
      </c>
    </row>
    <row r="7028" spans="5:10">
      <c r="E7028" s="338"/>
      <c r="F7028" s="346"/>
      <c r="G7028" s="276" t="s">
        <v>5055</v>
      </c>
      <c r="H7028" s="642"/>
      <c r="I7028" s="663"/>
      <c r="J7028" s="643"/>
    </row>
    <row r="7029" spans="5:10" ht="15.75" thickBot="1">
      <c r="E7029" s="267"/>
      <c r="F7029" s="294" t="s">
        <v>234</v>
      </c>
      <c r="G7029" s="297" t="s">
        <v>235</v>
      </c>
      <c r="H7029" s="638">
        <f>SUM(H6950:H7009)</f>
        <v>600000</v>
      </c>
      <c r="I7029" s="639"/>
      <c r="J7029" s="639">
        <f>SUM(H7029:I7029)</f>
        <v>600000</v>
      </c>
    </row>
    <row r="7030" spans="5:10" ht="15.75" hidden="1" thickBot="1">
      <c r="F7030" s="294" t="s">
        <v>236</v>
      </c>
      <c r="G7030" s="297" t="s">
        <v>237</v>
      </c>
      <c r="J7030" s="639">
        <f t="shared" ref="J7030:J7044" si="227">SUM(H7030:I7030)</f>
        <v>0</v>
      </c>
    </row>
    <row r="7031" spans="5:10" ht="15.75" hidden="1" thickBot="1">
      <c r="F7031" s="294" t="s">
        <v>238</v>
      </c>
      <c r="G7031" s="297" t="s">
        <v>239</v>
      </c>
      <c r="J7031" s="639">
        <f t="shared" si="227"/>
        <v>0</v>
      </c>
    </row>
    <row r="7032" spans="5:10" ht="15.75" hidden="1" thickBot="1">
      <c r="F7032" s="294" t="s">
        <v>240</v>
      </c>
      <c r="G7032" s="297" t="s">
        <v>241</v>
      </c>
      <c r="J7032" s="639">
        <f t="shared" si="227"/>
        <v>0</v>
      </c>
    </row>
    <row r="7033" spans="5:10" ht="15.75" hidden="1" thickBot="1">
      <c r="F7033" s="294" t="s">
        <v>242</v>
      </c>
      <c r="G7033" s="297" t="s">
        <v>243</v>
      </c>
      <c r="J7033" s="639">
        <f t="shared" si="227"/>
        <v>0</v>
      </c>
    </row>
    <row r="7034" spans="5:10" ht="15.75" hidden="1" thickBot="1">
      <c r="F7034" s="294" t="s">
        <v>244</v>
      </c>
      <c r="G7034" s="297" t="s">
        <v>245</v>
      </c>
      <c r="J7034" s="639">
        <f t="shared" si="227"/>
        <v>0</v>
      </c>
    </row>
    <row r="7035" spans="5:10" ht="15.75" hidden="1" thickBot="1">
      <c r="F7035" s="294" t="s">
        <v>246</v>
      </c>
      <c r="G7035" s="683" t="s">
        <v>5121</v>
      </c>
      <c r="J7035" s="639">
        <f t="shared" si="227"/>
        <v>0</v>
      </c>
    </row>
    <row r="7036" spans="5:10" ht="15.75" hidden="1" thickBot="1">
      <c r="F7036" s="294" t="s">
        <v>247</v>
      </c>
      <c r="G7036" s="683" t="s">
        <v>5120</v>
      </c>
      <c r="J7036" s="639">
        <f t="shared" si="227"/>
        <v>0</v>
      </c>
    </row>
    <row r="7037" spans="5:10" ht="15.75" hidden="1" thickBot="1">
      <c r="F7037" s="294" t="s">
        <v>248</v>
      </c>
      <c r="G7037" s="297" t="s">
        <v>57</v>
      </c>
      <c r="J7037" s="639">
        <f t="shared" si="227"/>
        <v>0</v>
      </c>
    </row>
    <row r="7038" spans="5:10" ht="15.75" hidden="1" thickBot="1">
      <c r="F7038" s="294" t="s">
        <v>249</v>
      </c>
      <c r="G7038" s="297" t="s">
        <v>250</v>
      </c>
      <c r="J7038" s="639">
        <f t="shared" si="227"/>
        <v>0</v>
      </c>
    </row>
    <row r="7039" spans="5:10" ht="15.75" hidden="1" thickBot="1">
      <c r="F7039" s="294" t="s">
        <v>251</v>
      </c>
      <c r="G7039" s="297" t="s">
        <v>252</v>
      </c>
      <c r="J7039" s="639">
        <f t="shared" si="227"/>
        <v>0</v>
      </c>
    </row>
    <row r="7040" spans="5:10" ht="15.75" hidden="1" thickBot="1">
      <c r="F7040" s="294" t="s">
        <v>253</v>
      </c>
      <c r="G7040" s="297" t="s">
        <v>254</v>
      </c>
      <c r="J7040" s="639">
        <f t="shared" si="227"/>
        <v>0</v>
      </c>
    </row>
    <row r="7041" spans="3:10" ht="15.75" hidden="1" thickBot="1">
      <c r="F7041" s="294" t="s">
        <v>255</v>
      </c>
      <c r="G7041" s="297" t="s">
        <v>256</v>
      </c>
      <c r="J7041" s="639">
        <f t="shared" si="227"/>
        <v>0</v>
      </c>
    </row>
    <row r="7042" spans="3:10" ht="15.75" hidden="1" thickBot="1">
      <c r="F7042" s="294" t="s">
        <v>257</v>
      </c>
      <c r="G7042" s="297" t="s">
        <v>258</v>
      </c>
      <c r="J7042" s="639">
        <f t="shared" si="227"/>
        <v>0</v>
      </c>
    </row>
    <row r="7043" spans="3:10" ht="15.75" hidden="1" thickBot="1">
      <c r="F7043" s="294" t="s">
        <v>259</v>
      </c>
      <c r="G7043" s="297" t="s">
        <v>260</v>
      </c>
      <c r="J7043" s="639">
        <f t="shared" si="227"/>
        <v>0</v>
      </c>
    </row>
    <row r="7044" spans="3:10" ht="15.75" hidden="1" thickBot="1">
      <c r="F7044" s="294" t="s">
        <v>261</v>
      </c>
      <c r="G7044" s="297" t="s">
        <v>262</v>
      </c>
      <c r="H7044" s="638"/>
      <c r="I7044" s="639"/>
      <c r="J7044" s="639">
        <f t="shared" si="227"/>
        <v>0</v>
      </c>
    </row>
    <row r="7045" spans="3:10" ht="14.25" customHeight="1" thickBot="1">
      <c r="G7045" s="274" t="s">
        <v>5015</v>
      </c>
      <c r="H7045" s="640">
        <f>SUM(H7029:H7044)</f>
        <v>600000</v>
      </c>
      <c r="I7045" s="641">
        <f>SUM(I7030:I7044)</f>
        <v>0</v>
      </c>
      <c r="J7045" s="641">
        <f>SUM(J7029:J7044)</f>
        <v>600000</v>
      </c>
    </row>
    <row r="7046" spans="3:10" ht="0.75" hidden="1" customHeight="1"/>
    <row r="7047" spans="3:10" hidden="1">
      <c r="C7047" s="273" t="s">
        <v>4585</v>
      </c>
      <c r="D7047" s="264"/>
      <c r="G7047" s="341" t="s">
        <v>5081</v>
      </c>
    </row>
    <row r="7048" spans="3:10" hidden="1">
      <c r="C7048" s="273"/>
      <c r="D7048" s="357">
        <v>473</v>
      </c>
      <c r="E7048" s="357"/>
      <c r="F7048" s="357"/>
      <c r="G7048" s="383" t="s">
        <v>162</v>
      </c>
    </row>
    <row r="7049" spans="3:10" hidden="1">
      <c r="F7049" s="345">
        <v>411</v>
      </c>
      <c r="G7049" s="340" t="s">
        <v>4173</v>
      </c>
      <c r="J7049" s="635">
        <f>SUM(H7049:I7049)</f>
        <v>0</v>
      </c>
    </row>
    <row r="7050" spans="3:10" hidden="1">
      <c r="F7050" s="345">
        <v>412</v>
      </c>
      <c r="G7050" s="337" t="s">
        <v>3770</v>
      </c>
      <c r="J7050" s="635">
        <f t="shared" ref="J7050:J7057" si="228">SUM(H7050:I7050)</f>
        <v>0</v>
      </c>
    </row>
    <row r="7051" spans="3:10" hidden="1">
      <c r="F7051" s="345">
        <v>413</v>
      </c>
      <c r="G7051" s="340" t="s">
        <v>4174</v>
      </c>
      <c r="J7051" s="635">
        <f t="shared" si="228"/>
        <v>0</v>
      </c>
    </row>
    <row r="7052" spans="3:10" hidden="1">
      <c r="F7052" s="345">
        <v>414</v>
      </c>
      <c r="G7052" s="340" t="s">
        <v>3773</v>
      </c>
      <c r="J7052" s="635">
        <f t="shared" si="228"/>
        <v>0</v>
      </c>
    </row>
    <row r="7053" spans="3:10" hidden="1">
      <c r="F7053" s="345">
        <v>415</v>
      </c>
      <c r="G7053" s="340" t="s">
        <v>4183</v>
      </c>
      <c r="J7053" s="635">
        <f t="shared" si="228"/>
        <v>0</v>
      </c>
    </row>
    <row r="7054" spans="3:10" hidden="1">
      <c r="F7054" s="345">
        <v>416</v>
      </c>
      <c r="G7054" s="340" t="s">
        <v>4184</v>
      </c>
      <c r="J7054" s="635">
        <f t="shared" si="228"/>
        <v>0</v>
      </c>
    </row>
    <row r="7055" spans="3:10" hidden="1">
      <c r="F7055" s="345">
        <v>417</v>
      </c>
      <c r="G7055" s="340" t="s">
        <v>4185</v>
      </c>
      <c r="J7055" s="635">
        <f t="shared" si="228"/>
        <v>0</v>
      </c>
    </row>
    <row r="7056" spans="3:10" hidden="1">
      <c r="F7056" s="345">
        <v>418</v>
      </c>
      <c r="G7056" s="340" t="s">
        <v>3779</v>
      </c>
      <c r="J7056" s="635">
        <f t="shared" si="228"/>
        <v>0</v>
      </c>
    </row>
    <row r="7057" spans="6:10" hidden="1">
      <c r="F7057" s="345">
        <v>421</v>
      </c>
      <c r="G7057" s="340" t="s">
        <v>3783</v>
      </c>
      <c r="J7057" s="635">
        <f t="shared" si="228"/>
        <v>0</v>
      </c>
    </row>
    <row r="7058" spans="6:10" hidden="1">
      <c r="F7058" s="345">
        <v>422</v>
      </c>
      <c r="G7058" s="340" t="s">
        <v>3784</v>
      </c>
      <c r="J7058" s="635">
        <f>SUM(H7058:I7058)</f>
        <v>0</v>
      </c>
    </row>
    <row r="7059" spans="6:10" ht="15.75" hidden="1" thickBot="1">
      <c r="F7059" s="345">
        <v>423</v>
      </c>
      <c r="G7059" s="340" t="s">
        <v>3785</v>
      </c>
      <c r="J7059" s="635">
        <f t="shared" ref="J7059:J7108" si="229">SUM(H7059:I7059)</f>
        <v>0</v>
      </c>
    </row>
    <row r="7060" spans="6:10" ht="15.75" hidden="1" thickBot="1">
      <c r="F7060" s="345">
        <v>424</v>
      </c>
      <c r="G7060" s="340" t="s">
        <v>3787</v>
      </c>
      <c r="J7060" s="635">
        <f t="shared" si="229"/>
        <v>0</v>
      </c>
    </row>
    <row r="7061" spans="6:10" ht="15.75" hidden="1" thickBot="1">
      <c r="F7061" s="345">
        <v>425</v>
      </c>
      <c r="G7061" s="340" t="s">
        <v>4186</v>
      </c>
      <c r="J7061" s="635">
        <f t="shared" si="229"/>
        <v>0</v>
      </c>
    </row>
    <row r="7062" spans="6:10" ht="15.75" hidden="1" thickBot="1">
      <c r="F7062" s="345">
        <v>426</v>
      </c>
      <c r="G7062" s="340" t="s">
        <v>3791</v>
      </c>
      <c r="J7062" s="635">
        <f t="shared" si="229"/>
        <v>0</v>
      </c>
    </row>
    <row r="7063" spans="6:10" ht="15.75" hidden="1" thickBot="1">
      <c r="F7063" s="345">
        <v>431</v>
      </c>
      <c r="G7063" s="340" t="s">
        <v>4187</v>
      </c>
      <c r="J7063" s="635">
        <f t="shared" si="229"/>
        <v>0</v>
      </c>
    </row>
    <row r="7064" spans="6:10" ht="15.75" hidden="1" thickBot="1">
      <c r="F7064" s="345">
        <v>432</v>
      </c>
      <c r="G7064" s="340" t="s">
        <v>4188</v>
      </c>
      <c r="J7064" s="635">
        <f t="shared" si="229"/>
        <v>0</v>
      </c>
    </row>
    <row r="7065" spans="6:10" ht="15.75" hidden="1" thickBot="1">
      <c r="F7065" s="345">
        <v>433</v>
      </c>
      <c r="G7065" s="340" t="s">
        <v>4189</v>
      </c>
      <c r="J7065" s="635">
        <f t="shared" si="229"/>
        <v>0</v>
      </c>
    </row>
    <row r="7066" spans="6:10" ht="15.75" hidden="1" thickBot="1">
      <c r="F7066" s="345">
        <v>434</v>
      </c>
      <c r="G7066" s="340" t="s">
        <v>4190</v>
      </c>
      <c r="J7066" s="635">
        <f t="shared" si="229"/>
        <v>0</v>
      </c>
    </row>
    <row r="7067" spans="6:10" ht="15.75" hidden="1" thickBot="1">
      <c r="F7067" s="345">
        <v>435</v>
      </c>
      <c r="G7067" s="340" t="s">
        <v>3798</v>
      </c>
      <c r="J7067" s="635">
        <f t="shared" si="229"/>
        <v>0</v>
      </c>
    </row>
    <row r="7068" spans="6:10" ht="15.75" hidden="1" thickBot="1">
      <c r="F7068" s="345">
        <v>441</v>
      </c>
      <c r="G7068" s="340" t="s">
        <v>4191</v>
      </c>
      <c r="J7068" s="635">
        <f t="shared" si="229"/>
        <v>0</v>
      </c>
    </row>
    <row r="7069" spans="6:10" ht="15.75" hidden="1" thickBot="1">
      <c r="F7069" s="345">
        <v>442</v>
      </c>
      <c r="G7069" s="340" t="s">
        <v>4192</v>
      </c>
      <c r="J7069" s="635">
        <f t="shared" si="229"/>
        <v>0</v>
      </c>
    </row>
    <row r="7070" spans="6:10" ht="15.75" hidden="1" thickBot="1">
      <c r="F7070" s="345">
        <v>443</v>
      </c>
      <c r="G7070" s="340" t="s">
        <v>3803</v>
      </c>
      <c r="J7070" s="635">
        <f t="shared" si="229"/>
        <v>0</v>
      </c>
    </row>
    <row r="7071" spans="6:10" ht="15.75" hidden="1" thickBot="1">
      <c r="F7071" s="345">
        <v>444</v>
      </c>
      <c r="G7071" s="340" t="s">
        <v>3804</v>
      </c>
      <c r="J7071" s="635">
        <f t="shared" si="229"/>
        <v>0</v>
      </c>
    </row>
    <row r="7072" spans="6:10" ht="30.75" hidden="1" thickBot="1">
      <c r="F7072" s="345">
        <v>4511</v>
      </c>
      <c r="G7072" s="268" t="s">
        <v>1690</v>
      </c>
      <c r="J7072" s="635">
        <f t="shared" si="229"/>
        <v>0</v>
      </c>
    </row>
    <row r="7073" spans="6:10" ht="30.75" hidden="1" thickBot="1">
      <c r="F7073" s="345">
        <v>4512</v>
      </c>
      <c r="G7073" s="268" t="s">
        <v>1699</v>
      </c>
      <c r="J7073" s="635">
        <f t="shared" si="229"/>
        <v>0</v>
      </c>
    </row>
    <row r="7074" spans="6:10" ht="15.75" hidden="1" thickBot="1">
      <c r="F7074" s="345">
        <v>452</v>
      </c>
      <c r="G7074" s="340" t="s">
        <v>4193</v>
      </c>
      <c r="J7074" s="635">
        <f t="shared" si="229"/>
        <v>0</v>
      </c>
    </row>
    <row r="7075" spans="6:10" ht="15.75" hidden="1" thickBot="1">
      <c r="F7075" s="345">
        <v>453</v>
      </c>
      <c r="G7075" s="340" t="s">
        <v>4194</v>
      </c>
      <c r="J7075" s="635">
        <f t="shared" si="229"/>
        <v>0</v>
      </c>
    </row>
    <row r="7076" spans="6:10" ht="15.75" hidden="1" thickBot="1">
      <c r="F7076" s="345">
        <v>454</v>
      </c>
      <c r="G7076" s="340" t="s">
        <v>3809</v>
      </c>
      <c r="J7076" s="635">
        <f t="shared" si="229"/>
        <v>0</v>
      </c>
    </row>
    <row r="7077" spans="6:10" ht="15.75" hidden="1" thickBot="1">
      <c r="F7077" s="345">
        <v>461</v>
      </c>
      <c r="G7077" s="340" t="s">
        <v>4175</v>
      </c>
      <c r="J7077" s="635">
        <f t="shared" si="229"/>
        <v>0</v>
      </c>
    </row>
    <row r="7078" spans="6:10" ht="15.75" hidden="1" thickBot="1">
      <c r="F7078" s="345">
        <v>462</v>
      </c>
      <c r="G7078" s="340" t="s">
        <v>3812</v>
      </c>
      <c r="J7078" s="635">
        <f t="shared" si="229"/>
        <v>0</v>
      </c>
    </row>
    <row r="7079" spans="6:10" ht="15.75" hidden="1" thickBot="1">
      <c r="F7079" s="345">
        <v>4631</v>
      </c>
      <c r="G7079" s="340" t="s">
        <v>3813</v>
      </c>
      <c r="J7079" s="635">
        <f t="shared" si="229"/>
        <v>0</v>
      </c>
    </row>
    <row r="7080" spans="6:10" ht="15.75" hidden="1" thickBot="1">
      <c r="F7080" s="345">
        <v>4632</v>
      </c>
      <c r="G7080" s="340" t="s">
        <v>3814</v>
      </c>
      <c r="J7080" s="635">
        <f t="shared" si="229"/>
        <v>0</v>
      </c>
    </row>
    <row r="7081" spans="6:10" ht="15.75" hidden="1" thickBot="1">
      <c r="F7081" s="345">
        <v>464</v>
      </c>
      <c r="G7081" s="340" t="s">
        <v>3815</v>
      </c>
      <c r="J7081" s="635">
        <f t="shared" si="229"/>
        <v>0</v>
      </c>
    </row>
    <row r="7082" spans="6:10" ht="15.75" hidden="1" thickBot="1">
      <c r="F7082" s="345">
        <v>465</v>
      </c>
      <c r="G7082" s="340" t="s">
        <v>4176</v>
      </c>
      <c r="J7082" s="635">
        <f t="shared" si="229"/>
        <v>0</v>
      </c>
    </row>
    <row r="7083" spans="6:10" ht="15.75" hidden="1" thickBot="1">
      <c r="F7083" s="345">
        <v>472</v>
      </c>
      <c r="G7083" s="340" t="s">
        <v>3819</v>
      </c>
      <c r="J7083" s="635">
        <f t="shared" si="229"/>
        <v>0</v>
      </c>
    </row>
    <row r="7084" spans="6:10" ht="15.75" hidden="1" thickBot="1">
      <c r="F7084" s="345">
        <v>481</v>
      </c>
      <c r="G7084" s="340" t="s">
        <v>4195</v>
      </c>
      <c r="J7084" s="635">
        <f t="shared" si="229"/>
        <v>0</v>
      </c>
    </row>
    <row r="7085" spans="6:10" ht="15.75" hidden="1" thickBot="1">
      <c r="F7085" s="345">
        <v>482</v>
      </c>
      <c r="G7085" s="340" t="s">
        <v>4196</v>
      </c>
      <c r="J7085" s="635">
        <f t="shared" si="229"/>
        <v>0</v>
      </c>
    </row>
    <row r="7086" spans="6:10" ht="15.75" hidden="1" thickBot="1">
      <c r="F7086" s="345">
        <v>483</v>
      </c>
      <c r="G7086" s="343" t="s">
        <v>4197</v>
      </c>
      <c r="J7086" s="635">
        <f t="shared" si="229"/>
        <v>0</v>
      </c>
    </row>
    <row r="7087" spans="6:10" ht="30.75" hidden="1" thickBot="1">
      <c r="F7087" s="345">
        <v>484</v>
      </c>
      <c r="G7087" s="340" t="s">
        <v>4198</v>
      </c>
      <c r="J7087" s="635">
        <f t="shared" si="229"/>
        <v>0</v>
      </c>
    </row>
    <row r="7088" spans="6:10" ht="30.75" hidden="1" thickBot="1">
      <c r="F7088" s="345">
        <v>485</v>
      </c>
      <c r="G7088" s="340" t="s">
        <v>4199</v>
      </c>
      <c r="J7088" s="635">
        <f t="shared" si="229"/>
        <v>0</v>
      </c>
    </row>
    <row r="7089" spans="6:10" ht="30.75" hidden="1" thickBot="1">
      <c r="F7089" s="345">
        <v>489</v>
      </c>
      <c r="G7089" s="340" t="s">
        <v>3827</v>
      </c>
      <c r="J7089" s="635">
        <f t="shared" si="229"/>
        <v>0</v>
      </c>
    </row>
    <row r="7090" spans="6:10" ht="15.75" hidden="1" thickBot="1">
      <c r="F7090" s="345">
        <v>494</v>
      </c>
      <c r="G7090" s="340" t="s">
        <v>4177</v>
      </c>
      <c r="J7090" s="635">
        <f t="shared" si="229"/>
        <v>0</v>
      </c>
    </row>
    <row r="7091" spans="6:10" ht="30.75" hidden="1" thickBot="1">
      <c r="F7091" s="345">
        <v>495</v>
      </c>
      <c r="G7091" s="340" t="s">
        <v>4178</v>
      </c>
      <c r="J7091" s="635">
        <f t="shared" si="229"/>
        <v>0</v>
      </c>
    </row>
    <row r="7092" spans="6:10" ht="30.75" hidden="1" thickBot="1">
      <c r="F7092" s="345">
        <v>496</v>
      </c>
      <c r="G7092" s="340" t="s">
        <v>4179</v>
      </c>
      <c r="J7092" s="635">
        <f t="shared" si="229"/>
        <v>0</v>
      </c>
    </row>
    <row r="7093" spans="6:10" ht="15.75" hidden="1" thickBot="1">
      <c r="F7093" s="345">
        <v>499</v>
      </c>
      <c r="G7093" s="340" t="s">
        <v>4180</v>
      </c>
      <c r="J7093" s="635">
        <f t="shared" si="229"/>
        <v>0</v>
      </c>
    </row>
    <row r="7094" spans="6:10" ht="15.75" hidden="1" thickBot="1">
      <c r="F7094" s="345">
        <v>511</v>
      </c>
      <c r="G7094" s="343" t="s">
        <v>4200</v>
      </c>
      <c r="J7094" s="635">
        <f t="shared" si="229"/>
        <v>0</v>
      </c>
    </row>
    <row r="7095" spans="6:10" ht="15.75" hidden="1" thickBot="1">
      <c r="F7095" s="345">
        <v>512</v>
      </c>
      <c r="G7095" s="343" t="s">
        <v>4201</v>
      </c>
      <c r="J7095" s="635">
        <f t="shared" si="229"/>
        <v>0</v>
      </c>
    </row>
    <row r="7096" spans="6:10" ht="15.75" hidden="1" thickBot="1">
      <c r="F7096" s="345">
        <v>513</v>
      </c>
      <c r="G7096" s="343" t="s">
        <v>4202</v>
      </c>
      <c r="J7096" s="635">
        <f t="shared" si="229"/>
        <v>0</v>
      </c>
    </row>
    <row r="7097" spans="6:10" ht="15.75" hidden="1" thickBot="1">
      <c r="F7097" s="345">
        <v>514</v>
      </c>
      <c r="G7097" s="340" t="s">
        <v>4203</v>
      </c>
      <c r="J7097" s="635">
        <f t="shared" si="229"/>
        <v>0</v>
      </c>
    </row>
    <row r="7098" spans="6:10" ht="15.75" hidden="1" thickBot="1">
      <c r="F7098" s="345">
        <v>515</v>
      </c>
      <c r="G7098" s="340" t="s">
        <v>3838</v>
      </c>
      <c r="J7098" s="635">
        <f t="shared" si="229"/>
        <v>0</v>
      </c>
    </row>
    <row r="7099" spans="6:10" ht="15.75" hidden="1" thickBot="1">
      <c r="F7099" s="345">
        <v>521</v>
      </c>
      <c r="G7099" s="340" t="s">
        <v>4204</v>
      </c>
      <c r="J7099" s="635">
        <f t="shared" si="229"/>
        <v>0</v>
      </c>
    </row>
    <row r="7100" spans="6:10" ht="15.75" hidden="1" thickBot="1">
      <c r="F7100" s="345">
        <v>522</v>
      </c>
      <c r="G7100" s="340" t="s">
        <v>4205</v>
      </c>
      <c r="J7100" s="635">
        <f t="shared" si="229"/>
        <v>0</v>
      </c>
    </row>
    <row r="7101" spans="6:10" ht="15.75" hidden="1" thickBot="1">
      <c r="F7101" s="345">
        <v>523</v>
      </c>
      <c r="G7101" s="340" t="s">
        <v>3843</v>
      </c>
      <c r="J7101" s="635">
        <f t="shared" si="229"/>
        <v>0</v>
      </c>
    </row>
    <row r="7102" spans="6:10" ht="15.75" hidden="1" thickBot="1">
      <c r="F7102" s="345">
        <v>531</v>
      </c>
      <c r="G7102" s="337" t="s">
        <v>4181</v>
      </c>
      <c r="J7102" s="635">
        <f t="shared" si="229"/>
        <v>0</v>
      </c>
    </row>
    <row r="7103" spans="6:10" ht="15.75" hidden="1" thickBot="1">
      <c r="F7103" s="345">
        <v>541</v>
      </c>
      <c r="G7103" s="340" t="s">
        <v>4206</v>
      </c>
      <c r="J7103" s="635">
        <f t="shared" si="229"/>
        <v>0</v>
      </c>
    </row>
    <row r="7104" spans="6:10" ht="15.75" hidden="1" thickBot="1">
      <c r="F7104" s="345">
        <v>542</v>
      </c>
      <c r="G7104" s="340" t="s">
        <v>4207</v>
      </c>
      <c r="J7104" s="635">
        <f t="shared" si="229"/>
        <v>0</v>
      </c>
    </row>
    <row r="7105" spans="5:10" ht="15.75" hidden="1" thickBot="1">
      <c r="F7105" s="345">
        <v>543</v>
      </c>
      <c r="G7105" s="340" t="s">
        <v>3848</v>
      </c>
      <c r="J7105" s="635">
        <f t="shared" si="229"/>
        <v>0</v>
      </c>
    </row>
    <row r="7106" spans="5:10" ht="30.75" hidden="1" thickBot="1">
      <c r="F7106" s="345">
        <v>551</v>
      </c>
      <c r="G7106" s="340" t="s">
        <v>4182</v>
      </c>
      <c r="J7106" s="635">
        <f t="shared" si="229"/>
        <v>0</v>
      </c>
    </row>
    <row r="7107" spans="5:10" ht="15.75" hidden="1" thickBot="1">
      <c r="F7107" s="346">
        <v>611</v>
      </c>
      <c r="G7107" s="344" t="s">
        <v>3854</v>
      </c>
      <c r="J7107" s="635">
        <f t="shared" si="229"/>
        <v>0</v>
      </c>
    </row>
    <row r="7108" spans="5:10" ht="15.75" hidden="1" thickBot="1">
      <c r="F7108" s="346">
        <v>620</v>
      </c>
      <c r="G7108" s="344" t="s">
        <v>88</v>
      </c>
      <c r="J7108" s="635">
        <f t="shared" si="229"/>
        <v>0</v>
      </c>
    </row>
    <row r="7109" spans="5:10" hidden="1">
      <c r="E7109" s="338"/>
      <c r="F7109" s="346"/>
      <c r="G7109" s="372" t="s">
        <v>4396</v>
      </c>
      <c r="H7109" s="636"/>
      <c r="I7109" s="662"/>
      <c r="J7109" s="637"/>
    </row>
    <row r="7110" spans="5:10" ht="15.75" hidden="1" thickBot="1">
      <c r="E7110" s="267"/>
      <c r="F7110" s="294" t="s">
        <v>234</v>
      </c>
      <c r="G7110" s="297" t="s">
        <v>235</v>
      </c>
      <c r="H7110" s="638">
        <f>SUM(H7049:H7108)</f>
        <v>0</v>
      </c>
      <c r="I7110" s="639"/>
      <c r="J7110" s="639">
        <f t="shared" ref="J7110:J7125" si="230">SUM(H7110:I7110)</f>
        <v>0</v>
      </c>
    </row>
    <row r="7111" spans="5:10" ht="15.75" hidden="1" thickBot="1">
      <c r="F7111" s="294" t="s">
        <v>236</v>
      </c>
      <c r="G7111" s="297" t="s">
        <v>237</v>
      </c>
      <c r="J7111" s="639">
        <f t="shared" si="230"/>
        <v>0</v>
      </c>
    </row>
    <row r="7112" spans="5:10" ht="15.75" hidden="1" thickBot="1">
      <c r="F7112" s="294" t="s">
        <v>238</v>
      </c>
      <c r="G7112" s="297" t="s">
        <v>239</v>
      </c>
      <c r="J7112" s="639">
        <f t="shared" si="230"/>
        <v>0</v>
      </c>
    </row>
    <row r="7113" spans="5:10" ht="15.75" hidden="1" thickBot="1">
      <c r="F7113" s="294" t="s">
        <v>240</v>
      </c>
      <c r="G7113" s="297" t="s">
        <v>241</v>
      </c>
      <c r="J7113" s="639">
        <f t="shared" si="230"/>
        <v>0</v>
      </c>
    </row>
    <row r="7114" spans="5:10" ht="15.75" hidden="1" thickBot="1">
      <c r="F7114" s="294" t="s">
        <v>242</v>
      </c>
      <c r="G7114" s="297" t="s">
        <v>243</v>
      </c>
      <c r="J7114" s="639">
        <f t="shared" si="230"/>
        <v>0</v>
      </c>
    </row>
    <row r="7115" spans="5:10" ht="15.75" hidden="1" thickBot="1">
      <c r="F7115" s="294" t="s">
        <v>244</v>
      </c>
      <c r="G7115" s="297" t="s">
        <v>245</v>
      </c>
      <c r="J7115" s="639">
        <f t="shared" si="230"/>
        <v>0</v>
      </c>
    </row>
    <row r="7116" spans="5:10" ht="15.75" hidden="1" thickBot="1">
      <c r="F7116" s="294" t="s">
        <v>246</v>
      </c>
      <c r="G7116" s="683" t="s">
        <v>5121</v>
      </c>
      <c r="J7116" s="639">
        <f t="shared" si="230"/>
        <v>0</v>
      </c>
    </row>
    <row r="7117" spans="5:10" ht="15.75" hidden="1" thickBot="1">
      <c r="F7117" s="294" t="s">
        <v>247</v>
      </c>
      <c r="G7117" s="683" t="s">
        <v>5120</v>
      </c>
      <c r="J7117" s="639">
        <f t="shared" si="230"/>
        <v>0</v>
      </c>
    </row>
    <row r="7118" spans="5:10" ht="15.75" hidden="1" thickBot="1">
      <c r="F7118" s="294" t="s">
        <v>248</v>
      </c>
      <c r="G7118" s="297" t="s">
        <v>57</v>
      </c>
      <c r="J7118" s="639">
        <f t="shared" si="230"/>
        <v>0</v>
      </c>
    </row>
    <row r="7119" spans="5:10" ht="15.75" hidden="1" thickBot="1">
      <c r="F7119" s="294" t="s">
        <v>249</v>
      </c>
      <c r="G7119" s="297" t="s">
        <v>250</v>
      </c>
      <c r="J7119" s="639">
        <f t="shared" si="230"/>
        <v>0</v>
      </c>
    </row>
    <row r="7120" spans="5:10" ht="15.75" hidden="1" thickBot="1">
      <c r="F7120" s="294" t="s">
        <v>251</v>
      </c>
      <c r="G7120" s="297" t="s">
        <v>252</v>
      </c>
      <c r="J7120" s="639">
        <f t="shared" si="230"/>
        <v>0</v>
      </c>
    </row>
    <row r="7121" spans="5:10" ht="15.75" hidden="1" thickBot="1">
      <c r="F7121" s="294" t="s">
        <v>253</v>
      </c>
      <c r="G7121" s="297" t="s">
        <v>254</v>
      </c>
      <c r="J7121" s="639">
        <f t="shared" si="230"/>
        <v>0</v>
      </c>
    </row>
    <row r="7122" spans="5:10" ht="15.75" hidden="1" thickBot="1">
      <c r="F7122" s="294" t="s">
        <v>255</v>
      </c>
      <c r="G7122" s="297" t="s">
        <v>256</v>
      </c>
      <c r="J7122" s="639">
        <f t="shared" si="230"/>
        <v>0</v>
      </c>
    </row>
    <row r="7123" spans="5:10" ht="15.75" hidden="1" thickBot="1">
      <c r="F7123" s="294" t="s">
        <v>257</v>
      </c>
      <c r="G7123" s="297" t="s">
        <v>258</v>
      </c>
      <c r="J7123" s="639">
        <f t="shared" si="230"/>
        <v>0</v>
      </c>
    </row>
    <row r="7124" spans="5:10" ht="15.75" hidden="1" thickBot="1">
      <c r="F7124" s="294" t="s">
        <v>259</v>
      </c>
      <c r="G7124" s="297" t="s">
        <v>260</v>
      </c>
      <c r="J7124" s="639">
        <f t="shared" si="230"/>
        <v>0</v>
      </c>
    </row>
    <row r="7125" spans="5:10" ht="15.75" hidden="1" thickBot="1">
      <c r="F7125" s="294" t="s">
        <v>261</v>
      </c>
      <c r="G7125" s="297" t="s">
        <v>262</v>
      </c>
      <c r="H7125" s="638"/>
      <c r="I7125" s="639"/>
      <c r="J7125" s="639">
        <f t="shared" si="230"/>
        <v>0</v>
      </c>
    </row>
    <row r="7126" spans="5:10" ht="15.75" hidden="1" thickBot="1">
      <c r="G7126" s="274" t="s">
        <v>4397</v>
      </c>
      <c r="H7126" s="640">
        <f>SUM(H7110:H7125)</f>
        <v>0</v>
      </c>
      <c r="I7126" s="641">
        <f>SUM(I7111:I7125)</f>
        <v>0</v>
      </c>
      <c r="J7126" s="641">
        <f>SUM(J7110:J7125)</f>
        <v>0</v>
      </c>
    </row>
    <row r="7127" spans="5:10" hidden="1">
      <c r="E7127" s="338"/>
      <c r="F7127" s="346"/>
      <c r="G7127" s="276" t="s">
        <v>5056</v>
      </c>
      <c r="H7127" s="642"/>
      <c r="I7127" s="663"/>
      <c r="J7127" s="643"/>
    </row>
    <row r="7128" spans="5:10" ht="15.75" hidden="1" thickBot="1">
      <c r="E7128" s="267"/>
      <c r="F7128" s="294" t="s">
        <v>234</v>
      </c>
      <c r="G7128" s="297" t="s">
        <v>235</v>
      </c>
      <c r="H7128" s="638">
        <f>SUM(H7049:H7108)</f>
        <v>0</v>
      </c>
      <c r="I7128" s="639"/>
      <c r="J7128" s="639">
        <f>SUM(H7128:I7128)</f>
        <v>0</v>
      </c>
    </row>
    <row r="7129" spans="5:10" ht="15.75" hidden="1" thickBot="1">
      <c r="F7129" s="294" t="s">
        <v>236</v>
      </c>
      <c r="G7129" s="297" t="s">
        <v>237</v>
      </c>
      <c r="J7129" s="639">
        <f t="shared" ref="J7129:J7143" si="231">SUM(H7129:I7129)</f>
        <v>0</v>
      </c>
    </row>
    <row r="7130" spans="5:10" ht="15.75" hidden="1" thickBot="1">
      <c r="F7130" s="294" t="s">
        <v>238</v>
      </c>
      <c r="G7130" s="297" t="s">
        <v>239</v>
      </c>
      <c r="J7130" s="639">
        <f t="shared" si="231"/>
        <v>0</v>
      </c>
    </row>
    <row r="7131" spans="5:10" ht="15.75" hidden="1" thickBot="1">
      <c r="F7131" s="294" t="s">
        <v>240</v>
      </c>
      <c r="G7131" s="297" t="s">
        <v>241</v>
      </c>
      <c r="J7131" s="639">
        <f t="shared" si="231"/>
        <v>0</v>
      </c>
    </row>
    <row r="7132" spans="5:10" ht="15.75" hidden="1" thickBot="1">
      <c r="F7132" s="294" t="s">
        <v>242</v>
      </c>
      <c r="G7132" s="297" t="s">
        <v>243</v>
      </c>
      <c r="J7132" s="639">
        <f t="shared" si="231"/>
        <v>0</v>
      </c>
    </row>
    <row r="7133" spans="5:10" ht="15.75" hidden="1" thickBot="1">
      <c r="F7133" s="294" t="s">
        <v>244</v>
      </c>
      <c r="G7133" s="297" t="s">
        <v>245</v>
      </c>
      <c r="J7133" s="639">
        <f t="shared" si="231"/>
        <v>0</v>
      </c>
    </row>
    <row r="7134" spans="5:10" ht="15.75" hidden="1" thickBot="1">
      <c r="F7134" s="294" t="s">
        <v>246</v>
      </c>
      <c r="G7134" s="683" t="s">
        <v>5121</v>
      </c>
      <c r="J7134" s="639">
        <f t="shared" si="231"/>
        <v>0</v>
      </c>
    </row>
    <row r="7135" spans="5:10" ht="15.75" hidden="1" thickBot="1">
      <c r="F7135" s="294" t="s">
        <v>247</v>
      </c>
      <c r="G7135" s="683" t="s">
        <v>5120</v>
      </c>
      <c r="J7135" s="639">
        <f t="shared" si="231"/>
        <v>0</v>
      </c>
    </row>
    <row r="7136" spans="5:10" ht="15.75" hidden="1" thickBot="1">
      <c r="F7136" s="294" t="s">
        <v>248</v>
      </c>
      <c r="G7136" s="297" t="s">
        <v>57</v>
      </c>
      <c r="J7136" s="639">
        <f t="shared" si="231"/>
        <v>0</v>
      </c>
    </row>
    <row r="7137" spans="3:10" ht="15.75" hidden="1" thickBot="1">
      <c r="F7137" s="294" t="s">
        <v>249</v>
      </c>
      <c r="G7137" s="297" t="s">
        <v>250</v>
      </c>
      <c r="J7137" s="639">
        <f t="shared" si="231"/>
        <v>0</v>
      </c>
    </row>
    <row r="7138" spans="3:10" ht="15.75" hidden="1" thickBot="1">
      <c r="F7138" s="294" t="s">
        <v>251</v>
      </c>
      <c r="G7138" s="297" t="s">
        <v>252</v>
      </c>
      <c r="J7138" s="639">
        <f t="shared" si="231"/>
        <v>0</v>
      </c>
    </row>
    <row r="7139" spans="3:10" ht="15.75" hidden="1" thickBot="1">
      <c r="F7139" s="294" t="s">
        <v>253</v>
      </c>
      <c r="G7139" s="297" t="s">
        <v>254</v>
      </c>
      <c r="J7139" s="639">
        <f t="shared" si="231"/>
        <v>0</v>
      </c>
    </row>
    <row r="7140" spans="3:10" ht="15.75" hidden="1" thickBot="1">
      <c r="F7140" s="294" t="s">
        <v>255</v>
      </c>
      <c r="G7140" s="297" t="s">
        <v>256</v>
      </c>
      <c r="J7140" s="639">
        <f t="shared" si="231"/>
        <v>0</v>
      </c>
    </row>
    <row r="7141" spans="3:10" ht="15.75" hidden="1" thickBot="1">
      <c r="F7141" s="294" t="s">
        <v>257</v>
      </c>
      <c r="G7141" s="297" t="s">
        <v>258</v>
      </c>
      <c r="J7141" s="639">
        <f t="shared" si="231"/>
        <v>0</v>
      </c>
    </row>
    <row r="7142" spans="3:10" ht="15.75" hidden="1" thickBot="1">
      <c r="F7142" s="294" t="s">
        <v>259</v>
      </c>
      <c r="G7142" s="297" t="s">
        <v>260</v>
      </c>
      <c r="J7142" s="639">
        <f t="shared" si="231"/>
        <v>0</v>
      </c>
    </row>
    <row r="7143" spans="3:10" ht="15.75" hidden="1" thickBot="1">
      <c r="F7143" s="294" t="s">
        <v>261</v>
      </c>
      <c r="G7143" s="297" t="s">
        <v>262</v>
      </c>
      <c r="H7143" s="638"/>
      <c r="I7143" s="639"/>
      <c r="J7143" s="639">
        <f t="shared" si="231"/>
        <v>0</v>
      </c>
    </row>
    <row r="7144" spans="3:10" ht="15.75" hidden="1" thickBot="1">
      <c r="G7144" s="274" t="s">
        <v>5016</v>
      </c>
      <c r="H7144" s="640">
        <f>SUM(H7128:H7143)</f>
        <v>0</v>
      </c>
      <c r="I7144" s="641">
        <f>SUM(I7129:I7143)</f>
        <v>0</v>
      </c>
      <c r="J7144" s="641">
        <f>SUM(J7128:J7143)</f>
        <v>0</v>
      </c>
    </row>
    <row r="7145" spans="3:10" hidden="1">
      <c r="G7145" s="331"/>
      <c r="H7145" s="644"/>
      <c r="I7145" s="645"/>
      <c r="J7145" s="645"/>
    </row>
    <row r="7146" spans="3:10" hidden="1">
      <c r="C7146" s="273" t="s">
        <v>4586</v>
      </c>
      <c r="D7146" s="264"/>
      <c r="G7146" s="563" t="s">
        <v>5082</v>
      </c>
    </row>
    <row r="7147" spans="3:10" hidden="1">
      <c r="C7147" s="273"/>
      <c r="D7147" s="357">
        <v>473</v>
      </c>
      <c r="E7147" s="357"/>
      <c r="F7147" s="357"/>
      <c r="G7147" s="383" t="s">
        <v>162</v>
      </c>
    </row>
    <row r="7148" spans="3:10" hidden="1">
      <c r="F7148" s="569">
        <v>411</v>
      </c>
      <c r="G7148" s="562" t="s">
        <v>4173</v>
      </c>
      <c r="J7148" s="635">
        <f>SUM(H7148:I7148)</f>
        <v>0</v>
      </c>
    </row>
    <row r="7149" spans="3:10" hidden="1">
      <c r="F7149" s="569">
        <v>412</v>
      </c>
      <c r="G7149" s="558" t="s">
        <v>3770</v>
      </c>
      <c r="J7149" s="635">
        <f t="shared" ref="J7149:J7156" si="232">SUM(H7149:I7149)</f>
        <v>0</v>
      </c>
    </row>
    <row r="7150" spans="3:10" hidden="1">
      <c r="F7150" s="569">
        <v>413</v>
      </c>
      <c r="G7150" s="562" t="s">
        <v>4174</v>
      </c>
      <c r="J7150" s="635">
        <f t="shared" si="232"/>
        <v>0</v>
      </c>
    </row>
    <row r="7151" spans="3:10" hidden="1">
      <c r="F7151" s="569">
        <v>414</v>
      </c>
      <c r="G7151" s="562" t="s">
        <v>3773</v>
      </c>
      <c r="J7151" s="635">
        <f t="shared" si="232"/>
        <v>0</v>
      </c>
    </row>
    <row r="7152" spans="3:10" hidden="1">
      <c r="F7152" s="569">
        <v>415</v>
      </c>
      <c r="G7152" s="562" t="s">
        <v>4183</v>
      </c>
      <c r="J7152" s="635">
        <f t="shared" si="232"/>
        <v>0</v>
      </c>
    </row>
    <row r="7153" spans="6:10" hidden="1">
      <c r="F7153" s="569">
        <v>416</v>
      </c>
      <c r="G7153" s="562" t="s">
        <v>4184</v>
      </c>
      <c r="J7153" s="635">
        <f t="shared" si="232"/>
        <v>0</v>
      </c>
    </row>
    <row r="7154" spans="6:10" hidden="1">
      <c r="F7154" s="569">
        <v>417</v>
      </c>
      <c r="G7154" s="562" t="s">
        <v>4185</v>
      </c>
      <c r="J7154" s="635">
        <f t="shared" si="232"/>
        <v>0</v>
      </c>
    </row>
    <row r="7155" spans="6:10" hidden="1">
      <c r="F7155" s="569">
        <v>418</v>
      </c>
      <c r="G7155" s="562" t="s">
        <v>3779</v>
      </c>
      <c r="J7155" s="635">
        <f t="shared" si="232"/>
        <v>0</v>
      </c>
    </row>
    <row r="7156" spans="6:10" hidden="1">
      <c r="F7156" s="569">
        <v>421</v>
      </c>
      <c r="G7156" s="562" t="s">
        <v>3783</v>
      </c>
      <c r="J7156" s="635">
        <f t="shared" si="232"/>
        <v>0</v>
      </c>
    </row>
    <row r="7157" spans="6:10" hidden="1">
      <c r="F7157" s="569">
        <v>422</v>
      </c>
      <c r="G7157" s="562" t="s">
        <v>3784</v>
      </c>
      <c r="J7157" s="635">
        <f>SUM(H7157:I7157)</f>
        <v>0</v>
      </c>
    </row>
    <row r="7158" spans="6:10" ht="15.75" hidden="1" thickBot="1">
      <c r="F7158" s="569">
        <v>423</v>
      </c>
      <c r="G7158" s="562" t="s">
        <v>3785</v>
      </c>
      <c r="J7158" s="635">
        <f t="shared" ref="J7158:J7207" si="233">SUM(H7158:I7158)</f>
        <v>0</v>
      </c>
    </row>
    <row r="7159" spans="6:10" ht="15.75" hidden="1" thickBot="1">
      <c r="F7159" s="569">
        <v>424</v>
      </c>
      <c r="G7159" s="562" t="s">
        <v>3787</v>
      </c>
      <c r="J7159" s="635">
        <f t="shared" si="233"/>
        <v>0</v>
      </c>
    </row>
    <row r="7160" spans="6:10" ht="15.75" hidden="1" thickBot="1">
      <c r="F7160" s="569">
        <v>425</v>
      </c>
      <c r="G7160" s="562" t="s">
        <v>4186</v>
      </c>
      <c r="J7160" s="635">
        <f t="shared" si="233"/>
        <v>0</v>
      </c>
    </row>
    <row r="7161" spans="6:10" ht="15.75" hidden="1" thickBot="1">
      <c r="F7161" s="569">
        <v>426</v>
      </c>
      <c r="G7161" s="562" t="s">
        <v>3791</v>
      </c>
      <c r="J7161" s="635">
        <f t="shared" si="233"/>
        <v>0</v>
      </c>
    </row>
    <row r="7162" spans="6:10" ht="15.75" hidden="1" thickBot="1">
      <c r="F7162" s="569">
        <v>431</v>
      </c>
      <c r="G7162" s="562" t="s">
        <v>4187</v>
      </c>
      <c r="J7162" s="635">
        <f t="shared" si="233"/>
        <v>0</v>
      </c>
    </row>
    <row r="7163" spans="6:10" ht="15.75" hidden="1" thickBot="1">
      <c r="F7163" s="569">
        <v>432</v>
      </c>
      <c r="G7163" s="562" t="s">
        <v>4188</v>
      </c>
      <c r="J7163" s="635">
        <f t="shared" si="233"/>
        <v>0</v>
      </c>
    </row>
    <row r="7164" spans="6:10" ht="15.75" hidden="1" thickBot="1">
      <c r="F7164" s="569">
        <v>433</v>
      </c>
      <c r="G7164" s="562" t="s">
        <v>4189</v>
      </c>
      <c r="J7164" s="635">
        <f t="shared" si="233"/>
        <v>0</v>
      </c>
    </row>
    <row r="7165" spans="6:10" ht="15.75" hidden="1" thickBot="1">
      <c r="F7165" s="569">
        <v>434</v>
      </c>
      <c r="G7165" s="562" t="s">
        <v>4190</v>
      </c>
      <c r="J7165" s="635">
        <f t="shared" si="233"/>
        <v>0</v>
      </c>
    </row>
    <row r="7166" spans="6:10" ht="15.75" hidden="1" thickBot="1">
      <c r="F7166" s="569">
        <v>435</v>
      </c>
      <c r="G7166" s="562" t="s">
        <v>3798</v>
      </c>
      <c r="J7166" s="635">
        <f t="shared" si="233"/>
        <v>0</v>
      </c>
    </row>
    <row r="7167" spans="6:10" ht="15.75" hidden="1" thickBot="1">
      <c r="F7167" s="569">
        <v>441</v>
      </c>
      <c r="G7167" s="562" t="s">
        <v>4191</v>
      </c>
      <c r="J7167" s="635">
        <f t="shared" si="233"/>
        <v>0</v>
      </c>
    </row>
    <row r="7168" spans="6:10" ht="15.75" hidden="1" thickBot="1">
      <c r="F7168" s="569">
        <v>442</v>
      </c>
      <c r="G7168" s="562" t="s">
        <v>4192</v>
      </c>
      <c r="J7168" s="635">
        <f t="shared" si="233"/>
        <v>0</v>
      </c>
    </row>
    <row r="7169" spans="6:10" ht="15.75" hidden="1" thickBot="1">
      <c r="F7169" s="569">
        <v>443</v>
      </c>
      <c r="G7169" s="562" t="s">
        <v>3803</v>
      </c>
      <c r="J7169" s="635">
        <f t="shared" si="233"/>
        <v>0</v>
      </c>
    </row>
    <row r="7170" spans="6:10" ht="15.75" hidden="1" thickBot="1">
      <c r="F7170" s="569">
        <v>444</v>
      </c>
      <c r="G7170" s="562" t="s">
        <v>3804</v>
      </c>
      <c r="J7170" s="635">
        <f t="shared" si="233"/>
        <v>0</v>
      </c>
    </row>
    <row r="7171" spans="6:10" ht="30.75" hidden="1" thickBot="1">
      <c r="F7171" s="569">
        <v>4511</v>
      </c>
      <c r="G7171" s="268" t="s">
        <v>1690</v>
      </c>
      <c r="J7171" s="635">
        <f t="shared" si="233"/>
        <v>0</v>
      </c>
    </row>
    <row r="7172" spans="6:10" ht="30.75" hidden="1" thickBot="1">
      <c r="F7172" s="569">
        <v>4512</v>
      </c>
      <c r="G7172" s="268" t="s">
        <v>1699</v>
      </c>
      <c r="J7172" s="635">
        <f t="shared" si="233"/>
        <v>0</v>
      </c>
    </row>
    <row r="7173" spans="6:10" ht="15.75" hidden="1" thickBot="1">
      <c r="F7173" s="569">
        <v>452</v>
      </c>
      <c r="G7173" s="562" t="s">
        <v>4193</v>
      </c>
      <c r="J7173" s="635">
        <f t="shared" si="233"/>
        <v>0</v>
      </c>
    </row>
    <row r="7174" spans="6:10" ht="15.75" hidden="1" thickBot="1">
      <c r="F7174" s="569">
        <v>453</v>
      </c>
      <c r="G7174" s="562" t="s">
        <v>4194</v>
      </c>
      <c r="J7174" s="635">
        <f t="shared" si="233"/>
        <v>0</v>
      </c>
    </row>
    <row r="7175" spans="6:10" ht="15.75" hidden="1" thickBot="1">
      <c r="F7175" s="569">
        <v>454</v>
      </c>
      <c r="G7175" s="562" t="s">
        <v>3809</v>
      </c>
      <c r="J7175" s="635">
        <f t="shared" si="233"/>
        <v>0</v>
      </c>
    </row>
    <row r="7176" spans="6:10" ht="15.75" hidden="1" thickBot="1">
      <c r="F7176" s="569">
        <v>461</v>
      </c>
      <c r="G7176" s="562" t="s">
        <v>4175</v>
      </c>
      <c r="J7176" s="635">
        <f t="shared" si="233"/>
        <v>0</v>
      </c>
    </row>
    <row r="7177" spans="6:10" ht="15.75" hidden="1" thickBot="1">
      <c r="F7177" s="569">
        <v>462</v>
      </c>
      <c r="G7177" s="562" t="s">
        <v>3812</v>
      </c>
      <c r="J7177" s="635">
        <f t="shared" si="233"/>
        <v>0</v>
      </c>
    </row>
    <row r="7178" spans="6:10" ht="15.75" hidden="1" thickBot="1">
      <c r="F7178" s="569">
        <v>4631</v>
      </c>
      <c r="G7178" s="562" t="s">
        <v>3813</v>
      </c>
      <c r="J7178" s="635">
        <f t="shared" si="233"/>
        <v>0</v>
      </c>
    </row>
    <row r="7179" spans="6:10" ht="15.75" hidden="1" thickBot="1">
      <c r="F7179" s="569">
        <v>4632</v>
      </c>
      <c r="G7179" s="562" t="s">
        <v>3814</v>
      </c>
      <c r="J7179" s="635">
        <f t="shared" si="233"/>
        <v>0</v>
      </c>
    </row>
    <row r="7180" spans="6:10" ht="15.75" hidden="1" thickBot="1">
      <c r="F7180" s="569">
        <v>464</v>
      </c>
      <c r="G7180" s="562" t="s">
        <v>3815</v>
      </c>
      <c r="J7180" s="635">
        <f t="shared" si="233"/>
        <v>0</v>
      </c>
    </row>
    <row r="7181" spans="6:10" ht="15.75" hidden="1" thickBot="1">
      <c r="F7181" s="569">
        <v>465</v>
      </c>
      <c r="G7181" s="562" t="s">
        <v>4176</v>
      </c>
      <c r="J7181" s="635">
        <f t="shared" si="233"/>
        <v>0</v>
      </c>
    </row>
    <row r="7182" spans="6:10" ht="15.75" hidden="1" thickBot="1">
      <c r="F7182" s="569">
        <v>472</v>
      </c>
      <c r="G7182" s="562" t="s">
        <v>3819</v>
      </c>
      <c r="J7182" s="635">
        <f t="shared" si="233"/>
        <v>0</v>
      </c>
    </row>
    <row r="7183" spans="6:10" ht="15.75" hidden="1" thickBot="1">
      <c r="F7183" s="569">
        <v>481</v>
      </c>
      <c r="G7183" s="562" t="s">
        <v>4195</v>
      </c>
      <c r="J7183" s="635">
        <f t="shared" si="233"/>
        <v>0</v>
      </c>
    </row>
    <row r="7184" spans="6:10" ht="15.75" hidden="1" thickBot="1">
      <c r="F7184" s="569">
        <v>482</v>
      </c>
      <c r="G7184" s="562" t="s">
        <v>4196</v>
      </c>
      <c r="J7184" s="635">
        <f t="shared" si="233"/>
        <v>0</v>
      </c>
    </row>
    <row r="7185" spans="6:10" ht="15.75" hidden="1" thickBot="1">
      <c r="F7185" s="569">
        <v>483</v>
      </c>
      <c r="G7185" s="566" t="s">
        <v>4197</v>
      </c>
      <c r="J7185" s="635">
        <f t="shared" si="233"/>
        <v>0</v>
      </c>
    </row>
    <row r="7186" spans="6:10" ht="30.75" hidden="1" thickBot="1">
      <c r="F7186" s="569">
        <v>484</v>
      </c>
      <c r="G7186" s="562" t="s">
        <v>4198</v>
      </c>
      <c r="J7186" s="635">
        <f t="shared" si="233"/>
        <v>0</v>
      </c>
    </row>
    <row r="7187" spans="6:10" ht="30.75" hidden="1" thickBot="1">
      <c r="F7187" s="569">
        <v>485</v>
      </c>
      <c r="G7187" s="562" t="s">
        <v>4199</v>
      </c>
      <c r="J7187" s="635">
        <f t="shared" si="233"/>
        <v>0</v>
      </c>
    </row>
    <row r="7188" spans="6:10" ht="30.75" hidden="1" thickBot="1">
      <c r="F7188" s="569">
        <v>489</v>
      </c>
      <c r="G7188" s="562" t="s">
        <v>3827</v>
      </c>
      <c r="J7188" s="635">
        <f t="shared" si="233"/>
        <v>0</v>
      </c>
    </row>
    <row r="7189" spans="6:10" ht="15.75" hidden="1" thickBot="1">
      <c r="F7189" s="569">
        <v>494</v>
      </c>
      <c r="G7189" s="562" t="s">
        <v>4177</v>
      </c>
      <c r="J7189" s="635">
        <f t="shared" si="233"/>
        <v>0</v>
      </c>
    </row>
    <row r="7190" spans="6:10" ht="30.75" hidden="1" thickBot="1">
      <c r="F7190" s="569">
        <v>495</v>
      </c>
      <c r="G7190" s="562" t="s">
        <v>4178</v>
      </c>
      <c r="J7190" s="635">
        <f t="shared" si="233"/>
        <v>0</v>
      </c>
    </row>
    <row r="7191" spans="6:10" ht="30.75" hidden="1" thickBot="1">
      <c r="F7191" s="569">
        <v>496</v>
      </c>
      <c r="G7191" s="562" t="s">
        <v>4179</v>
      </c>
      <c r="J7191" s="635">
        <f t="shared" si="233"/>
        <v>0</v>
      </c>
    </row>
    <row r="7192" spans="6:10" ht="15.75" hidden="1" thickBot="1">
      <c r="F7192" s="569">
        <v>499</v>
      </c>
      <c r="G7192" s="562" t="s">
        <v>4180</v>
      </c>
      <c r="J7192" s="635">
        <f t="shared" si="233"/>
        <v>0</v>
      </c>
    </row>
    <row r="7193" spans="6:10" ht="15.75" hidden="1" thickBot="1">
      <c r="F7193" s="569">
        <v>511</v>
      </c>
      <c r="G7193" s="566" t="s">
        <v>4200</v>
      </c>
      <c r="J7193" s="635">
        <f t="shared" si="233"/>
        <v>0</v>
      </c>
    </row>
    <row r="7194" spans="6:10" ht="15.75" hidden="1" thickBot="1">
      <c r="F7194" s="569">
        <v>512</v>
      </c>
      <c r="G7194" s="566" t="s">
        <v>4201</v>
      </c>
      <c r="J7194" s="635">
        <f t="shared" si="233"/>
        <v>0</v>
      </c>
    </row>
    <row r="7195" spans="6:10" ht="15.75" hidden="1" thickBot="1">
      <c r="F7195" s="569">
        <v>513</v>
      </c>
      <c r="G7195" s="566" t="s">
        <v>4202</v>
      </c>
      <c r="J7195" s="635">
        <f t="shared" si="233"/>
        <v>0</v>
      </c>
    </row>
    <row r="7196" spans="6:10" ht="15.75" hidden="1" thickBot="1">
      <c r="F7196" s="569">
        <v>514</v>
      </c>
      <c r="G7196" s="562" t="s">
        <v>4203</v>
      </c>
      <c r="J7196" s="635">
        <f t="shared" si="233"/>
        <v>0</v>
      </c>
    </row>
    <row r="7197" spans="6:10" ht="15.75" hidden="1" thickBot="1">
      <c r="F7197" s="569">
        <v>515</v>
      </c>
      <c r="G7197" s="562" t="s">
        <v>3838</v>
      </c>
      <c r="J7197" s="635">
        <f t="shared" si="233"/>
        <v>0</v>
      </c>
    </row>
    <row r="7198" spans="6:10" ht="15.75" hidden="1" thickBot="1">
      <c r="F7198" s="569">
        <v>521</v>
      </c>
      <c r="G7198" s="562" t="s">
        <v>4204</v>
      </c>
      <c r="J7198" s="635">
        <f t="shared" si="233"/>
        <v>0</v>
      </c>
    </row>
    <row r="7199" spans="6:10" ht="15.75" hidden="1" thickBot="1">
      <c r="F7199" s="569">
        <v>522</v>
      </c>
      <c r="G7199" s="562" t="s">
        <v>4205</v>
      </c>
      <c r="J7199" s="635">
        <f t="shared" si="233"/>
        <v>0</v>
      </c>
    </row>
    <row r="7200" spans="6:10" ht="15.75" hidden="1" thickBot="1">
      <c r="F7200" s="569">
        <v>523</v>
      </c>
      <c r="G7200" s="562" t="s">
        <v>3843</v>
      </c>
      <c r="J7200" s="635">
        <f t="shared" si="233"/>
        <v>0</v>
      </c>
    </row>
    <row r="7201" spans="5:10" ht="15.75" hidden="1" thickBot="1">
      <c r="F7201" s="569">
        <v>531</v>
      </c>
      <c r="G7201" s="558" t="s">
        <v>4181</v>
      </c>
      <c r="J7201" s="635">
        <f t="shared" si="233"/>
        <v>0</v>
      </c>
    </row>
    <row r="7202" spans="5:10" ht="15.75" hidden="1" thickBot="1">
      <c r="F7202" s="569">
        <v>541</v>
      </c>
      <c r="G7202" s="562" t="s">
        <v>4206</v>
      </c>
      <c r="J7202" s="635">
        <f t="shared" si="233"/>
        <v>0</v>
      </c>
    </row>
    <row r="7203" spans="5:10" ht="15.75" hidden="1" thickBot="1">
      <c r="F7203" s="569">
        <v>542</v>
      </c>
      <c r="G7203" s="562" t="s">
        <v>4207</v>
      </c>
      <c r="J7203" s="635">
        <f t="shared" si="233"/>
        <v>0</v>
      </c>
    </row>
    <row r="7204" spans="5:10" ht="15.75" hidden="1" thickBot="1">
      <c r="F7204" s="569">
        <v>543</v>
      </c>
      <c r="G7204" s="562" t="s">
        <v>3848</v>
      </c>
      <c r="J7204" s="635">
        <f t="shared" si="233"/>
        <v>0</v>
      </c>
    </row>
    <row r="7205" spans="5:10" ht="30.75" hidden="1" thickBot="1">
      <c r="F7205" s="569">
        <v>551</v>
      </c>
      <c r="G7205" s="562" t="s">
        <v>4182</v>
      </c>
      <c r="J7205" s="635">
        <f t="shared" si="233"/>
        <v>0</v>
      </c>
    </row>
    <row r="7206" spans="5:10" ht="15.75" hidden="1" thickBot="1">
      <c r="F7206" s="570">
        <v>611</v>
      </c>
      <c r="G7206" s="568" t="s">
        <v>3854</v>
      </c>
      <c r="J7206" s="635">
        <f t="shared" si="233"/>
        <v>0</v>
      </c>
    </row>
    <row r="7207" spans="5:10" ht="15.75" hidden="1" thickBot="1">
      <c r="F7207" s="570">
        <v>620</v>
      </c>
      <c r="G7207" s="568" t="s">
        <v>88</v>
      </c>
      <c r="J7207" s="635">
        <f t="shared" si="233"/>
        <v>0</v>
      </c>
    </row>
    <row r="7208" spans="5:10" hidden="1">
      <c r="E7208" s="559"/>
      <c r="F7208" s="570"/>
      <c r="G7208" s="372" t="s">
        <v>4396</v>
      </c>
      <c r="H7208" s="636"/>
      <c r="I7208" s="662"/>
      <c r="J7208" s="637"/>
    </row>
    <row r="7209" spans="5:10" ht="15.75" hidden="1" thickBot="1">
      <c r="E7209" s="267"/>
      <c r="F7209" s="294" t="s">
        <v>234</v>
      </c>
      <c r="G7209" s="297" t="s">
        <v>235</v>
      </c>
      <c r="H7209" s="638">
        <f>SUM(H7148:H7207)</f>
        <v>0</v>
      </c>
      <c r="I7209" s="639"/>
      <c r="J7209" s="639">
        <f t="shared" ref="J7209:J7224" si="234">SUM(H7209:I7209)</f>
        <v>0</v>
      </c>
    </row>
    <row r="7210" spans="5:10" ht="15.75" hidden="1" thickBot="1">
      <c r="F7210" s="294" t="s">
        <v>236</v>
      </c>
      <c r="G7210" s="297" t="s">
        <v>237</v>
      </c>
      <c r="J7210" s="639">
        <f t="shared" si="234"/>
        <v>0</v>
      </c>
    </row>
    <row r="7211" spans="5:10" ht="15.75" hidden="1" thickBot="1">
      <c r="F7211" s="294" t="s">
        <v>238</v>
      </c>
      <c r="G7211" s="297" t="s">
        <v>239</v>
      </c>
      <c r="J7211" s="639">
        <f t="shared" si="234"/>
        <v>0</v>
      </c>
    </row>
    <row r="7212" spans="5:10" ht="15.75" hidden="1" thickBot="1">
      <c r="F7212" s="294" t="s">
        <v>240</v>
      </c>
      <c r="G7212" s="297" t="s">
        <v>241</v>
      </c>
      <c r="J7212" s="639">
        <f t="shared" si="234"/>
        <v>0</v>
      </c>
    </row>
    <row r="7213" spans="5:10" ht="15.75" hidden="1" thickBot="1">
      <c r="F7213" s="294" t="s">
        <v>242</v>
      </c>
      <c r="G7213" s="297" t="s">
        <v>243</v>
      </c>
      <c r="J7213" s="639">
        <f t="shared" si="234"/>
        <v>0</v>
      </c>
    </row>
    <row r="7214" spans="5:10" ht="15.75" hidden="1" thickBot="1">
      <c r="F7214" s="294" t="s">
        <v>244</v>
      </c>
      <c r="G7214" s="297" t="s">
        <v>245</v>
      </c>
      <c r="J7214" s="639">
        <f t="shared" si="234"/>
        <v>0</v>
      </c>
    </row>
    <row r="7215" spans="5:10" ht="15.75" hidden="1" thickBot="1">
      <c r="F7215" s="294" t="s">
        <v>246</v>
      </c>
      <c r="G7215" s="683" t="s">
        <v>5121</v>
      </c>
      <c r="J7215" s="639">
        <f t="shared" si="234"/>
        <v>0</v>
      </c>
    </row>
    <row r="7216" spans="5:10" ht="15.75" hidden="1" thickBot="1">
      <c r="F7216" s="294" t="s">
        <v>247</v>
      </c>
      <c r="G7216" s="683" t="s">
        <v>5120</v>
      </c>
      <c r="J7216" s="639">
        <f t="shared" si="234"/>
        <v>0</v>
      </c>
    </row>
    <row r="7217" spans="5:10" ht="15.75" hidden="1" thickBot="1">
      <c r="F7217" s="294" t="s">
        <v>248</v>
      </c>
      <c r="G7217" s="297" t="s">
        <v>57</v>
      </c>
      <c r="J7217" s="639">
        <f t="shared" si="234"/>
        <v>0</v>
      </c>
    </row>
    <row r="7218" spans="5:10" ht="15.75" hidden="1" thickBot="1">
      <c r="F7218" s="294" t="s">
        <v>249</v>
      </c>
      <c r="G7218" s="297" t="s">
        <v>250</v>
      </c>
      <c r="J7218" s="639">
        <f t="shared" si="234"/>
        <v>0</v>
      </c>
    </row>
    <row r="7219" spans="5:10" ht="15.75" hidden="1" thickBot="1">
      <c r="F7219" s="294" t="s">
        <v>251</v>
      </c>
      <c r="G7219" s="297" t="s">
        <v>252</v>
      </c>
      <c r="J7219" s="639">
        <f t="shared" si="234"/>
        <v>0</v>
      </c>
    </row>
    <row r="7220" spans="5:10" ht="15.75" hidden="1" thickBot="1">
      <c r="F7220" s="294" t="s">
        <v>253</v>
      </c>
      <c r="G7220" s="297" t="s">
        <v>254</v>
      </c>
      <c r="J7220" s="639">
        <f t="shared" si="234"/>
        <v>0</v>
      </c>
    </row>
    <row r="7221" spans="5:10" ht="15.75" hidden="1" thickBot="1">
      <c r="F7221" s="294" t="s">
        <v>255</v>
      </c>
      <c r="G7221" s="297" t="s">
        <v>256</v>
      </c>
      <c r="J7221" s="639">
        <f t="shared" si="234"/>
        <v>0</v>
      </c>
    </row>
    <row r="7222" spans="5:10" ht="15.75" hidden="1" thickBot="1">
      <c r="F7222" s="294" t="s">
        <v>257</v>
      </c>
      <c r="G7222" s="297" t="s">
        <v>258</v>
      </c>
      <c r="J7222" s="639">
        <f t="shared" si="234"/>
        <v>0</v>
      </c>
    </row>
    <row r="7223" spans="5:10" ht="15.75" hidden="1" thickBot="1">
      <c r="F7223" s="294" t="s">
        <v>259</v>
      </c>
      <c r="G7223" s="297" t="s">
        <v>260</v>
      </c>
      <c r="J7223" s="639">
        <f t="shared" si="234"/>
        <v>0</v>
      </c>
    </row>
    <row r="7224" spans="5:10" ht="15.75" hidden="1" thickBot="1">
      <c r="F7224" s="294" t="s">
        <v>261</v>
      </c>
      <c r="G7224" s="297" t="s">
        <v>262</v>
      </c>
      <c r="H7224" s="638"/>
      <c r="I7224" s="639"/>
      <c r="J7224" s="639">
        <f t="shared" si="234"/>
        <v>0</v>
      </c>
    </row>
    <row r="7225" spans="5:10" ht="15.75" hidden="1" thickBot="1">
      <c r="G7225" s="274" t="s">
        <v>4397</v>
      </c>
      <c r="H7225" s="640">
        <f>SUM(H7209:H7224)</f>
        <v>0</v>
      </c>
      <c r="I7225" s="641">
        <f>SUM(I7210:I7224)</f>
        <v>0</v>
      </c>
      <c r="J7225" s="641">
        <f>SUM(J7209:J7224)</f>
        <v>0</v>
      </c>
    </row>
    <row r="7226" spans="5:10" hidden="1">
      <c r="E7226" s="559"/>
      <c r="F7226" s="570"/>
      <c r="G7226" s="276" t="s">
        <v>5057</v>
      </c>
      <c r="H7226" s="642"/>
      <c r="I7226" s="663"/>
      <c r="J7226" s="643"/>
    </row>
    <row r="7227" spans="5:10" ht="15.75" hidden="1" thickBot="1">
      <c r="E7227" s="267"/>
      <c r="F7227" s="294" t="s">
        <v>234</v>
      </c>
      <c r="G7227" s="297" t="s">
        <v>235</v>
      </c>
      <c r="H7227" s="638">
        <f>SUM(H7148:H7207)</f>
        <v>0</v>
      </c>
      <c r="I7227" s="639"/>
      <c r="J7227" s="639">
        <f>SUM(H7227:I7227)</f>
        <v>0</v>
      </c>
    </row>
    <row r="7228" spans="5:10" ht="15.75" hidden="1" thickBot="1">
      <c r="F7228" s="294" t="s">
        <v>236</v>
      </c>
      <c r="G7228" s="297" t="s">
        <v>237</v>
      </c>
      <c r="J7228" s="639">
        <f t="shared" ref="J7228:J7242" si="235">SUM(H7228:I7228)</f>
        <v>0</v>
      </c>
    </row>
    <row r="7229" spans="5:10" ht="15.75" hidden="1" thickBot="1">
      <c r="F7229" s="294" t="s">
        <v>238</v>
      </c>
      <c r="G7229" s="297" t="s">
        <v>239</v>
      </c>
      <c r="J7229" s="639">
        <f t="shared" si="235"/>
        <v>0</v>
      </c>
    </row>
    <row r="7230" spans="5:10" ht="15.75" hidden="1" thickBot="1">
      <c r="F7230" s="294" t="s">
        <v>240</v>
      </c>
      <c r="G7230" s="297" t="s">
        <v>241</v>
      </c>
      <c r="J7230" s="639">
        <f t="shared" si="235"/>
        <v>0</v>
      </c>
    </row>
    <row r="7231" spans="5:10" ht="15.75" hidden="1" thickBot="1">
      <c r="F7231" s="294" t="s">
        <v>242</v>
      </c>
      <c r="G7231" s="297" t="s">
        <v>243</v>
      </c>
      <c r="J7231" s="639">
        <f t="shared" si="235"/>
        <v>0</v>
      </c>
    </row>
    <row r="7232" spans="5:10" ht="15.75" hidden="1" thickBot="1">
      <c r="F7232" s="294" t="s">
        <v>244</v>
      </c>
      <c r="G7232" s="297" t="s">
        <v>245</v>
      </c>
      <c r="J7232" s="639">
        <f t="shared" si="235"/>
        <v>0</v>
      </c>
    </row>
    <row r="7233" spans="3:10" ht="15.75" hidden="1" thickBot="1">
      <c r="F7233" s="294" t="s">
        <v>246</v>
      </c>
      <c r="G7233" s="683" t="s">
        <v>5121</v>
      </c>
      <c r="J7233" s="639">
        <f t="shared" si="235"/>
        <v>0</v>
      </c>
    </row>
    <row r="7234" spans="3:10" ht="15.75" hidden="1" thickBot="1">
      <c r="F7234" s="294" t="s">
        <v>247</v>
      </c>
      <c r="G7234" s="683" t="s">
        <v>5120</v>
      </c>
      <c r="J7234" s="639">
        <f t="shared" si="235"/>
        <v>0</v>
      </c>
    </row>
    <row r="7235" spans="3:10" ht="15.75" hidden="1" thickBot="1">
      <c r="F7235" s="294" t="s">
        <v>248</v>
      </c>
      <c r="G7235" s="297" t="s">
        <v>57</v>
      </c>
      <c r="J7235" s="639">
        <f t="shared" si="235"/>
        <v>0</v>
      </c>
    </row>
    <row r="7236" spans="3:10" ht="15.75" hidden="1" thickBot="1">
      <c r="F7236" s="294" t="s">
        <v>249</v>
      </c>
      <c r="G7236" s="297" t="s">
        <v>250</v>
      </c>
      <c r="J7236" s="639">
        <f t="shared" si="235"/>
        <v>0</v>
      </c>
    </row>
    <row r="7237" spans="3:10" ht="15.75" hidden="1" thickBot="1">
      <c r="F7237" s="294" t="s">
        <v>251</v>
      </c>
      <c r="G7237" s="297" t="s">
        <v>252</v>
      </c>
      <c r="J7237" s="639">
        <f t="shared" si="235"/>
        <v>0</v>
      </c>
    </row>
    <row r="7238" spans="3:10" ht="15.75" hidden="1" thickBot="1">
      <c r="F7238" s="294" t="s">
        <v>253</v>
      </c>
      <c r="G7238" s="297" t="s">
        <v>254</v>
      </c>
      <c r="J7238" s="639">
        <f t="shared" si="235"/>
        <v>0</v>
      </c>
    </row>
    <row r="7239" spans="3:10" ht="15.75" hidden="1" thickBot="1">
      <c r="F7239" s="294" t="s">
        <v>255</v>
      </c>
      <c r="G7239" s="297" t="s">
        <v>256</v>
      </c>
      <c r="J7239" s="639">
        <f t="shared" si="235"/>
        <v>0</v>
      </c>
    </row>
    <row r="7240" spans="3:10" ht="15.75" hidden="1" thickBot="1">
      <c r="F7240" s="294" t="s">
        <v>257</v>
      </c>
      <c r="G7240" s="297" t="s">
        <v>258</v>
      </c>
      <c r="J7240" s="639">
        <f t="shared" si="235"/>
        <v>0</v>
      </c>
    </row>
    <row r="7241" spans="3:10" ht="15.75" hidden="1" thickBot="1">
      <c r="F7241" s="294" t="s">
        <v>259</v>
      </c>
      <c r="G7241" s="297" t="s">
        <v>260</v>
      </c>
      <c r="J7241" s="639">
        <f t="shared" si="235"/>
        <v>0</v>
      </c>
    </row>
    <row r="7242" spans="3:10" ht="15.75" hidden="1" thickBot="1">
      <c r="F7242" s="294" t="s">
        <v>261</v>
      </c>
      <c r="G7242" s="297" t="s">
        <v>262</v>
      </c>
      <c r="H7242" s="638"/>
      <c r="I7242" s="639"/>
      <c r="J7242" s="639">
        <f t="shared" si="235"/>
        <v>0</v>
      </c>
    </row>
    <row r="7243" spans="3:10" ht="15.75" hidden="1" thickBot="1">
      <c r="G7243" s="274" t="s">
        <v>5017</v>
      </c>
      <c r="H7243" s="640">
        <f>SUM(H7227:H7242)</f>
        <v>0</v>
      </c>
      <c r="I7243" s="641">
        <f>SUM(I7228:I7242)</f>
        <v>0</v>
      </c>
      <c r="J7243" s="641">
        <f>SUM(J7227:J7242)</f>
        <v>0</v>
      </c>
    </row>
    <row r="7244" spans="3:10" hidden="1">
      <c r="G7244" s="331"/>
      <c r="H7244" s="644"/>
      <c r="I7244" s="645"/>
      <c r="J7244" s="645"/>
    </row>
    <row r="7245" spans="3:10" hidden="1">
      <c r="C7245" s="273" t="s">
        <v>4587</v>
      </c>
      <c r="D7245" s="264"/>
      <c r="G7245" s="563" t="s">
        <v>5083</v>
      </c>
    </row>
    <row r="7246" spans="3:10" hidden="1">
      <c r="C7246" s="273"/>
      <c r="D7246" s="357">
        <v>473</v>
      </c>
      <c r="E7246" s="357"/>
      <c r="F7246" s="357"/>
      <c r="G7246" s="383" t="s">
        <v>162</v>
      </c>
    </row>
    <row r="7247" spans="3:10" hidden="1">
      <c r="F7247" s="569">
        <v>411</v>
      </c>
      <c r="G7247" s="562" t="s">
        <v>4173</v>
      </c>
      <c r="J7247" s="635">
        <f>SUM(H7247:I7247)</f>
        <v>0</v>
      </c>
    </row>
    <row r="7248" spans="3:10" hidden="1">
      <c r="F7248" s="569">
        <v>412</v>
      </c>
      <c r="G7248" s="558" t="s">
        <v>3770</v>
      </c>
      <c r="J7248" s="635">
        <f t="shared" ref="J7248:J7255" si="236">SUM(H7248:I7248)</f>
        <v>0</v>
      </c>
    </row>
    <row r="7249" spans="6:10" hidden="1">
      <c r="F7249" s="569">
        <v>413</v>
      </c>
      <c r="G7249" s="562" t="s">
        <v>4174</v>
      </c>
      <c r="J7249" s="635">
        <f t="shared" si="236"/>
        <v>0</v>
      </c>
    </row>
    <row r="7250" spans="6:10" hidden="1">
      <c r="F7250" s="569">
        <v>414</v>
      </c>
      <c r="G7250" s="562" t="s">
        <v>3773</v>
      </c>
      <c r="J7250" s="635">
        <f t="shared" si="236"/>
        <v>0</v>
      </c>
    </row>
    <row r="7251" spans="6:10" hidden="1">
      <c r="F7251" s="569">
        <v>415</v>
      </c>
      <c r="G7251" s="562" t="s">
        <v>4183</v>
      </c>
      <c r="J7251" s="635">
        <f t="shared" si="236"/>
        <v>0</v>
      </c>
    </row>
    <row r="7252" spans="6:10" hidden="1">
      <c r="F7252" s="569">
        <v>416</v>
      </c>
      <c r="G7252" s="562" t="s">
        <v>4184</v>
      </c>
      <c r="J7252" s="635">
        <f t="shared" si="236"/>
        <v>0</v>
      </c>
    </row>
    <row r="7253" spans="6:10" hidden="1">
      <c r="F7253" s="569">
        <v>417</v>
      </c>
      <c r="G7253" s="562" t="s">
        <v>4185</v>
      </c>
      <c r="J7253" s="635">
        <f t="shared" si="236"/>
        <v>0</v>
      </c>
    </row>
    <row r="7254" spans="6:10" hidden="1">
      <c r="F7254" s="569">
        <v>418</v>
      </c>
      <c r="G7254" s="562" t="s">
        <v>3779</v>
      </c>
      <c r="J7254" s="635">
        <f t="shared" si="236"/>
        <v>0</v>
      </c>
    </row>
    <row r="7255" spans="6:10" hidden="1">
      <c r="F7255" s="569">
        <v>421</v>
      </c>
      <c r="G7255" s="562" t="s">
        <v>3783</v>
      </c>
      <c r="J7255" s="635">
        <f t="shared" si="236"/>
        <v>0</v>
      </c>
    </row>
    <row r="7256" spans="6:10" hidden="1">
      <c r="F7256" s="569">
        <v>422</v>
      </c>
      <c r="G7256" s="562" t="s">
        <v>3784</v>
      </c>
      <c r="J7256" s="635">
        <f>SUM(H7256:I7256)</f>
        <v>0</v>
      </c>
    </row>
    <row r="7257" spans="6:10" hidden="1">
      <c r="F7257" s="569">
        <v>423</v>
      </c>
      <c r="G7257" s="562" t="s">
        <v>3785</v>
      </c>
      <c r="J7257" s="635">
        <f t="shared" ref="J7257:J7306" si="237">SUM(H7257:I7257)</f>
        <v>0</v>
      </c>
    </row>
    <row r="7258" spans="6:10" ht="15.75" hidden="1" thickBot="1">
      <c r="F7258" s="569">
        <v>424</v>
      </c>
      <c r="G7258" s="562" t="s">
        <v>3787</v>
      </c>
      <c r="J7258" s="635">
        <f t="shared" si="237"/>
        <v>0</v>
      </c>
    </row>
    <row r="7259" spans="6:10" ht="15.75" hidden="1" thickBot="1">
      <c r="F7259" s="569">
        <v>425</v>
      </c>
      <c r="G7259" s="562" t="s">
        <v>4186</v>
      </c>
      <c r="J7259" s="635">
        <f t="shared" si="237"/>
        <v>0</v>
      </c>
    </row>
    <row r="7260" spans="6:10" ht="15.75" hidden="1" thickBot="1">
      <c r="F7260" s="569">
        <v>426</v>
      </c>
      <c r="G7260" s="562" t="s">
        <v>3791</v>
      </c>
      <c r="J7260" s="635">
        <f t="shared" si="237"/>
        <v>0</v>
      </c>
    </row>
    <row r="7261" spans="6:10" ht="15.75" hidden="1" thickBot="1">
      <c r="F7261" s="569">
        <v>431</v>
      </c>
      <c r="G7261" s="562" t="s">
        <v>4187</v>
      </c>
      <c r="J7261" s="635">
        <f t="shared" si="237"/>
        <v>0</v>
      </c>
    </row>
    <row r="7262" spans="6:10" ht="15.75" hidden="1" thickBot="1">
      <c r="F7262" s="569">
        <v>432</v>
      </c>
      <c r="G7262" s="562" t="s">
        <v>4188</v>
      </c>
      <c r="J7262" s="635">
        <f t="shared" si="237"/>
        <v>0</v>
      </c>
    </row>
    <row r="7263" spans="6:10" ht="15.75" hidden="1" thickBot="1">
      <c r="F7263" s="569">
        <v>433</v>
      </c>
      <c r="G7263" s="562" t="s">
        <v>4189</v>
      </c>
      <c r="J7263" s="635">
        <f t="shared" si="237"/>
        <v>0</v>
      </c>
    </row>
    <row r="7264" spans="6:10" ht="15.75" hidden="1" thickBot="1">
      <c r="F7264" s="569">
        <v>434</v>
      </c>
      <c r="G7264" s="562" t="s">
        <v>4190</v>
      </c>
      <c r="J7264" s="635">
        <f t="shared" si="237"/>
        <v>0</v>
      </c>
    </row>
    <row r="7265" spans="6:10" ht="15.75" hidden="1" thickBot="1">
      <c r="F7265" s="569">
        <v>435</v>
      </c>
      <c r="G7265" s="562" t="s">
        <v>3798</v>
      </c>
      <c r="J7265" s="635">
        <f t="shared" si="237"/>
        <v>0</v>
      </c>
    </row>
    <row r="7266" spans="6:10" ht="15.75" hidden="1" thickBot="1">
      <c r="F7266" s="569">
        <v>441</v>
      </c>
      <c r="G7266" s="562" t="s">
        <v>4191</v>
      </c>
      <c r="J7266" s="635">
        <f t="shared" si="237"/>
        <v>0</v>
      </c>
    </row>
    <row r="7267" spans="6:10" ht="15.75" hidden="1" thickBot="1">
      <c r="F7267" s="569">
        <v>442</v>
      </c>
      <c r="G7267" s="562" t="s">
        <v>4192</v>
      </c>
      <c r="J7267" s="635">
        <f t="shared" si="237"/>
        <v>0</v>
      </c>
    </row>
    <row r="7268" spans="6:10" ht="15.75" hidden="1" thickBot="1">
      <c r="F7268" s="569">
        <v>443</v>
      </c>
      <c r="G7268" s="562" t="s">
        <v>3803</v>
      </c>
      <c r="J7268" s="635">
        <f t="shared" si="237"/>
        <v>0</v>
      </c>
    </row>
    <row r="7269" spans="6:10" ht="15.75" hidden="1" thickBot="1">
      <c r="F7269" s="569">
        <v>444</v>
      </c>
      <c r="G7269" s="562" t="s">
        <v>3804</v>
      </c>
      <c r="J7269" s="635">
        <f t="shared" si="237"/>
        <v>0</v>
      </c>
    </row>
    <row r="7270" spans="6:10" ht="30.75" hidden="1" thickBot="1">
      <c r="F7270" s="569">
        <v>4511</v>
      </c>
      <c r="G7270" s="268" t="s">
        <v>1690</v>
      </c>
      <c r="J7270" s="635">
        <f t="shared" si="237"/>
        <v>0</v>
      </c>
    </row>
    <row r="7271" spans="6:10" ht="30.75" hidden="1" thickBot="1">
      <c r="F7271" s="569">
        <v>4512</v>
      </c>
      <c r="G7271" s="268" t="s">
        <v>1699</v>
      </c>
      <c r="J7271" s="635">
        <f t="shared" si="237"/>
        <v>0</v>
      </c>
    </row>
    <row r="7272" spans="6:10" ht="15.75" hidden="1" thickBot="1">
      <c r="F7272" s="569">
        <v>452</v>
      </c>
      <c r="G7272" s="562" t="s">
        <v>4193</v>
      </c>
      <c r="J7272" s="635">
        <f t="shared" si="237"/>
        <v>0</v>
      </c>
    </row>
    <row r="7273" spans="6:10" ht="15.75" hidden="1" thickBot="1">
      <c r="F7273" s="569">
        <v>453</v>
      </c>
      <c r="G7273" s="562" t="s">
        <v>4194</v>
      </c>
      <c r="J7273" s="635">
        <f t="shared" si="237"/>
        <v>0</v>
      </c>
    </row>
    <row r="7274" spans="6:10" ht="15.75" hidden="1" thickBot="1">
      <c r="F7274" s="569">
        <v>454</v>
      </c>
      <c r="G7274" s="562" t="s">
        <v>3809</v>
      </c>
      <c r="J7274" s="635">
        <f t="shared" si="237"/>
        <v>0</v>
      </c>
    </row>
    <row r="7275" spans="6:10" ht="15.75" hidden="1" thickBot="1">
      <c r="F7275" s="569">
        <v>461</v>
      </c>
      <c r="G7275" s="562" t="s">
        <v>4175</v>
      </c>
      <c r="J7275" s="635">
        <f t="shared" si="237"/>
        <v>0</v>
      </c>
    </row>
    <row r="7276" spans="6:10" ht="15.75" hidden="1" thickBot="1">
      <c r="F7276" s="569">
        <v>462</v>
      </c>
      <c r="G7276" s="562" t="s">
        <v>3812</v>
      </c>
      <c r="J7276" s="635">
        <f t="shared" si="237"/>
        <v>0</v>
      </c>
    </row>
    <row r="7277" spans="6:10" ht="15.75" hidden="1" thickBot="1">
      <c r="F7277" s="569">
        <v>4631</v>
      </c>
      <c r="G7277" s="562" t="s">
        <v>3813</v>
      </c>
      <c r="J7277" s="635">
        <f t="shared" si="237"/>
        <v>0</v>
      </c>
    </row>
    <row r="7278" spans="6:10" ht="15.75" hidden="1" thickBot="1">
      <c r="F7278" s="569">
        <v>4632</v>
      </c>
      <c r="G7278" s="562" t="s">
        <v>3814</v>
      </c>
      <c r="J7278" s="635">
        <f t="shared" si="237"/>
        <v>0</v>
      </c>
    </row>
    <row r="7279" spans="6:10" ht="15.75" hidden="1" thickBot="1">
      <c r="F7279" s="569">
        <v>464</v>
      </c>
      <c r="G7279" s="562" t="s">
        <v>3815</v>
      </c>
      <c r="J7279" s="635">
        <f t="shared" si="237"/>
        <v>0</v>
      </c>
    </row>
    <row r="7280" spans="6:10" ht="15.75" hidden="1" thickBot="1">
      <c r="F7280" s="569">
        <v>465</v>
      </c>
      <c r="G7280" s="562" t="s">
        <v>4176</v>
      </c>
      <c r="J7280" s="635">
        <f t="shared" si="237"/>
        <v>0</v>
      </c>
    </row>
    <row r="7281" spans="6:10" ht="15.75" hidden="1" thickBot="1">
      <c r="F7281" s="569">
        <v>472</v>
      </c>
      <c r="G7281" s="562" t="s">
        <v>3819</v>
      </c>
      <c r="J7281" s="635">
        <f t="shared" si="237"/>
        <v>0</v>
      </c>
    </row>
    <row r="7282" spans="6:10" ht="15.75" hidden="1" thickBot="1">
      <c r="F7282" s="569">
        <v>481</v>
      </c>
      <c r="G7282" s="562" t="s">
        <v>4195</v>
      </c>
      <c r="J7282" s="635">
        <f t="shared" si="237"/>
        <v>0</v>
      </c>
    </row>
    <row r="7283" spans="6:10" ht="15.75" hidden="1" thickBot="1">
      <c r="F7283" s="569">
        <v>482</v>
      </c>
      <c r="G7283" s="562" t="s">
        <v>4196</v>
      </c>
      <c r="J7283" s="635">
        <f t="shared" si="237"/>
        <v>0</v>
      </c>
    </row>
    <row r="7284" spans="6:10" ht="15.75" hidden="1" thickBot="1">
      <c r="F7284" s="569">
        <v>483</v>
      </c>
      <c r="G7284" s="566" t="s">
        <v>4197</v>
      </c>
      <c r="J7284" s="635">
        <f t="shared" si="237"/>
        <v>0</v>
      </c>
    </row>
    <row r="7285" spans="6:10" ht="30.75" hidden="1" thickBot="1">
      <c r="F7285" s="569">
        <v>484</v>
      </c>
      <c r="G7285" s="562" t="s">
        <v>4198</v>
      </c>
      <c r="J7285" s="635">
        <f t="shared" si="237"/>
        <v>0</v>
      </c>
    </row>
    <row r="7286" spans="6:10" ht="30.75" hidden="1" thickBot="1">
      <c r="F7286" s="569">
        <v>485</v>
      </c>
      <c r="G7286" s="562" t="s">
        <v>4199</v>
      </c>
      <c r="J7286" s="635">
        <f t="shared" si="237"/>
        <v>0</v>
      </c>
    </row>
    <row r="7287" spans="6:10" ht="30.75" hidden="1" thickBot="1">
      <c r="F7287" s="569">
        <v>489</v>
      </c>
      <c r="G7287" s="562" t="s">
        <v>3827</v>
      </c>
      <c r="J7287" s="635">
        <f t="shared" si="237"/>
        <v>0</v>
      </c>
    </row>
    <row r="7288" spans="6:10" ht="15.75" hidden="1" thickBot="1">
      <c r="F7288" s="569">
        <v>494</v>
      </c>
      <c r="G7288" s="562" t="s">
        <v>4177</v>
      </c>
      <c r="J7288" s="635">
        <f t="shared" si="237"/>
        <v>0</v>
      </c>
    </row>
    <row r="7289" spans="6:10" ht="30.75" hidden="1" thickBot="1">
      <c r="F7289" s="569">
        <v>495</v>
      </c>
      <c r="G7289" s="562" t="s">
        <v>4178</v>
      </c>
      <c r="J7289" s="635">
        <f t="shared" si="237"/>
        <v>0</v>
      </c>
    </row>
    <row r="7290" spans="6:10" ht="30.75" hidden="1" thickBot="1">
      <c r="F7290" s="569">
        <v>496</v>
      </c>
      <c r="G7290" s="562" t="s">
        <v>4179</v>
      </c>
      <c r="J7290" s="635">
        <f t="shared" si="237"/>
        <v>0</v>
      </c>
    </row>
    <row r="7291" spans="6:10" ht="15.75" hidden="1" thickBot="1">
      <c r="F7291" s="569">
        <v>499</v>
      </c>
      <c r="G7291" s="562" t="s">
        <v>4180</v>
      </c>
      <c r="J7291" s="635">
        <f t="shared" si="237"/>
        <v>0</v>
      </c>
    </row>
    <row r="7292" spans="6:10" ht="15.75" hidden="1" thickBot="1">
      <c r="F7292" s="569">
        <v>511</v>
      </c>
      <c r="G7292" s="566" t="s">
        <v>4200</v>
      </c>
      <c r="J7292" s="635">
        <f t="shared" si="237"/>
        <v>0</v>
      </c>
    </row>
    <row r="7293" spans="6:10" ht="15.75" hidden="1" thickBot="1">
      <c r="F7293" s="569">
        <v>512</v>
      </c>
      <c r="G7293" s="566" t="s">
        <v>4201</v>
      </c>
      <c r="J7293" s="635">
        <f t="shared" si="237"/>
        <v>0</v>
      </c>
    </row>
    <row r="7294" spans="6:10" ht="15.75" hidden="1" thickBot="1">
      <c r="F7294" s="569">
        <v>513</v>
      </c>
      <c r="G7294" s="566" t="s">
        <v>4202</v>
      </c>
      <c r="J7294" s="635">
        <f t="shared" si="237"/>
        <v>0</v>
      </c>
    </row>
    <row r="7295" spans="6:10" ht="15.75" hidden="1" thickBot="1">
      <c r="F7295" s="569">
        <v>514</v>
      </c>
      <c r="G7295" s="562" t="s">
        <v>4203</v>
      </c>
      <c r="J7295" s="635">
        <f t="shared" si="237"/>
        <v>0</v>
      </c>
    </row>
    <row r="7296" spans="6:10" ht="15.75" hidden="1" thickBot="1">
      <c r="F7296" s="569">
        <v>515</v>
      </c>
      <c r="G7296" s="562" t="s">
        <v>3838</v>
      </c>
      <c r="J7296" s="635">
        <f t="shared" si="237"/>
        <v>0</v>
      </c>
    </row>
    <row r="7297" spans="5:10" ht="15.75" hidden="1" thickBot="1">
      <c r="F7297" s="569">
        <v>521</v>
      </c>
      <c r="G7297" s="562" t="s">
        <v>4204</v>
      </c>
      <c r="J7297" s="635">
        <f t="shared" si="237"/>
        <v>0</v>
      </c>
    </row>
    <row r="7298" spans="5:10" ht="15.75" hidden="1" thickBot="1">
      <c r="F7298" s="569">
        <v>522</v>
      </c>
      <c r="G7298" s="562" t="s">
        <v>4205</v>
      </c>
      <c r="J7298" s="635">
        <f t="shared" si="237"/>
        <v>0</v>
      </c>
    </row>
    <row r="7299" spans="5:10" ht="15.75" hidden="1" thickBot="1">
      <c r="F7299" s="569">
        <v>523</v>
      </c>
      <c r="G7299" s="562" t="s">
        <v>3843</v>
      </c>
      <c r="J7299" s="635">
        <f t="shared" si="237"/>
        <v>0</v>
      </c>
    </row>
    <row r="7300" spans="5:10" ht="15.75" hidden="1" thickBot="1">
      <c r="F7300" s="569">
        <v>531</v>
      </c>
      <c r="G7300" s="558" t="s">
        <v>4181</v>
      </c>
      <c r="J7300" s="635">
        <f t="shared" si="237"/>
        <v>0</v>
      </c>
    </row>
    <row r="7301" spans="5:10" ht="15.75" hidden="1" thickBot="1">
      <c r="F7301" s="569">
        <v>541</v>
      </c>
      <c r="G7301" s="562" t="s">
        <v>4206</v>
      </c>
      <c r="J7301" s="635">
        <f t="shared" si="237"/>
        <v>0</v>
      </c>
    </row>
    <row r="7302" spans="5:10" ht="15.75" hidden="1" thickBot="1">
      <c r="F7302" s="569">
        <v>542</v>
      </c>
      <c r="G7302" s="562" t="s">
        <v>4207</v>
      </c>
      <c r="J7302" s="635">
        <f t="shared" si="237"/>
        <v>0</v>
      </c>
    </row>
    <row r="7303" spans="5:10" ht="15.75" hidden="1" thickBot="1">
      <c r="F7303" s="569">
        <v>543</v>
      </c>
      <c r="G7303" s="562" t="s">
        <v>3848</v>
      </c>
      <c r="J7303" s="635">
        <f t="shared" si="237"/>
        <v>0</v>
      </c>
    </row>
    <row r="7304" spans="5:10" ht="30.75" hidden="1" thickBot="1">
      <c r="F7304" s="569">
        <v>551</v>
      </c>
      <c r="G7304" s="562" t="s">
        <v>4182</v>
      </c>
      <c r="J7304" s="635">
        <f t="shared" si="237"/>
        <v>0</v>
      </c>
    </row>
    <row r="7305" spans="5:10" ht="15.75" hidden="1" thickBot="1">
      <c r="F7305" s="570">
        <v>611</v>
      </c>
      <c r="G7305" s="568" t="s">
        <v>3854</v>
      </c>
      <c r="J7305" s="635">
        <f t="shared" si="237"/>
        <v>0</v>
      </c>
    </row>
    <row r="7306" spans="5:10" ht="15.75" hidden="1" thickBot="1">
      <c r="F7306" s="570">
        <v>620</v>
      </c>
      <c r="G7306" s="568" t="s">
        <v>88</v>
      </c>
      <c r="J7306" s="635">
        <f t="shared" si="237"/>
        <v>0</v>
      </c>
    </row>
    <row r="7307" spans="5:10" hidden="1">
      <c r="E7307" s="559"/>
      <c r="F7307" s="570"/>
      <c r="G7307" s="372" t="s">
        <v>4396</v>
      </c>
      <c r="H7307" s="636"/>
      <c r="I7307" s="662"/>
      <c r="J7307" s="637"/>
    </row>
    <row r="7308" spans="5:10" ht="15.75" hidden="1" thickBot="1">
      <c r="E7308" s="267"/>
      <c r="F7308" s="294" t="s">
        <v>234</v>
      </c>
      <c r="G7308" s="297" t="s">
        <v>235</v>
      </c>
      <c r="H7308" s="638">
        <f>SUM(H7247:H7306)</f>
        <v>0</v>
      </c>
      <c r="I7308" s="639"/>
      <c r="J7308" s="639">
        <f t="shared" ref="J7308:J7323" si="238">SUM(H7308:I7308)</f>
        <v>0</v>
      </c>
    </row>
    <row r="7309" spans="5:10" ht="15.75" hidden="1" thickBot="1">
      <c r="F7309" s="294" t="s">
        <v>236</v>
      </c>
      <c r="G7309" s="297" t="s">
        <v>237</v>
      </c>
      <c r="J7309" s="639">
        <f t="shared" si="238"/>
        <v>0</v>
      </c>
    </row>
    <row r="7310" spans="5:10" ht="15.75" hidden="1" thickBot="1">
      <c r="F7310" s="294" t="s">
        <v>238</v>
      </c>
      <c r="G7310" s="297" t="s">
        <v>239</v>
      </c>
      <c r="J7310" s="639">
        <f t="shared" si="238"/>
        <v>0</v>
      </c>
    </row>
    <row r="7311" spans="5:10" ht="15.75" hidden="1" thickBot="1">
      <c r="F7311" s="294" t="s">
        <v>240</v>
      </c>
      <c r="G7311" s="297" t="s">
        <v>241</v>
      </c>
      <c r="J7311" s="639">
        <f t="shared" si="238"/>
        <v>0</v>
      </c>
    </row>
    <row r="7312" spans="5:10" ht="15.75" hidden="1" thickBot="1">
      <c r="F7312" s="294" t="s">
        <v>242</v>
      </c>
      <c r="G7312" s="297" t="s">
        <v>243</v>
      </c>
      <c r="J7312" s="639">
        <f t="shared" si="238"/>
        <v>0</v>
      </c>
    </row>
    <row r="7313" spans="5:10" ht="15.75" hidden="1" thickBot="1">
      <c r="F7313" s="294" t="s">
        <v>244</v>
      </c>
      <c r="G7313" s="297" t="s">
        <v>245</v>
      </c>
      <c r="J7313" s="639">
        <f t="shared" si="238"/>
        <v>0</v>
      </c>
    </row>
    <row r="7314" spans="5:10" ht="15.75" hidden="1" thickBot="1">
      <c r="F7314" s="294" t="s">
        <v>246</v>
      </c>
      <c r="G7314" s="683" t="s">
        <v>5121</v>
      </c>
      <c r="J7314" s="639">
        <f t="shared" si="238"/>
        <v>0</v>
      </c>
    </row>
    <row r="7315" spans="5:10" ht="15.75" hidden="1" thickBot="1">
      <c r="F7315" s="294" t="s">
        <v>247</v>
      </c>
      <c r="G7315" s="683" t="s">
        <v>5120</v>
      </c>
      <c r="J7315" s="639">
        <f t="shared" si="238"/>
        <v>0</v>
      </c>
    </row>
    <row r="7316" spans="5:10" ht="15.75" hidden="1" thickBot="1">
      <c r="F7316" s="294" t="s">
        <v>248</v>
      </c>
      <c r="G7316" s="297" t="s">
        <v>57</v>
      </c>
      <c r="J7316" s="639">
        <f t="shared" si="238"/>
        <v>0</v>
      </c>
    </row>
    <row r="7317" spans="5:10" ht="15.75" hidden="1" thickBot="1">
      <c r="F7317" s="294" t="s">
        <v>249</v>
      </c>
      <c r="G7317" s="297" t="s">
        <v>250</v>
      </c>
      <c r="J7317" s="639">
        <f t="shared" si="238"/>
        <v>0</v>
      </c>
    </row>
    <row r="7318" spans="5:10" ht="15.75" hidden="1" thickBot="1">
      <c r="F7318" s="294" t="s">
        <v>251</v>
      </c>
      <c r="G7318" s="297" t="s">
        <v>252</v>
      </c>
      <c r="J7318" s="639">
        <f t="shared" si="238"/>
        <v>0</v>
      </c>
    </row>
    <row r="7319" spans="5:10" ht="15.75" hidden="1" thickBot="1">
      <c r="F7319" s="294" t="s">
        <v>253</v>
      </c>
      <c r="G7319" s="297" t="s">
        <v>254</v>
      </c>
      <c r="J7319" s="639">
        <f t="shared" si="238"/>
        <v>0</v>
      </c>
    </row>
    <row r="7320" spans="5:10" ht="15.75" hidden="1" thickBot="1">
      <c r="F7320" s="294" t="s">
        <v>255</v>
      </c>
      <c r="G7320" s="297" t="s">
        <v>256</v>
      </c>
      <c r="J7320" s="639">
        <f t="shared" si="238"/>
        <v>0</v>
      </c>
    </row>
    <row r="7321" spans="5:10" ht="15.75" hidden="1" thickBot="1">
      <c r="F7321" s="294" t="s">
        <v>257</v>
      </c>
      <c r="G7321" s="297" t="s">
        <v>258</v>
      </c>
      <c r="J7321" s="639">
        <f t="shared" si="238"/>
        <v>0</v>
      </c>
    </row>
    <row r="7322" spans="5:10" ht="15.75" hidden="1" thickBot="1">
      <c r="F7322" s="294" t="s">
        <v>259</v>
      </c>
      <c r="G7322" s="297" t="s">
        <v>260</v>
      </c>
      <c r="J7322" s="639">
        <f t="shared" si="238"/>
        <v>0</v>
      </c>
    </row>
    <row r="7323" spans="5:10" ht="15.75" hidden="1" thickBot="1">
      <c r="F7323" s="294" t="s">
        <v>261</v>
      </c>
      <c r="G7323" s="297" t="s">
        <v>262</v>
      </c>
      <c r="H7323" s="638"/>
      <c r="I7323" s="639"/>
      <c r="J7323" s="639">
        <f t="shared" si="238"/>
        <v>0</v>
      </c>
    </row>
    <row r="7324" spans="5:10" ht="15.75" hidden="1" thickBot="1">
      <c r="G7324" s="274" t="s">
        <v>4397</v>
      </c>
      <c r="H7324" s="640">
        <f>SUM(H7308:H7323)</f>
        <v>0</v>
      </c>
      <c r="I7324" s="641">
        <f>SUM(I7309:I7323)</f>
        <v>0</v>
      </c>
      <c r="J7324" s="641">
        <f>SUM(J7308:J7323)</f>
        <v>0</v>
      </c>
    </row>
    <row r="7325" spans="5:10" hidden="1">
      <c r="E7325" s="559"/>
      <c r="F7325" s="570"/>
      <c r="G7325" s="276" t="s">
        <v>5084</v>
      </c>
      <c r="H7325" s="642"/>
      <c r="I7325" s="663"/>
      <c r="J7325" s="643"/>
    </row>
    <row r="7326" spans="5:10" ht="15.75" hidden="1" thickBot="1">
      <c r="E7326" s="267"/>
      <c r="F7326" s="294" t="s">
        <v>234</v>
      </c>
      <c r="G7326" s="297" t="s">
        <v>235</v>
      </c>
      <c r="H7326" s="638">
        <f>SUM(H7247:H7306)</f>
        <v>0</v>
      </c>
      <c r="I7326" s="639"/>
      <c r="J7326" s="639">
        <f>SUM(H7326:I7326)</f>
        <v>0</v>
      </c>
    </row>
    <row r="7327" spans="5:10" ht="15.75" hidden="1" thickBot="1">
      <c r="F7327" s="294" t="s">
        <v>236</v>
      </c>
      <c r="G7327" s="297" t="s">
        <v>237</v>
      </c>
      <c r="J7327" s="639">
        <f t="shared" ref="J7327:J7341" si="239">SUM(H7327:I7327)</f>
        <v>0</v>
      </c>
    </row>
    <row r="7328" spans="5:10" ht="15.75" hidden="1" thickBot="1">
      <c r="F7328" s="294" t="s">
        <v>238</v>
      </c>
      <c r="G7328" s="297" t="s">
        <v>239</v>
      </c>
      <c r="J7328" s="639">
        <f t="shared" si="239"/>
        <v>0</v>
      </c>
    </row>
    <row r="7329" spans="5:10" ht="15.75" hidden="1" thickBot="1">
      <c r="F7329" s="294" t="s">
        <v>240</v>
      </c>
      <c r="G7329" s="297" t="s">
        <v>241</v>
      </c>
      <c r="J7329" s="639">
        <f t="shared" si="239"/>
        <v>0</v>
      </c>
    </row>
    <row r="7330" spans="5:10" ht="15.75" hidden="1" thickBot="1">
      <c r="F7330" s="294" t="s">
        <v>242</v>
      </c>
      <c r="G7330" s="297" t="s">
        <v>243</v>
      </c>
      <c r="J7330" s="639">
        <f t="shared" si="239"/>
        <v>0</v>
      </c>
    </row>
    <row r="7331" spans="5:10" ht="15.75" hidden="1" thickBot="1">
      <c r="F7331" s="294" t="s">
        <v>244</v>
      </c>
      <c r="G7331" s="297" t="s">
        <v>245</v>
      </c>
      <c r="J7331" s="639">
        <f t="shared" si="239"/>
        <v>0</v>
      </c>
    </row>
    <row r="7332" spans="5:10" ht="15.75" hidden="1" thickBot="1">
      <c r="F7332" s="294" t="s">
        <v>246</v>
      </c>
      <c r="G7332" s="683" t="s">
        <v>5121</v>
      </c>
      <c r="J7332" s="639">
        <f t="shared" si="239"/>
        <v>0</v>
      </c>
    </row>
    <row r="7333" spans="5:10" ht="15.75" hidden="1" thickBot="1">
      <c r="F7333" s="294" t="s">
        <v>247</v>
      </c>
      <c r="G7333" s="683" t="s">
        <v>5120</v>
      </c>
      <c r="J7333" s="639">
        <f t="shared" si="239"/>
        <v>0</v>
      </c>
    </row>
    <row r="7334" spans="5:10" ht="15.75" hidden="1" thickBot="1">
      <c r="F7334" s="294" t="s">
        <v>248</v>
      </c>
      <c r="G7334" s="297" t="s">
        <v>57</v>
      </c>
      <c r="J7334" s="639">
        <f t="shared" si="239"/>
        <v>0</v>
      </c>
    </row>
    <row r="7335" spans="5:10" ht="15.75" hidden="1" thickBot="1">
      <c r="F7335" s="294" t="s">
        <v>249</v>
      </c>
      <c r="G7335" s="297" t="s">
        <v>250</v>
      </c>
      <c r="J7335" s="639">
        <f t="shared" si="239"/>
        <v>0</v>
      </c>
    </row>
    <row r="7336" spans="5:10" ht="15.75" hidden="1" thickBot="1">
      <c r="F7336" s="294" t="s">
        <v>251</v>
      </c>
      <c r="G7336" s="297" t="s">
        <v>252</v>
      </c>
      <c r="J7336" s="639">
        <f t="shared" si="239"/>
        <v>0</v>
      </c>
    </row>
    <row r="7337" spans="5:10" ht="15.75" hidden="1" thickBot="1">
      <c r="F7337" s="294" t="s">
        <v>253</v>
      </c>
      <c r="G7337" s="297" t="s">
        <v>254</v>
      </c>
      <c r="J7337" s="639">
        <f t="shared" si="239"/>
        <v>0</v>
      </c>
    </row>
    <row r="7338" spans="5:10" ht="15.75" hidden="1" thickBot="1">
      <c r="F7338" s="294" t="s">
        <v>255</v>
      </c>
      <c r="G7338" s="297" t="s">
        <v>256</v>
      </c>
      <c r="J7338" s="639">
        <f t="shared" si="239"/>
        <v>0</v>
      </c>
    </row>
    <row r="7339" spans="5:10" ht="15.75" hidden="1" thickBot="1">
      <c r="F7339" s="294" t="s">
        <v>257</v>
      </c>
      <c r="G7339" s="297" t="s">
        <v>258</v>
      </c>
      <c r="J7339" s="639">
        <f t="shared" si="239"/>
        <v>0</v>
      </c>
    </row>
    <row r="7340" spans="5:10" ht="15.75" hidden="1" thickBot="1">
      <c r="F7340" s="294" t="s">
        <v>259</v>
      </c>
      <c r="G7340" s="297" t="s">
        <v>260</v>
      </c>
      <c r="J7340" s="639">
        <f t="shared" si="239"/>
        <v>0</v>
      </c>
    </row>
    <row r="7341" spans="5:10" ht="15.75" hidden="1" thickBot="1">
      <c r="F7341" s="294" t="s">
        <v>261</v>
      </c>
      <c r="G7341" s="297" t="s">
        <v>262</v>
      </c>
      <c r="H7341" s="638"/>
      <c r="I7341" s="639"/>
      <c r="J7341" s="639">
        <f t="shared" si="239"/>
        <v>0</v>
      </c>
    </row>
    <row r="7342" spans="5:10" ht="15.75" hidden="1" thickBot="1">
      <c r="G7342" s="274" t="s">
        <v>5085</v>
      </c>
      <c r="H7342" s="640">
        <f>SUM(H7326:H7341)</f>
        <v>0</v>
      </c>
      <c r="I7342" s="641">
        <f>SUM(I7327:I7341)</f>
        <v>0</v>
      </c>
      <c r="J7342" s="641">
        <f>SUM(J7326:J7341)</f>
        <v>0</v>
      </c>
    </row>
    <row r="7343" spans="5:10" hidden="1">
      <c r="G7343" s="331"/>
      <c r="H7343" s="644"/>
      <c r="I7343" s="645"/>
      <c r="J7343" s="645"/>
    </row>
    <row r="7344" spans="5:10">
      <c r="E7344" s="391"/>
      <c r="F7344" s="403"/>
      <c r="G7344" s="295" t="s">
        <v>4302</v>
      </c>
      <c r="H7344" s="646"/>
      <c r="I7344" s="664"/>
      <c r="J7344" s="647"/>
    </row>
    <row r="7345" spans="5:10">
      <c r="E7345" s="267"/>
      <c r="F7345" s="294" t="s">
        <v>234</v>
      </c>
      <c r="G7345" s="297" t="s">
        <v>235</v>
      </c>
      <c r="H7345" s="638">
        <f>SUM(H7128,H7029,H6930,H6831,H6732,H7326,H7227)</f>
        <v>11561000</v>
      </c>
      <c r="I7345" s="639"/>
      <c r="J7345" s="639">
        <f>SUM(H7345:I7345)</f>
        <v>11561000</v>
      </c>
    </row>
    <row r="7346" spans="5:10" ht="15.75" hidden="1" thickBot="1">
      <c r="F7346" s="294" t="s">
        <v>236</v>
      </c>
      <c r="G7346" s="297" t="s">
        <v>237</v>
      </c>
      <c r="J7346" s="639">
        <f t="shared" ref="J7346:J7360" si="240">SUM(H7346:I7346)</f>
        <v>0</v>
      </c>
    </row>
    <row r="7347" spans="5:10" ht="15.75" hidden="1" thickBot="1">
      <c r="F7347" s="294" t="s">
        <v>238</v>
      </c>
      <c r="G7347" s="297" t="s">
        <v>239</v>
      </c>
      <c r="J7347" s="639">
        <f t="shared" si="240"/>
        <v>0</v>
      </c>
    </row>
    <row r="7348" spans="5:10" ht="15.75" hidden="1" thickBot="1">
      <c r="F7348" s="294" t="s">
        <v>240</v>
      </c>
      <c r="G7348" s="297" t="s">
        <v>241</v>
      </c>
      <c r="J7348" s="639">
        <f t="shared" si="240"/>
        <v>0</v>
      </c>
    </row>
    <row r="7349" spans="5:10" ht="15.75" hidden="1" thickBot="1">
      <c r="F7349" s="294" t="s">
        <v>242</v>
      </c>
      <c r="G7349" s="297" t="s">
        <v>243</v>
      </c>
      <c r="J7349" s="639">
        <f t="shared" si="240"/>
        <v>0</v>
      </c>
    </row>
    <row r="7350" spans="5:10" ht="15.75" hidden="1" thickBot="1">
      <c r="F7350" s="294" t="s">
        <v>244</v>
      </c>
      <c r="G7350" s="297" t="s">
        <v>245</v>
      </c>
      <c r="J7350" s="639">
        <f t="shared" si="240"/>
        <v>0</v>
      </c>
    </row>
    <row r="7351" spans="5:10" ht="15.75" hidden="1" thickBot="1">
      <c r="F7351" s="294" t="s">
        <v>246</v>
      </c>
      <c r="G7351" s="683" t="s">
        <v>5121</v>
      </c>
      <c r="J7351" s="639">
        <f t="shared" si="240"/>
        <v>0</v>
      </c>
    </row>
    <row r="7352" spans="5:10" ht="15.75" hidden="1" thickBot="1">
      <c r="F7352" s="294" t="s">
        <v>247</v>
      </c>
      <c r="G7352" s="683" t="s">
        <v>5120</v>
      </c>
      <c r="J7352" s="639">
        <f t="shared" si="240"/>
        <v>0</v>
      </c>
    </row>
    <row r="7353" spans="5:10" ht="15.75" hidden="1" thickBot="1">
      <c r="F7353" s="294" t="s">
        <v>248</v>
      </c>
      <c r="G7353" s="297" t="s">
        <v>57</v>
      </c>
      <c r="J7353" s="639">
        <f t="shared" si="240"/>
        <v>0</v>
      </c>
    </row>
    <row r="7354" spans="5:10" ht="15.75" hidden="1" thickBot="1">
      <c r="F7354" s="294" t="s">
        <v>249</v>
      </c>
      <c r="G7354" s="297" t="s">
        <v>250</v>
      </c>
      <c r="J7354" s="639">
        <f t="shared" si="240"/>
        <v>0</v>
      </c>
    </row>
    <row r="7355" spans="5:10" ht="15.75" hidden="1" thickBot="1">
      <c r="F7355" s="294" t="s">
        <v>251</v>
      </c>
      <c r="G7355" s="297" t="s">
        <v>252</v>
      </c>
      <c r="J7355" s="639">
        <f t="shared" si="240"/>
        <v>0</v>
      </c>
    </row>
    <row r="7356" spans="5:10" ht="15.75" hidden="1" thickBot="1">
      <c r="F7356" s="294" t="s">
        <v>253</v>
      </c>
      <c r="G7356" s="297" t="s">
        <v>254</v>
      </c>
      <c r="J7356" s="639">
        <f t="shared" si="240"/>
        <v>0</v>
      </c>
    </row>
    <row r="7357" spans="5:10" ht="15.75" hidden="1" thickBot="1">
      <c r="F7357" s="294" t="s">
        <v>255</v>
      </c>
      <c r="G7357" s="297" t="s">
        <v>256</v>
      </c>
      <c r="J7357" s="639">
        <f t="shared" si="240"/>
        <v>0</v>
      </c>
    </row>
    <row r="7358" spans="5:10" ht="15.75" hidden="1" thickBot="1">
      <c r="F7358" s="294" t="s">
        <v>257</v>
      </c>
      <c r="G7358" s="297" t="s">
        <v>258</v>
      </c>
      <c r="J7358" s="639">
        <f t="shared" si="240"/>
        <v>0</v>
      </c>
    </row>
    <row r="7359" spans="5:10" ht="15.75" hidden="1" thickBot="1">
      <c r="F7359" s="294" t="s">
        <v>259</v>
      </c>
      <c r="G7359" s="297" t="s">
        <v>260</v>
      </c>
      <c r="J7359" s="639">
        <f t="shared" si="240"/>
        <v>0</v>
      </c>
    </row>
    <row r="7360" spans="5:10" ht="15" customHeight="1" thickBot="1">
      <c r="F7360" s="771" t="s">
        <v>240</v>
      </c>
      <c r="G7360" s="683" t="s">
        <v>241</v>
      </c>
      <c r="H7360" s="638"/>
      <c r="I7360" s="639">
        <f>SUM(I6748)</f>
        <v>1300000</v>
      </c>
      <c r="J7360" s="639">
        <f t="shared" si="240"/>
        <v>1300000</v>
      </c>
    </row>
    <row r="7361" spans="1:25" ht="12.75" customHeight="1" thickBot="1">
      <c r="G7361" s="274" t="s">
        <v>4303</v>
      </c>
      <c r="H7361" s="640">
        <f>SUM(H7345:H7360)</f>
        <v>11561000</v>
      </c>
      <c r="I7361" s="641">
        <f>SUM(I7360)</f>
        <v>1300000</v>
      </c>
      <c r="J7361" s="641">
        <f>SUM(J7345:J7360)</f>
        <v>12861000</v>
      </c>
    </row>
    <row r="7362" spans="1:25" hidden="1">
      <c r="G7362" s="331"/>
      <c r="H7362" s="644"/>
      <c r="I7362" s="645"/>
      <c r="J7362" s="645"/>
    </row>
    <row r="7363" spans="1:25" s="88" customFormat="1">
      <c r="A7363" s="342"/>
      <c r="B7363" s="301"/>
      <c r="C7363" s="361"/>
      <c r="D7363" s="296"/>
      <c r="E7363" s="296"/>
      <c r="F7363" s="346"/>
      <c r="G7363" s="295" t="s">
        <v>4304</v>
      </c>
      <c r="H7363" s="646"/>
      <c r="I7363" s="664"/>
      <c r="J7363" s="647"/>
      <c r="K7363" s="575"/>
      <c r="L7363" s="575"/>
      <c r="M7363" s="575"/>
      <c r="N7363" s="575"/>
      <c r="O7363" s="575"/>
      <c r="P7363" s="575"/>
      <c r="Q7363" s="575"/>
      <c r="R7363" s="575"/>
      <c r="S7363" s="575"/>
      <c r="T7363" s="575"/>
      <c r="U7363" s="575"/>
      <c r="V7363" s="575"/>
      <c r="W7363" s="575"/>
      <c r="X7363" s="575"/>
      <c r="Y7363" s="575"/>
    </row>
    <row r="7364" spans="1:25" s="88" customFormat="1">
      <c r="A7364" s="342"/>
      <c r="B7364" s="301"/>
      <c r="C7364" s="361"/>
      <c r="D7364" s="296"/>
      <c r="E7364" s="296"/>
      <c r="F7364" s="294" t="s">
        <v>234</v>
      </c>
      <c r="G7364" s="297" t="s">
        <v>235</v>
      </c>
      <c r="H7364" s="638">
        <f>SUM(H7345)</f>
        <v>11561000</v>
      </c>
      <c r="I7364" s="639"/>
      <c r="J7364" s="639">
        <f>SUM(H7364:I7364)</f>
        <v>11561000</v>
      </c>
      <c r="K7364" s="575"/>
      <c r="L7364" s="575"/>
      <c r="M7364" s="575"/>
      <c r="N7364" s="575"/>
      <c r="O7364" s="575"/>
      <c r="P7364" s="575"/>
      <c r="Q7364" s="575"/>
      <c r="R7364" s="575"/>
      <c r="S7364" s="575"/>
      <c r="T7364" s="575"/>
      <c r="U7364" s="575"/>
      <c r="V7364" s="575"/>
      <c r="W7364" s="575"/>
      <c r="X7364" s="575"/>
      <c r="Y7364" s="575"/>
    </row>
    <row r="7365" spans="1:25" s="88" customFormat="1" ht="15.75" hidden="1" thickBot="1">
      <c r="A7365" s="342"/>
      <c r="B7365" s="301"/>
      <c r="C7365" s="361"/>
      <c r="D7365" s="296"/>
      <c r="E7365" s="296"/>
      <c r="F7365" s="294" t="s">
        <v>236</v>
      </c>
      <c r="G7365" s="297" t="s">
        <v>237</v>
      </c>
      <c r="H7365" s="634"/>
      <c r="I7365" s="635"/>
      <c r="J7365" s="639">
        <f t="shared" ref="J7365:J7379" si="241">SUM(H7365:I7365)</f>
        <v>0</v>
      </c>
      <c r="K7365" s="575"/>
      <c r="L7365" s="575"/>
      <c r="M7365" s="575"/>
      <c r="N7365" s="575"/>
      <c r="O7365" s="575"/>
      <c r="P7365" s="575"/>
      <c r="Q7365" s="575"/>
      <c r="R7365" s="575"/>
      <c r="S7365" s="575"/>
      <c r="T7365" s="575"/>
      <c r="U7365" s="575"/>
      <c r="V7365" s="575"/>
      <c r="W7365" s="575"/>
      <c r="X7365" s="575"/>
      <c r="Y7365" s="575"/>
    </row>
    <row r="7366" spans="1:25" s="88" customFormat="1" ht="15.75" hidden="1" thickBot="1">
      <c r="A7366" s="342"/>
      <c r="B7366" s="301"/>
      <c r="C7366" s="361"/>
      <c r="D7366" s="296"/>
      <c r="E7366" s="296"/>
      <c r="F7366" s="294" t="s">
        <v>238</v>
      </c>
      <c r="G7366" s="297" t="s">
        <v>239</v>
      </c>
      <c r="H7366" s="634"/>
      <c r="I7366" s="635"/>
      <c r="J7366" s="639">
        <f t="shared" si="241"/>
        <v>0</v>
      </c>
      <c r="K7366" s="575"/>
      <c r="L7366" s="575"/>
      <c r="M7366" s="575"/>
      <c r="N7366" s="575"/>
      <c r="O7366" s="575"/>
      <c r="P7366" s="575"/>
      <c r="Q7366" s="575"/>
      <c r="R7366" s="575"/>
      <c r="S7366" s="575"/>
      <c r="T7366" s="575"/>
      <c r="U7366" s="575"/>
      <c r="V7366" s="575"/>
      <c r="W7366" s="575"/>
      <c r="X7366" s="575"/>
      <c r="Y7366" s="575"/>
    </row>
    <row r="7367" spans="1:25" s="88" customFormat="1" ht="15.75" hidden="1" thickBot="1">
      <c r="A7367" s="342"/>
      <c r="B7367" s="301"/>
      <c r="C7367" s="361"/>
      <c r="D7367" s="296"/>
      <c r="E7367" s="296"/>
      <c r="F7367" s="294" t="s">
        <v>240</v>
      </c>
      <c r="G7367" s="297" t="s">
        <v>241</v>
      </c>
      <c r="H7367" s="634"/>
      <c r="I7367" s="635"/>
      <c r="J7367" s="639">
        <f t="shared" si="241"/>
        <v>0</v>
      </c>
      <c r="K7367" s="575"/>
      <c r="L7367" s="575"/>
      <c r="M7367" s="575"/>
      <c r="N7367" s="575"/>
      <c r="O7367" s="575"/>
      <c r="P7367" s="575"/>
      <c r="Q7367" s="575"/>
      <c r="R7367" s="575"/>
      <c r="S7367" s="575"/>
      <c r="T7367" s="575"/>
      <c r="U7367" s="575"/>
      <c r="V7367" s="575"/>
      <c r="W7367" s="575"/>
      <c r="X7367" s="575"/>
      <c r="Y7367" s="575"/>
    </row>
    <row r="7368" spans="1:25" s="88" customFormat="1" ht="15.75" hidden="1" thickBot="1">
      <c r="A7368" s="342"/>
      <c r="B7368" s="301"/>
      <c r="C7368" s="361"/>
      <c r="D7368" s="296"/>
      <c r="E7368" s="296"/>
      <c r="F7368" s="294" t="s">
        <v>242</v>
      </c>
      <c r="G7368" s="297" t="s">
        <v>243</v>
      </c>
      <c r="H7368" s="634"/>
      <c r="I7368" s="635"/>
      <c r="J7368" s="639">
        <f t="shared" si="241"/>
        <v>0</v>
      </c>
      <c r="K7368" s="575"/>
      <c r="L7368" s="575"/>
      <c r="M7368" s="575"/>
      <c r="N7368" s="575"/>
      <c r="O7368" s="575"/>
      <c r="P7368" s="575"/>
      <c r="Q7368" s="575"/>
      <c r="R7368" s="575"/>
      <c r="S7368" s="575"/>
      <c r="T7368" s="575"/>
      <c r="U7368" s="575"/>
      <c r="V7368" s="575"/>
      <c r="W7368" s="575"/>
      <c r="X7368" s="575"/>
      <c r="Y7368" s="575"/>
    </row>
    <row r="7369" spans="1:25" s="88" customFormat="1" ht="15.75" hidden="1" thickBot="1">
      <c r="A7369" s="342"/>
      <c r="B7369" s="301"/>
      <c r="C7369" s="361"/>
      <c r="D7369" s="296"/>
      <c r="E7369" s="296"/>
      <c r="F7369" s="294" t="s">
        <v>244</v>
      </c>
      <c r="G7369" s="297" t="s">
        <v>245</v>
      </c>
      <c r="H7369" s="634"/>
      <c r="I7369" s="635"/>
      <c r="J7369" s="639">
        <f t="shared" si="241"/>
        <v>0</v>
      </c>
      <c r="K7369" s="575"/>
      <c r="L7369" s="575"/>
      <c r="M7369" s="575"/>
      <c r="N7369" s="575"/>
      <c r="O7369" s="575"/>
      <c r="P7369" s="575"/>
      <c r="Q7369" s="575"/>
      <c r="R7369" s="575"/>
      <c r="S7369" s="575"/>
      <c r="T7369" s="575"/>
      <c r="U7369" s="575"/>
      <c r="V7369" s="575"/>
      <c r="W7369" s="575"/>
      <c r="X7369" s="575"/>
      <c r="Y7369" s="575"/>
    </row>
    <row r="7370" spans="1:25" s="88" customFormat="1" ht="15.75" hidden="1" thickBot="1">
      <c r="A7370" s="342"/>
      <c r="B7370" s="301"/>
      <c r="C7370" s="361"/>
      <c r="D7370" s="296"/>
      <c r="E7370" s="296"/>
      <c r="F7370" s="294" t="s">
        <v>246</v>
      </c>
      <c r="G7370" s="683" t="s">
        <v>5121</v>
      </c>
      <c r="H7370" s="634"/>
      <c r="I7370" s="635"/>
      <c r="J7370" s="639">
        <f t="shared" si="241"/>
        <v>0</v>
      </c>
      <c r="K7370" s="575"/>
      <c r="L7370" s="575"/>
      <c r="M7370" s="575"/>
      <c r="N7370" s="575"/>
      <c r="O7370" s="575"/>
      <c r="P7370" s="575"/>
      <c r="Q7370" s="575"/>
      <c r="R7370" s="575"/>
      <c r="S7370" s="575"/>
      <c r="T7370" s="575"/>
      <c r="U7370" s="575"/>
      <c r="V7370" s="575"/>
      <c r="W7370" s="575"/>
      <c r="X7370" s="575"/>
      <c r="Y7370" s="575"/>
    </row>
    <row r="7371" spans="1:25" s="88" customFormat="1" ht="15.75" hidden="1" thickBot="1">
      <c r="A7371" s="342"/>
      <c r="B7371" s="301"/>
      <c r="C7371" s="361"/>
      <c r="D7371" s="296"/>
      <c r="E7371" s="296"/>
      <c r="F7371" s="294" t="s">
        <v>247</v>
      </c>
      <c r="G7371" s="683" t="s">
        <v>5120</v>
      </c>
      <c r="H7371" s="634"/>
      <c r="I7371" s="635"/>
      <c r="J7371" s="639">
        <f t="shared" si="241"/>
        <v>0</v>
      </c>
      <c r="K7371" s="575"/>
      <c r="L7371" s="575"/>
      <c r="M7371" s="575"/>
      <c r="N7371" s="575"/>
      <c r="O7371" s="575"/>
      <c r="P7371" s="575"/>
      <c r="Q7371" s="575"/>
      <c r="R7371" s="575"/>
      <c r="S7371" s="575"/>
      <c r="T7371" s="575"/>
      <c r="U7371" s="575"/>
      <c r="V7371" s="575"/>
      <c r="W7371" s="575"/>
      <c r="X7371" s="575"/>
      <c r="Y7371" s="575"/>
    </row>
    <row r="7372" spans="1:25" s="88" customFormat="1" ht="15.75" hidden="1" thickBot="1">
      <c r="A7372" s="342"/>
      <c r="B7372" s="301"/>
      <c r="C7372" s="361"/>
      <c r="D7372" s="296"/>
      <c r="E7372" s="296"/>
      <c r="F7372" s="294" t="s">
        <v>248</v>
      </c>
      <c r="G7372" s="297" t="s">
        <v>57</v>
      </c>
      <c r="H7372" s="634"/>
      <c r="I7372" s="635"/>
      <c r="J7372" s="639">
        <f t="shared" si="241"/>
        <v>0</v>
      </c>
      <c r="K7372" s="575"/>
      <c r="L7372" s="575"/>
      <c r="M7372" s="575"/>
      <c r="N7372" s="575"/>
      <c r="O7372" s="575"/>
      <c r="P7372" s="575"/>
      <c r="Q7372" s="575"/>
      <c r="R7372" s="575"/>
      <c r="S7372" s="575"/>
      <c r="T7372" s="575"/>
      <c r="U7372" s="575"/>
      <c r="V7372" s="575"/>
      <c r="W7372" s="575"/>
      <c r="X7372" s="575"/>
      <c r="Y7372" s="575"/>
    </row>
    <row r="7373" spans="1:25" s="88" customFormat="1" ht="15.75" hidden="1" thickBot="1">
      <c r="A7373" s="342"/>
      <c r="B7373" s="301"/>
      <c r="C7373" s="361"/>
      <c r="D7373" s="296"/>
      <c r="E7373" s="296"/>
      <c r="F7373" s="294" t="s">
        <v>249</v>
      </c>
      <c r="G7373" s="297" t="s">
        <v>250</v>
      </c>
      <c r="H7373" s="634"/>
      <c r="I7373" s="635"/>
      <c r="J7373" s="639">
        <f t="shared" si="241"/>
        <v>0</v>
      </c>
      <c r="K7373" s="575"/>
      <c r="L7373" s="575"/>
      <c r="M7373" s="575"/>
      <c r="N7373" s="575"/>
      <c r="O7373" s="575"/>
      <c r="P7373" s="575"/>
      <c r="Q7373" s="575"/>
      <c r="R7373" s="575"/>
      <c r="S7373" s="575"/>
      <c r="T7373" s="575"/>
      <c r="U7373" s="575"/>
      <c r="V7373" s="575"/>
      <c r="W7373" s="575"/>
      <c r="X7373" s="575"/>
      <c r="Y7373" s="575"/>
    </row>
    <row r="7374" spans="1:25" s="88" customFormat="1" ht="15.75" hidden="1" thickBot="1">
      <c r="A7374" s="342"/>
      <c r="B7374" s="301"/>
      <c r="C7374" s="361"/>
      <c r="D7374" s="296"/>
      <c r="E7374" s="296"/>
      <c r="F7374" s="294" t="s">
        <v>251</v>
      </c>
      <c r="G7374" s="297" t="s">
        <v>252</v>
      </c>
      <c r="H7374" s="634"/>
      <c r="I7374" s="635"/>
      <c r="J7374" s="639">
        <f t="shared" si="241"/>
        <v>0</v>
      </c>
      <c r="K7374" s="575"/>
      <c r="L7374" s="575"/>
      <c r="M7374" s="575"/>
      <c r="N7374" s="575"/>
      <c r="O7374" s="575"/>
      <c r="P7374" s="575"/>
      <c r="Q7374" s="575"/>
      <c r="R7374" s="575"/>
      <c r="S7374" s="575"/>
      <c r="T7374" s="575"/>
      <c r="U7374" s="575"/>
      <c r="V7374" s="575"/>
      <c r="W7374" s="575"/>
      <c r="X7374" s="575"/>
      <c r="Y7374" s="575"/>
    </row>
    <row r="7375" spans="1:25" s="88" customFormat="1" ht="15.75" hidden="1" thickBot="1">
      <c r="A7375" s="342"/>
      <c r="B7375" s="301"/>
      <c r="C7375" s="361"/>
      <c r="D7375" s="296"/>
      <c r="E7375" s="296"/>
      <c r="F7375" s="294" t="s">
        <v>253</v>
      </c>
      <c r="G7375" s="297" t="s">
        <v>254</v>
      </c>
      <c r="H7375" s="634"/>
      <c r="I7375" s="635"/>
      <c r="J7375" s="639">
        <f t="shared" si="241"/>
        <v>0</v>
      </c>
      <c r="K7375" s="575"/>
      <c r="L7375" s="575"/>
      <c r="M7375" s="575"/>
      <c r="N7375" s="575"/>
      <c r="O7375" s="575"/>
      <c r="P7375" s="575"/>
      <c r="Q7375" s="575"/>
      <c r="R7375" s="575"/>
      <c r="S7375" s="575"/>
      <c r="T7375" s="575"/>
      <c r="U7375" s="575"/>
      <c r="V7375" s="575"/>
      <c r="W7375" s="575"/>
      <c r="X7375" s="575"/>
      <c r="Y7375" s="575"/>
    </row>
    <row r="7376" spans="1:25" s="88" customFormat="1" ht="15.75" hidden="1" thickBot="1">
      <c r="A7376" s="342"/>
      <c r="B7376" s="301"/>
      <c r="C7376" s="361"/>
      <c r="D7376" s="296"/>
      <c r="E7376" s="296"/>
      <c r="F7376" s="294" t="s">
        <v>255</v>
      </c>
      <c r="G7376" s="297" t="s">
        <v>256</v>
      </c>
      <c r="H7376" s="634"/>
      <c r="I7376" s="635"/>
      <c r="J7376" s="639">
        <f t="shared" si="241"/>
        <v>0</v>
      </c>
      <c r="K7376" s="575"/>
      <c r="L7376" s="575"/>
      <c r="M7376" s="575"/>
      <c r="N7376" s="575"/>
      <c r="O7376" s="575"/>
      <c r="P7376" s="575"/>
      <c r="Q7376" s="575"/>
      <c r="R7376" s="575"/>
      <c r="S7376" s="575"/>
      <c r="T7376" s="575"/>
      <c r="U7376" s="575"/>
      <c r="V7376" s="575"/>
      <c r="W7376" s="575"/>
      <c r="X7376" s="575"/>
      <c r="Y7376" s="575"/>
    </row>
    <row r="7377" spans="1:25" s="88" customFormat="1" ht="15.75" hidden="1" thickBot="1">
      <c r="A7377" s="342"/>
      <c r="B7377" s="301"/>
      <c r="C7377" s="361"/>
      <c r="D7377" s="296"/>
      <c r="E7377" s="296"/>
      <c r="F7377" s="294" t="s">
        <v>257</v>
      </c>
      <c r="G7377" s="297" t="s">
        <v>258</v>
      </c>
      <c r="H7377" s="634"/>
      <c r="I7377" s="635"/>
      <c r="J7377" s="639">
        <f t="shared" si="241"/>
        <v>0</v>
      </c>
      <c r="K7377" s="575"/>
      <c r="L7377" s="575"/>
      <c r="M7377" s="575"/>
      <c r="N7377" s="575"/>
      <c r="O7377" s="575"/>
      <c r="P7377" s="575"/>
      <c r="Q7377" s="575"/>
      <c r="R7377" s="575"/>
      <c r="S7377" s="575"/>
      <c r="T7377" s="575"/>
      <c r="U7377" s="575"/>
      <c r="V7377" s="575"/>
      <c r="W7377" s="575"/>
      <c r="X7377" s="575"/>
      <c r="Y7377" s="575"/>
    </row>
    <row r="7378" spans="1:25" s="88" customFormat="1" ht="15.75" hidden="1" thickBot="1">
      <c r="A7378" s="342"/>
      <c r="B7378" s="301"/>
      <c r="C7378" s="361"/>
      <c r="D7378" s="296"/>
      <c r="E7378" s="296"/>
      <c r="F7378" s="294" t="s">
        <v>259</v>
      </c>
      <c r="G7378" s="297" t="s">
        <v>260</v>
      </c>
      <c r="H7378" s="634"/>
      <c r="I7378" s="635"/>
      <c r="J7378" s="639">
        <f t="shared" si="241"/>
        <v>0</v>
      </c>
      <c r="K7378" s="575"/>
      <c r="L7378" s="575"/>
      <c r="M7378" s="575"/>
      <c r="N7378" s="575"/>
      <c r="O7378" s="575"/>
      <c r="P7378" s="575"/>
      <c r="Q7378" s="575"/>
      <c r="R7378" s="575"/>
      <c r="S7378" s="575"/>
      <c r="T7378" s="575"/>
      <c r="U7378" s="575"/>
      <c r="V7378" s="575"/>
      <c r="W7378" s="575"/>
      <c r="X7378" s="575"/>
      <c r="Y7378" s="575"/>
    </row>
    <row r="7379" spans="1:25" s="88" customFormat="1" ht="15" customHeight="1" thickBot="1">
      <c r="A7379" s="342"/>
      <c r="B7379" s="301"/>
      <c r="C7379" s="361"/>
      <c r="D7379" s="296"/>
      <c r="E7379" s="296"/>
      <c r="F7379" s="771" t="s">
        <v>240</v>
      </c>
      <c r="G7379" s="683" t="s">
        <v>241</v>
      </c>
      <c r="H7379" s="638"/>
      <c r="I7379" s="639">
        <f>SUM(I7361)</f>
        <v>1300000</v>
      </c>
      <c r="J7379" s="639">
        <f t="shared" si="241"/>
        <v>1300000</v>
      </c>
      <c r="K7379" s="575"/>
      <c r="L7379" s="575"/>
      <c r="M7379" s="575"/>
      <c r="N7379" s="575"/>
      <c r="O7379" s="575"/>
      <c r="P7379" s="575"/>
      <c r="Q7379" s="575"/>
      <c r="R7379" s="575"/>
      <c r="S7379" s="575"/>
      <c r="T7379" s="575"/>
      <c r="U7379" s="575"/>
      <c r="V7379" s="575"/>
      <c r="W7379" s="575"/>
      <c r="X7379" s="575"/>
      <c r="Y7379" s="575"/>
    </row>
    <row r="7380" spans="1:25" s="88" customFormat="1" ht="12.75" customHeight="1" thickBot="1">
      <c r="A7380" s="342"/>
      <c r="B7380" s="301"/>
      <c r="C7380" s="361"/>
      <c r="D7380" s="296"/>
      <c r="E7380" s="296"/>
      <c r="F7380" s="263"/>
      <c r="G7380" s="274" t="s">
        <v>4305</v>
      </c>
      <c r="H7380" s="640">
        <f>SUM(H7364:H7379)</f>
        <v>11561000</v>
      </c>
      <c r="I7380" s="641">
        <f>SUM(I7379)</f>
        <v>1300000</v>
      </c>
      <c r="J7380" s="641">
        <f>SUM(J7364:J7379)</f>
        <v>12861000</v>
      </c>
      <c r="K7380" s="575"/>
      <c r="L7380" s="575"/>
      <c r="M7380" s="575"/>
      <c r="N7380" s="575"/>
      <c r="O7380" s="575"/>
      <c r="P7380" s="575"/>
      <c r="Q7380" s="575"/>
      <c r="R7380" s="575"/>
      <c r="S7380" s="575"/>
      <c r="T7380" s="575"/>
      <c r="U7380" s="575"/>
      <c r="V7380" s="575"/>
      <c r="W7380" s="575"/>
      <c r="X7380" s="575"/>
      <c r="Y7380" s="575"/>
    </row>
    <row r="7381" spans="1:25" hidden="1"/>
    <row r="7382" spans="1:25" hidden="1">
      <c r="K7382" s="267"/>
      <c r="L7382" s="267"/>
      <c r="M7382" s="267"/>
      <c r="N7382" s="580"/>
    </row>
    <row r="7383" spans="1:25" hidden="1">
      <c r="A7383" s="395">
        <v>4</v>
      </c>
      <c r="B7383" s="404">
        <v>6</v>
      </c>
      <c r="C7383" s="395"/>
      <c r="D7383" s="396"/>
      <c r="E7383" s="399"/>
      <c r="F7383" s="399"/>
      <c r="G7383" s="400" t="s">
        <v>4299</v>
      </c>
      <c r="H7383" s="665"/>
      <c r="I7383" s="671"/>
      <c r="J7383" s="657"/>
      <c r="K7383" s="293"/>
      <c r="L7383" s="267"/>
      <c r="M7383" s="267"/>
      <c r="N7383" s="580"/>
    </row>
    <row r="7384" spans="1:25" hidden="1">
      <c r="C7384" s="273" t="s">
        <v>3567</v>
      </c>
      <c r="G7384" s="392" t="s">
        <v>4284</v>
      </c>
    </row>
    <row r="7385" spans="1:25" hidden="1">
      <c r="C7385" s="368" t="s">
        <v>4113</v>
      </c>
      <c r="D7385" s="330"/>
      <c r="E7385" s="330"/>
      <c r="F7385" s="267"/>
      <c r="G7385" s="332" t="s">
        <v>4298</v>
      </c>
      <c r="K7385" s="541"/>
      <c r="L7385" s="572"/>
    </row>
    <row r="7386" spans="1:25" hidden="1">
      <c r="C7386" s="389"/>
      <c r="D7386" s="357">
        <v>473</v>
      </c>
      <c r="E7386" s="357"/>
      <c r="F7386" s="357"/>
      <c r="G7386" s="383" t="s">
        <v>162</v>
      </c>
      <c r="K7386" s="573"/>
      <c r="L7386" s="572"/>
    </row>
    <row r="7387" spans="1:25" hidden="1">
      <c r="F7387" s="402">
        <v>411</v>
      </c>
      <c r="G7387" s="393" t="s">
        <v>4173</v>
      </c>
      <c r="J7387" s="635">
        <f>SUM(H7387:I7387)</f>
        <v>0</v>
      </c>
    </row>
    <row r="7388" spans="1:25" hidden="1">
      <c r="F7388" s="402">
        <v>412</v>
      </c>
      <c r="G7388" s="390" t="s">
        <v>3770</v>
      </c>
      <c r="J7388" s="635">
        <f t="shared" ref="J7388:J7446" si="242">SUM(H7388:I7388)</f>
        <v>0</v>
      </c>
    </row>
    <row r="7389" spans="1:25" hidden="1">
      <c r="F7389" s="402">
        <v>413</v>
      </c>
      <c r="G7389" s="393" t="s">
        <v>4174</v>
      </c>
      <c r="J7389" s="635">
        <f t="shared" si="242"/>
        <v>0</v>
      </c>
    </row>
    <row r="7390" spans="1:25" hidden="1">
      <c r="F7390" s="402">
        <v>414</v>
      </c>
      <c r="G7390" s="393" t="s">
        <v>3773</v>
      </c>
      <c r="J7390" s="635">
        <f t="shared" si="242"/>
        <v>0</v>
      </c>
    </row>
    <row r="7391" spans="1:25" hidden="1">
      <c r="F7391" s="402">
        <v>415</v>
      </c>
      <c r="G7391" s="393" t="s">
        <v>4183</v>
      </c>
      <c r="J7391" s="635">
        <f t="shared" si="242"/>
        <v>0</v>
      </c>
    </row>
    <row r="7392" spans="1:25" hidden="1">
      <c r="F7392" s="402">
        <v>416</v>
      </c>
      <c r="G7392" s="393" t="s">
        <v>4184</v>
      </c>
      <c r="J7392" s="635">
        <f t="shared" si="242"/>
        <v>0</v>
      </c>
    </row>
    <row r="7393" spans="6:10" hidden="1">
      <c r="F7393" s="402">
        <v>417</v>
      </c>
      <c r="G7393" s="393" t="s">
        <v>4185</v>
      </c>
      <c r="J7393" s="635">
        <f t="shared" si="242"/>
        <v>0</v>
      </c>
    </row>
    <row r="7394" spans="6:10" hidden="1">
      <c r="F7394" s="402">
        <v>418</v>
      </c>
      <c r="G7394" s="393" t="s">
        <v>3779</v>
      </c>
      <c r="J7394" s="635">
        <f t="shared" si="242"/>
        <v>0</v>
      </c>
    </row>
    <row r="7395" spans="6:10" hidden="1">
      <c r="F7395" s="402">
        <v>421</v>
      </c>
      <c r="G7395" s="393" t="s">
        <v>3783</v>
      </c>
      <c r="J7395" s="635">
        <f t="shared" si="242"/>
        <v>0</v>
      </c>
    </row>
    <row r="7396" spans="6:10" hidden="1">
      <c r="F7396" s="402">
        <v>422</v>
      </c>
      <c r="G7396" s="393" t="s">
        <v>3784</v>
      </c>
      <c r="J7396" s="635">
        <f t="shared" si="242"/>
        <v>0</v>
      </c>
    </row>
    <row r="7397" spans="6:10" hidden="1">
      <c r="F7397" s="402">
        <v>423</v>
      </c>
      <c r="G7397" s="393" t="s">
        <v>3785</v>
      </c>
      <c r="J7397" s="635">
        <f t="shared" si="242"/>
        <v>0</v>
      </c>
    </row>
    <row r="7398" spans="6:10" hidden="1">
      <c r="F7398" s="402">
        <v>424</v>
      </c>
      <c r="G7398" s="393" t="s">
        <v>3787</v>
      </c>
      <c r="J7398" s="635">
        <f t="shared" si="242"/>
        <v>0</v>
      </c>
    </row>
    <row r="7399" spans="6:10" hidden="1">
      <c r="F7399" s="402">
        <v>425</v>
      </c>
      <c r="G7399" s="393" t="s">
        <v>4186</v>
      </c>
      <c r="J7399" s="635">
        <f t="shared" si="242"/>
        <v>0</v>
      </c>
    </row>
    <row r="7400" spans="6:10" hidden="1">
      <c r="F7400" s="402">
        <v>426</v>
      </c>
      <c r="G7400" s="393" t="s">
        <v>3791</v>
      </c>
      <c r="J7400" s="635">
        <f t="shared" si="242"/>
        <v>0</v>
      </c>
    </row>
    <row r="7401" spans="6:10" ht="8.25" hidden="1" customHeight="1">
      <c r="F7401" s="402">
        <v>431</v>
      </c>
      <c r="G7401" s="393" t="s">
        <v>4187</v>
      </c>
      <c r="J7401" s="635">
        <f t="shared" si="242"/>
        <v>0</v>
      </c>
    </row>
    <row r="7402" spans="6:10" hidden="1">
      <c r="F7402" s="402">
        <v>432</v>
      </c>
      <c r="G7402" s="393" t="s">
        <v>4188</v>
      </c>
      <c r="J7402" s="635">
        <f t="shared" si="242"/>
        <v>0</v>
      </c>
    </row>
    <row r="7403" spans="6:10" hidden="1">
      <c r="F7403" s="402">
        <v>433</v>
      </c>
      <c r="G7403" s="393" t="s">
        <v>4189</v>
      </c>
      <c r="J7403" s="635">
        <f t="shared" si="242"/>
        <v>0</v>
      </c>
    </row>
    <row r="7404" spans="6:10" hidden="1">
      <c r="F7404" s="402">
        <v>434</v>
      </c>
      <c r="G7404" s="393" t="s">
        <v>4190</v>
      </c>
      <c r="J7404" s="635">
        <f t="shared" si="242"/>
        <v>0</v>
      </c>
    </row>
    <row r="7405" spans="6:10" hidden="1">
      <c r="F7405" s="402">
        <v>435</v>
      </c>
      <c r="G7405" s="393" t="s">
        <v>3798</v>
      </c>
      <c r="J7405" s="635">
        <f t="shared" si="242"/>
        <v>0</v>
      </c>
    </row>
    <row r="7406" spans="6:10" hidden="1">
      <c r="F7406" s="402">
        <v>441</v>
      </c>
      <c r="G7406" s="393" t="s">
        <v>4191</v>
      </c>
      <c r="J7406" s="635">
        <f t="shared" si="242"/>
        <v>0</v>
      </c>
    </row>
    <row r="7407" spans="6:10" hidden="1">
      <c r="F7407" s="402">
        <v>442</v>
      </c>
      <c r="G7407" s="393" t="s">
        <v>4192</v>
      </c>
      <c r="J7407" s="635">
        <f t="shared" si="242"/>
        <v>0</v>
      </c>
    </row>
    <row r="7408" spans="6:10" hidden="1">
      <c r="F7408" s="402">
        <v>443</v>
      </c>
      <c r="G7408" s="393" t="s">
        <v>3803</v>
      </c>
      <c r="J7408" s="635">
        <f t="shared" si="242"/>
        <v>0</v>
      </c>
    </row>
    <row r="7409" spans="6:10" hidden="1">
      <c r="F7409" s="402">
        <v>444</v>
      </c>
      <c r="G7409" s="393" t="s">
        <v>3804</v>
      </c>
      <c r="J7409" s="635">
        <f t="shared" si="242"/>
        <v>0</v>
      </c>
    </row>
    <row r="7410" spans="6:10" ht="30" hidden="1">
      <c r="F7410" s="402">
        <v>4511</v>
      </c>
      <c r="G7410" s="268" t="s">
        <v>1690</v>
      </c>
      <c r="J7410" s="635">
        <f t="shared" si="242"/>
        <v>0</v>
      </c>
    </row>
    <row r="7411" spans="6:10" ht="30" hidden="1">
      <c r="F7411" s="402">
        <v>4512</v>
      </c>
      <c r="G7411" s="268" t="s">
        <v>1699</v>
      </c>
      <c r="J7411" s="635">
        <f t="shared" si="242"/>
        <v>0</v>
      </c>
    </row>
    <row r="7412" spans="6:10" hidden="1">
      <c r="F7412" s="402">
        <v>452</v>
      </c>
      <c r="G7412" s="393" t="s">
        <v>4193</v>
      </c>
      <c r="J7412" s="635">
        <f t="shared" si="242"/>
        <v>0</v>
      </c>
    </row>
    <row r="7413" spans="6:10" hidden="1">
      <c r="F7413" s="402">
        <v>453</v>
      </c>
      <c r="G7413" s="393" t="s">
        <v>4194</v>
      </c>
      <c r="J7413" s="635">
        <f t="shared" si="242"/>
        <v>0</v>
      </c>
    </row>
    <row r="7414" spans="6:10" hidden="1">
      <c r="F7414" s="402">
        <v>454</v>
      </c>
      <c r="G7414" s="393" t="s">
        <v>3809</v>
      </c>
      <c r="J7414" s="635">
        <f t="shared" si="242"/>
        <v>0</v>
      </c>
    </row>
    <row r="7415" spans="6:10" hidden="1">
      <c r="F7415" s="402">
        <v>461</v>
      </c>
      <c r="G7415" s="393" t="s">
        <v>4175</v>
      </c>
      <c r="J7415" s="635">
        <f t="shared" si="242"/>
        <v>0</v>
      </c>
    </row>
    <row r="7416" spans="6:10" hidden="1">
      <c r="F7416" s="402">
        <v>462</v>
      </c>
      <c r="G7416" s="393" t="s">
        <v>3812</v>
      </c>
      <c r="J7416" s="635">
        <f t="shared" si="242"/>
        <v>0</v>
      </c>
    </row>
    <row r="7417" spans="6:10" hidden="1">
      <c r="F7417" s="402">
        <v>4631</v>
      </c>
      <c r="G7417" s="393" t="s">
        <v>3813</v>
      </c>
      <c r="J7417" s="635">
        <f t="shared" si="242"/>
        <v>0</v>
      </c>
    </row>
    <row r="7418" spans="6:10" hidden="1">
      <c r="F7418" s="402">
        <v>4632</v>
      </c>
      <c r="G7418" s="393" t="s">
        <v>3814</v>
      </c>
      <c r="J7418" s="635">
        <f t="shared" si="242"/>
        <v>0</v>
      </c>
    </row>
    <row r="7419" spans="6:10" hidden="1">
      <c r="F7419" s="402">
        <v>464</v>
      </c>
      <c r="G7419" s="393" t="s">
        <v>3815</v>
      </c>
      <c r="J7419" s="635">
        <f t="shared" si="242"/>
        <v>0</v>
      </c>
    </row>
    <row r="7420" spans="6:10" hidden="1">
      <c r="F7420" s="402">
        <v>465</v>
      </c>
      <c r="G7420" s="393" t="s">
        <v>4176</v>
      </c>
      <c r="J7420" s="635">
        <f t="shared" si="242"/>
        <v>0</v>
      </c>
    </row>
    <row r="7421" spans="6:10" hidden="1">
      <c r="F7421" s="402">
        <v>472</v>
      </c>
      <c r="G7421" s="393" t="s">
        <v>3819</v>
      </c>
      <c r="J7421" s="635">
        <f t="shared" si="242"/>
        <v>0</v>
      </c>
    </row>
    <row r="7422" spans="6:10" hidden="1">
      <c r="F7422" s="402">
        <v>481</v>
      </c>
      <c r="G7422" s="393" t="s">
        <v>4195</v>
      </c>
      <c r="J7422" s="635">
        <f t="shared" si="242"/>
        <v>0</v>
      </c>
    </row>
    <row r="7423" spans="6:10" hidden="1">
      <c r="F7423" s="402">
        <v>482</v>
      </c>
      <c r="G7423" s="393" t="s">
        <v>4196</v>
      </c>
      <c r="J7423" s="635">
        <f t="shared" si="242"/>
        <v>0</v>
      </c>
    </row>
    <row r="7424" spans="6:10" hidden="1">
      <c r="F7424" s="402">
        <v>483</v>
      </c>
      <c r="G7424" s="398" t="s">
        <v>4197</v>
      </c>
      <c r="J7424" s="635">
        <f t="shared" si="242"/>
        <v>0</v>
      </c>
    </row>
    <row r="7425" spans="6:10" ht="30" hidden="1">
      <c r="F7425" s="402">
        <v>484</v>
      </c>
      <c r="G7425" s="393" t="s">
        <v>4198</v>
      </c>
      <c r="J7425" s="635">
        <f t="shared" si="242"/>
        <v>0</v>
      </c>
    </row>
    <row r="7426" spans="6:10" ht="30" hidden="1">
      <c r="F7426" s="402">
        <v>485</v>
      </c>
      <c r="G7426" s="393" t="s">
        <v>4199</v>
      </c>
      <c r="J7426" s="635">
        <f t="shared" si="242"/>
        <v>0</v>
      </c>
    </row>
    <row r="7427" spans="6:10" ht="30" hidden="1">
      <c r="F7427" s="402">
        <v>489</v>
      </c>
      <c r="G7427" s="393" t="s">
        <v>3827</v>
      </c>
      <c r="J7427" s="635">
        <f t="shared" si="242"/>
        <v>0</v>
      </c>
    </row>
    <row r="7428" spans="6:10" hidden="1">
      <c r="F7428" s="402">
        <v>494</v>
      </c>
      <c r="G7428" s="393" t="s">
        <v>4177</v>
      </c>
      <c r="J7428" s="635">
        <f t="shared" si="242"/>
        <v>0</v>
      </c>
    </row>
    <row r="7429" spans="6:10" ht="30" hidden="1">
      <c r="F7429" s="402">
        <v>495</v>
      </c>
      <c r="G7429" s="393" t="s">
        <v>4178</v>
      </c>
      <c r="J7429" s="635">
        <f t="shared" si="242"/>
        <v>0</v>
      </c>
    </row>
    <row r="7430" spans="6:10" ht="30" hidden="1">
      <c r="F7430" s="402">
        <v>496</v>
      </c>
      <c r="G7430" s="393" t="s">
        <v>4179</v>
      </c>
      <c r="J7430" s="635">
        <f t="shared" si="242"/>
        <v>0</v>
      </c>
    </row>
    <row r="7431" spans="6:10" hidden="1">
      <c r="F7431" s="402">
        <v>499</v>
      </c>
      <c r="G7431" s="393" t="s">
        <v>4180</v>
      </c>
      <c r="J7431" s="635">
        <f t="shared" si="242"/>
        <v>0</v>
      </c>
    </row>
    <row r="7432" spans="6:10" hidden="1">
      <c r="F7432" s="402">
        <v>511</v>
      </c>
      <c r="G7432" s="398" t="s">
        <v>4200</v>
      </c>
      <c r="J7432" s="635">
        <f t="shared" si="242"/>
        <v>0</v>
      </c>
    </row>
    <row r="7433" spans="6:10" ht="15.75" hidden="1" thickBot="1">
      <c r="F7433" s="402">
        <v>512</v>
      </c>
      <c r="G7433" s="398" t="s">
        <v>4201</v>
      </c>
      <c r="J7433" s="635">
        <f t="shared" si="242"/>
        <v>0</v>
      </c>
    </row>
    <row r="7434" spans="6:10" ht="15.75" hidden="1" thickBot="1">
      <c r="F7434" s="402">
        <v>513</v>
      </c>
      <c r="G7434" s="398" t="s">
        <v>4202</v>
      </c>
      <c r="J7434" s="635">
        <f t="shared" si="242"/>
        <v>0</v>
      </c>
    </row>
    <row r="7435" spans="6:10" ht="15.75" hidden="1" thickBot="1">
      <c r="F7435" s="402">
        <v>514</v>
      </c>
      <c r="G7435" s="393" t="s">
        <v>4203</v>
      </c>
      <c r="J7435" s="635">
        <f t="shared" si="242"/>
        <v>0</v>
      </c>
    </row>
    <row r="7436" spans="6:10" ht="15.75" hidden="1" thickBot="1">
      <c r="F7436" s="402">
        <v>515</v>
      </c>
      <c r="G7436" s="393" t="s">
        <v>3838</v>
      </c>
      <c r="J7436" s="635">
        <f t="shared" si="242"/>
        <v>0</v>
      </c>
    </row>
    <row r="7437" spans="6:10" ht="15.75" hidden="1" thickBot="1">
      <c r="F7437" s="402">
        <v>521</v>
      </c>
      <c r="G7437" s="393" t="s">
        <v>4204</v>
      </c>
      <c r="J7437" s="635">
        <f t="shared" si="242"/>
        <v>0</v>
      </c>
    </row>
    <row r="7438" spans="6:10" ht="15.75" hidden="1" thickBot="1">
      <c r="F7438" s="402">
        <v>522</v>
      </c>
      <c r="G7438" s="393" t="s">
        <v>4205</v>
      </c>
      <c r="J7438" s="635">
        <f t="shared" si="242"/>
        <v>0</v>
      </c>
    </row>
    <row r="7439" spans="6:10" ht="15.75" hidden="1" thickBot="1">
      <c r="F7439" s="402">
        <v>523</v>
      </c>
      <c r="G7439" s="393" t="s">
        <v>3843</v>
      </c>
      <c r="J7439" s="635">
        <f t="shared" si="242"/>
        <v>0</v>
      </c>
    </row>
    <row r="7440" spans="6:10" ht="15.75" hidden="1" thickBot="1">
      <c r="F7440" s="402">
        <v>531</v>
      </c>
      <c r="G7440" s="390" t="s">
        <v>4181</v>
      </c>
      <c r="J7440" s="635">
        <f t="shared" si="242"/>
        <v>0</v>
      </c>
    </row>
    <row r="7441" spans="5:10" ht="15.75" hidden="1" thickBot="1">
      <c r="F7441" s="402">
        <v>541</v>
      </c>
      <c r="G7441" s="393" t="s">
        <v>4206</v>
      </c>
      <c r="J7441" s="635">
        <f t="shared" si="242"/>
        <v>0</v>
      </c>
    </row>
    <row r="7442" spans="5:10" ht="15.75" hidden="1" thickBot="1">
      <c r="F7442" s="402">
        <v>542</v>
      </c>
      <c r="G7442" s="393" t="s">
        <v>4207</v>
      </c>
      <c r="J7442" s="635">
        <f t="shared" si="242"/>
        <v>0</v>
      </c>
    </row>
    <row r="7443" spans="5:10" ht="15.75" hidden="1" thickBot="1">
      <c r="F7443" s="402">
        <v>543</v>
      </c>
      <c r="G7443" s="393" t="s">
        <v>3848</v>
      </c>
      <c r="J7443" s="635">
        <f t="shared" si="242"/>
        <v>0</v>
      </c>
    </row>
    <row r="7444" spans="5:10" ht="30.75" hidden="1" thickBot="1">
      <c r="F7444" s="402">
        <v>551</v>
      </c>
      <c r="G7444" s="393" t="s">
        <v>4182</v>
      </c>
      <c r="J7444" s="635">
        <f t="shared" si="242"/>
        <v>0</v>
      </c>
    </row>
    <row r="7445" spans="5:10" ht="15.75" hidden="1" thickBot="1">
      <c r="F7445" s="403">
        <v>611</v>
      </c>
      <c r="G7445" s="401" t="s">
        <v>3854</v>
      </c>
      <c r="J7445" s="635">
        <f t="shared" si="242"/>
        <v>0</v>
      </c>
    </row>
    <row r="7446" spans="5:10" ht="15.75" hidden="1" thickBot="1">
      <c r="F7446" s="403">
        <v>620</v>
      </c>
      <c r="G7446" s="401" t="s">
        <v>88</v>
      </c>
      <c r="J7446" s="635">
        <f t="shared" si="242"/>
        <v>0</v>
      </c>
    </row>
    <row r="7447" spans="5:10" hidden="1">
      <c r="E7447" s="391"/>
      <c r="F7447" s="403"/>
      <c r="G7447" s="372" t="s">
        <v>4396</v>
      </c>
      <c r="H7447" s="636"/>
      <c r="I7447" s="662"/>
      <c r="J7447" s="637"/>
    </row>
    <row r="7448" spans="5:10" ht="15.75" hidden="1" thickBot="1">
      <c r="E7448" s="267"/>
      <c r="F7448" s="294" t="s">
        <v>234</v>
      </c>
      <c r="G7448" s="297" t="s">
        <v>235</v>
      </c>
      <c r="H7448" s="638">
        <f>SUM(H7387:H7446)</f>
        <v>0</v>
      </c>
      <c r="I7448" s="639"/>
      <c r="J7448" s="639">
        <f t="shared" ref="J7448:J7463" si="243">SUM(H7448:I7448)</f>
        <v>0</v>
      </c>
    </row>
    <row r="7449" spans="5:10" ht="15.75" hidden="1" thickBot="1">
      <c r="F7449" s="294" t="s">
        <v>236</v>
      </c>
      <c r="G7449" s="297" t="s">
        <v>237</v>
      </c>
      <c r="J7449" s="639">
        <f t="shared" si="243"/>
        <v>0</v>
      </c>
    </row>
    <row r="7450" spans="5:10" ht="15.75" hidden="1" thickBot="1">
      <c r="F7450" s="294" t="s">
        <v>238</v>
      </c>
      <c r="G7450" s="297" t="s">
        <v>239</v>
      </c>
      <c r="J7450" s="639">
        <f t="shared" si="243"/>
        <v>0</v>
      </c>
    </row>
    <row r="7451" spans="5:10" ht="15.75" hidden="1" thickBot="1">
      <c r="F7451" s="294" t="s">
        <v>240</v>
      </c>
      <c r="G7451" s="297" t="s">
        <v>241</v>
      </c>
      <c r="J7451" s="639">
        <f t="shared" si="243"/>
        <v>0</v>
      </c>
    </row>
    <row r="7452" spans="5:10" ht="15.75" hidden="1" thickBot="1">
      <c r="F7452" s="294" t="s">
        <v>242</v>
      </c>
      <c r="G7452" s="297" t="s">
        <v>243</v>
      </c>
      <c r="J7452" s="639">
        <f t="shared" si="243"/>
        <v>0</v>
      </c>
    </row>
    <row r="7453" spans="5:10" ht="15.75" hidden="1" thickBot="1">
      <c r="F7453" s="294" t="s">
        <v>244</v>
      </c>
      <c r="G7453" s="297" t="s">
        <v>245</v>
      </c>
      <c r="J7453" s="639">
        <f t="shared" si="243"/>
        <v>0</v>
      </c>
    </row>
    <row r="7454" spans="5:10" ht="15.75" hidden="1" thickBot="1">
      <c r="F7454" s="294" t="s">
        <v>246</v>
      </c>
      <c r="G7454" s="683" t="s">
        <v>5121</v>
      </c>
      <c r="J7454" s="639">
        <f t="shared" si="243"/>
        <v>0</v>
      </c>
    </row>
    <row r="7455" spans="5:10" ht="15.75" hidden="1" thickBot="1">
      <c r="F7455" s="294" t="s">
        <v>247</v>
      </c>
      <c r="G7455" s="683" t="s">
        <v>5120</v>
      </c>
      <c r="J7455" s="639">
        <f t="shared" si="243"/>
        <v>0</v>
      </c>
    </row>
    <row r="7456" spans="5:10" ht="15.75" hidden="1" thickBot="1">
      <c r="F7456" s="294" t="s">
        <v>248</v>
      </c>
      <c r="G7456" s="297" t="s">
        <v>57</v>
      </c>
      <c r="J7456" s="639">
        <f t="shared" si="243"/>
        <v>0</v>
      </c>
    </row>
    <row r="7457" spans="5:10" ht="15.75" hidden="1" thickBot="1">
      <c r="F7457" s="294" t="s">
        <v>249</v>
      </c>
      <c r="G7457" s="297" t="s">
        <v>250</v>
      </c>
      <c r="J7457" s="639">
        <f t="shared" si="243"/>
        <v>0</v>
      </c>
    </row>
    <row r="7458" spans="5:10" ht="15.75" hidden="1" thickBot="1">
      <c r="F7458" s="294" t="s">
        <v>251</v>
      </c>
      <c r="G7458" s="297" t="s">
        <v>252</v>
      </c>
      <c r="J7458" s="639">
        <f t="shared" si="243"/>
        <v>0</v>
      </c>
    </row>
    <row r="7459" spans="5:10" ht="15.75" hidden="1" thickBot="1">
      <c r="F7459" s="294" t="s">
        <v>253</v>
      </c>
      <c r="G7459" s="297" t="s">
        <v>254</v>
      </c>
      <c r="J7459" s="639">
        <f t="shared" si="243"/>
        <v>0</v>
      </c>
    </row>
    <row r="7460" spans="5:10" ht="15.75" hidden="1" thickBot="1">
      <c r="F7460" s="294" t="s">
        <v>255</v>
      </c>
      <c r="G7460" s="297" t="s">
        <v>256</v>
      </c>
      <c r="J7460" s="639">
        <f t="shared" si="243"/>
        <v>0</v>
      </c>
    </row>
    <row r="7461" spans="5:10" ht="15.75" hidden="1" thickBot="1">
      <c r="F7461" s="294" t="s">
        <v>257</v>
      </c>
      <c r="G7461" s="297" t="s">
        <v>258</v>
      </c>
      <c r="J7461" s="639">
        <f t="shared" si="243"/>
        <v>0</v>
      </c>
    </row>
    <row r="7462" spans="5:10" ht="15.75" hidden="1" thickBot="1">
      <c r="F7462" s="294" t="s">
        <v>259</v>
      </c>
      <c r="G7462" s="297" t="s">
        <v>260</v>
      </c>
      <c r="J7462" s="639">
        <f t="shared" si="243"/>
        <v>0</v>
      </c>
    </row>
    <row r="7463" spans="5:10" ht="15.75" hidden="1" thickBot="1">
      <c r="F7463" s="294" t="s">
        <v>261</v>
      </c>
      <c r="G7463" s="297" t="s">
        <v>262</v>
      </c>
      <c r="H7463" s="638"/>
      <c r="I7463" s="639"/>
      <c r="J7463" s="639">
        <f t="shared" si="243"/>
        <v>0</v>
      </c>
    </row>
    <row r="7464" spans="5:10" ht="15.75" hidden="1" thickBot="1">
      <c r="G7464" s="274" t="s">
        <v>4397</v>
      </c>
      <c r="H7464" s="640">
        <f>SUM(H7448:H7463)</f>
        <v>0</v>
      </c>
      <c r="I7464" s="641">
        <f>SUM(I7449:I7463)</f>
        <v>0</v>
      </c>
      <c r="J7464" s="641">
        <f>SUM(J7448:J7463)</f>
        <v>0</v>
      </c>
    </row>
    <row r="7465" spans="5:10" hidden="1" collapsed="1">
      <c r="E7465" s="391"/>
      <c r="F7465" s="403"/>
      <c r="G7465" s="276" t="s">
        <v>4285</v>
      </c>
      <c r="H7465" s="642"/>
      <c r="I7465" s="663"/>
      <c r="J7465" s="643"/>
    </row>
    <row r="7466" spans="5:10" ht="15.75" hidden="1" thickBot="1">
      <c r="E7466" s="267"/>
      <c r="F7466" s="294" t="s">
        <v>234</v>
      </c>
      <c r="G7466" s="297" t="s">
        <v>235</v>
      </c>
      <c r="H7466" s="638">
        <f>SUM(H7387:H7446)</f>
        <v>0</v>
      </c>
      <c r="I7466" s="639"/>
      <c r="J7466" s="639">
        <f>SUM(H7466:I7466)</f>
        <v>0</v>
      </c>
    </row>
    <row r="7467" spans="5:10" ht="15.75" hidden="1" thickBot="1">
      <c r="F7467" s="294" t="s">
        <v>236</v>
      </c>
      <c r="G7467" s="297" t="s">
        <v>237</v>
      </c>
      <c r="J7467" s="639">
        <f t="shared" ref="J7467:J7481" si="244">SUM(H7467:I7467)</f>
        <v>0</v>
      </c>
    </row>
    <row r="7468" spans="5:10" ht="15.75" hidden="1" thickBot="1">
      <c r="F7468" s="294" t="s">
        <v>238</v>
      </c>
      <c r="G7468" s="297" t="s">
        <v>239</v>
      </c>
      <c r="J7468" s="639">
        <f t="shared" si="244"/>
        <v>0</v>
      </c>
    </row>
    <row r="7469" spans="5:10" ht="15.75" hidden="1" thickBot="1">
      <c r="F7469" s="294" t="s">
        <v>240</v>
      </c>
      <c r="G7469" s="297" t="s">
        <v>241</v>
      </c>
      <c r="J7469" s="639">
        <f t="shared" si="244"/>
        <v>0</v>
      </c>
    </row>
    <row r="7470" spans="5:10" ht="15.75" hidden="1" thickBot="1">
      <c r="F7470" s="294" t="s">
        <v>242</v>
      </c>
      <c r="G7470" s="297" t="s">
        <v>243</v>
      </c>
      <c r="J7470" s="639">
        <f t="shared" si="244"/>
        <v>0</v>
      </c>
    </row>
    <row r="7471" spans="5:10" ht="15.75" hidden="1" thickBot="1">
      <c r="F7471" s="294" t="s">
        <v>244</v>
      </c>
      <c r="G7471" s="297" t="s">
        <v>245</v>
      </c>
      <c r="J7471" s="639">
        <f t="shared" si="244"/>
        <v>0</v>
      </c>
    </row>
    <row r="7472" spans="5:10" ht="15.75" hidden="1" thickBot="1">
      <c r="F7472" s="294" t="s">
        <v>246</v>
      </c>
      <c r="G7472" s="683" t="s">
        <v>5121</v>
      </c>
      <c r="J7472" s="639">
        <f t="shared" si="244"/>
        <v>0</v>
      </c>
    </row>
    <row r="7473" spans="3:12" ht="15.75" hidden="1" thickBot="1">
      <c r="F7473" s="294" t="s">
        <v>247</v>
      </c>
      <c r="G7473" s="683" t="s">
        <v>5120</v>
      </c>
      <c r="J7473" s="639">
        <f t="shared" si="244"/>
        <v>0</v>
      </c>
    </row>
    <row r="7474" spans="3:12" ht="15.75" hidden="1" thickBot="1">
      <c r="F7474" s="294" t="s">
        <v>248</v>
      </c>
      <c r="G7474" s="297" t="s">
        <v>57</v>
      </c>
      <c r="J7474" s="639">
        <f t="shared" si="244"/>
        <v>0</v>
      </c>
    </row>
    <row r="7475" spans="3:12" ht="15.75" hidden="1" thickBot="1">
      <c r="F7475" s="294" t="s">
        <v>249</v>
      </c>
      <c r="G7475" s="297" t="s">
        <v>250</v>
      </c>
      <c r="J7475" s="639">
        <f t="shared" si="244"/>
        <v>0</v>
      </c>
    </row>
    <row r="7476" spans="3:12" ht="15.75" hidden="1" thickBot="1">
      <c r="F7476" s="294" t="s">
        <v>251</v>
      </c>
      <c r="G7476" s="297" t="s">
        <v>252</v>
      </c>
      <c r="J7476" s="639">
        <f t="shared" si="244"/>
        <v>0</v>
      </c>
    </row>
    <row r="7477" spans="3:12" ht="15.75" hidden="1" thickBot="1">
      <c r="F7477" s="294" t="s">
        <v>253</v>
      </c>
      <c r="G7477" s="297" t="s">
        <v>254</v>
      </c>
      <c r="J7477" s="639">
        <f t="shared" si="244"/>
        <v>0</v>
      </c>
    </row>
    <row r="7478" spans="3:12" ht="15.75" hidden="1" thickBot="1">
      <c r="F7478" s="294" t="s">
        <v>255</v>
      </c>
      <c r="G7478" s="297" t="s">
        <v>256</v>
      </c>
      <c r="J7478" s="639">
        <f t="shared" si="244"/>
        <v>0</v>
      </c>
    </row>
    <row r="7479" spans="3:12" ht="15.75" hidden="1" thickBot="1">
      <c r="F7479" s="294" t="s">
        <v>257</v>
      </c>
      <c r="G7479" s="297" t="s">
        <v>258</v>
      </c>
      <c r="J7479" s="639">
        <f t="shared" si="244"/>
        <v>0</v>
      </c>
    </row>
    <row r="7480" spans="3:12" ht="15.75" hidden="1" thickBot="1">
      <c r="F7480" s="294" t="s">
        <v>259</v>
      </c>
      <c r="G7480" s="297" t="s">
        <v>260</v>
      </c>
      <c r="J7480" s="639">
        <f t="shared" si="244"/>
        <v>0</v>
      </c>
    </row>
    <row r="7481" spans="3:12" ht="15.75" hidden="1" thickBot="1">
      <c r="F7481" s="294" t="s">
        <v>261</v>
      </c>
      <c r="G7481" s="297" t="s">
        <v>262</v>
      </c>
      <c r="H7481" s="638"/>
      <c r="I7481" s="639"/>
      <c r="J7481" s="639">
        <f t="shared" si="244"/>
        <v>0</v>
      </c>
    </row>
    <row r="7482" spans="3:12" ht="15.75" hidden="1" collapsed="1" thickBot="1">
      <c r="G7482" s="274" t="s">
        <v>4399</v>
      </c>
      <c r="H7482" s="640">
        <f>SUM(H7466:H7481)</f>
        <v>0</v>
      </c>
      <c r="I7482" s="641">
        <f>SUM(I7467:I7481)</f>
        <v>0</v>
      </c>
      <c r="J7482" s="641">
        <f>SUM(J7466:J7481)</f>
        <v>0</v>
      </c>
    </row>
    <row r="7483" spans="3:12" hidden="1"/>
    <row r="7484" spans="3:12" hidden="1">
      <c r="C7484" s="368" t="s">
        <v>4300</v>
      </c>
      <c r="D7484" s="330"/>
      <c r="E7484" s="330"/>
      <c r="F7484" s="267"/>
      <c r="G7484" s="332" t="s">
        <v>4096</v>
      </c>
      <c r="K7484" s="541"/>
      <c r="L7484" s="572"/>
    </row>
    <row r="7485" spans="3:12" hidden="1">
      <c r="C7485" s="389"/>
      <c r="D7485" s="357">
        <v>473</v>
      </c>
      <c r="E7485" s="357"/>
      <c r="F7485" s="357"/>
      <c r="G7485" s="383" t="s">
        <v>162</v>
      </c>
      <c r="K7485" s="573"/>
      <c r="L7485" s="572"/>
    </row>
    <row r="7486" spans="3:12" hidden="1">
      <c r="F7486" s="402">
        <v>411</v>
      </c>
      <c r="G7486" s="393" t="s">
        <v>4173</v>
      </c>
      <c r="J7486" s="635">
        <f>SUM(H7486:I7486)</f>
        <v>0</v>
      </c>
    </row>
    <row r="7487" spans="3:12" hidden="1">
      <c r="F7487" s="402">
        <v>412</v>
      </c>
      <c r="G7487" s="390" t="s">
        <v>3770</v>
      </c>
      <c r="J7487" s="635">
        <f t="shared" ref="J7487:J7545" si="245">SUM(H7487:I7487)</f>
        <v>0</v>
      </c>
    </row>
    <row r="7488" spans="3:12" hidden="1">
      <c r="F7488" s="402">
        <v>413</v>
      </c>
      <c r="G7488" s="393" t="s">
        <v>4174</v>
      </c>
      <c r="J7488" s="635">
        <f t="shared" si="245"/>
        <v>0</v>
      </c>
    </row>
    <row r="7489" spans="6:10" hidden="1">
      <c r="F7489" s="402">
        <v>414</v>
      </c>
      <c r="G7489" s="393" t="s">
        <v>3773</v>
      </c>
      <c r="J7489" s="635">
        <f t="shared" si="245"/>
        <v>0</v>
      </c>
    </row>
    <row r="7490" spans="6:10" hidden="1">
      <c r="F7490" s="402">
        <v>415</v>
      </c>
      <c r="G7490" s="393" t="s">
        <v>4183</v>
      </c>
      <c r="J7490" s="635">
        <f t="shared" si="245"/>
        <v>0</v>
      </c>
    </row>
    <row r="7491" spans="6:10" hidden="1">
      <c r="F7491" s="402">
        <v>416</v>
      </c>
      <c r="G7491" s="393" t="s">
        <v>4184</v>
      </c>
      <c r="J7491" s="635">
        <f t="shared" si="245"/>
        <v>0</v>
      </c>
    </row>
    <row r="7492" spans="6:10" hidden="1">
      <c r="F7492" s="402">
        <v>417</v>
      </c>
      <c r="G7492" s="393" t="s">
        <v>4185</v>
      </c>
      <c r="J7492" s="635">
        <f t="shared" si="245"/>
        <v>0</v>
      </c>
    </row>
    <row r="7493" spans="6:10" hidden="1">
      <c r="F7493" s="402">
        <v>418</v>
      </c>
      <c r="G7493" s="393" t="s">
        <v>3779</v>
      </c>
      <c r="J7493" s="635">
        <f t="shared" si="245"/>
        <v>0</v>
      </c>
    </row>
    <row r="7494" spans="6:10" hidden="1">
      <c r="F7494" s="402">
        <v>421</v>
      </c>
      <c r="G7494" s="393" t="s">
        <v>3783</v>
      </c>
      <c r="J7494" s="635">
        <f t="shared" si="245"/>
        <v>0</v>
      </c>
    </row>
    <row r="7495" spans="6:10" hidden="1">
      <c r="F7495" s="402">
        <v>422</v>
      </c>
      <c r="G7495" s="393" t="s">
        <v>3784</v>
      </c>
      <c r="J7495" s="635">
        <f t="shared" si="245"/>
        <v>0</v>
      </c>
    </row>
    <row r="7496" spans="6:10" ht="15.75" hidden="1" thickBot="1">
      <c r="F7496" s="402">
        <v>423</v>
      </c>
      <c r="G7496" s="393" t="s">
        <v>3785</v>
      </c>
      <c r="J7496" s="635">
        <f t="shared" si="245"/>
        <v>0</v>
      </c>
    </row>
    <row r="7497" spans="6:10" ht="15.75" hidden="1" thickBot="1">
      <c r="F7497" s="402">
        <v>424</v>
      </c>
      <c r="G7497" s="393" t="s">
        <v>3787</v>
      </c>
      <c r="J7497" s="635">
        <f t="shared" si="245"/>
        <v>0</v>
      </c>
    </row>
    <row r="7498" spans="6:10" ht="15.75" hidden="1" thickBot="1">
      <c r="F7498" s="402">
        <v>425</v>
      </c>
      <c r="G7498" s="393" t="s">
        <v>4186</v>
      </c>
      <c r="J7498" s="635">
        <f t="shared" si="245"/>
        <v>0</v>
      </c>
    </row>
    <row r="7499" spans="6:10" ht="15.75" hidden="1" thickBot="1">
      <c r="F7499" s="402">
        <v>426</v>
      </c>
      <c r="G7499" s="393" t="s">
        <v>3791</v>
      </c>
      <c r="J7499" s="635">
        <f t="shared" si="245"/>
        <v>0</v>
      </c>
    </row>
    <row r="7500" spans="6:10" ht="15.75" hidden="1" thickBot="1">
      <c r="F7500" s="402">
        <v>431</v>
      </c>
      <c r="G7500" s="393" t="s">
        <v>4187</v>
      </c>
      <c r="J7500" s="635">
        <f t="shared" si="245"/>
        <v>0</v>
      </c>
    </row>
    <row r="7501" spans="6:10" ht="15.75" hidden="1" thickBot="1">
      <c r="F7501" s="402">
        <v>432</v>
      </c>
      <c r="G7501" s="393" t="s">
        <v>4188</v>
      </c>
      <c r="J7501" s="635">
        <f t="shared" si="245"/>
        <v>0</v>
      </c>
    </row>
    <row r="7502" spans="6:10" ht="15.75" hidden="1" thickBot="1">
      <c r="F7502" s="402">
        <v>433</v>
      </c>
      <c r="G7502" s="393" t="s">
        <v>4189</v>
      </c>
      <c r="J7502" s="635">
        <f t="shared" si="245"/>
        <v>0</v>
      </c>
    </row>
    <row r="7503" spans="6:10" ht="15.75" hidden="1" thickBot="1">
      <c r="F7503" s="402">
        <v>434</v>
      </c>
      <c r="G7503" s="393" t="s">
        <v>4190</v>
      </c>
      <c r="J7503" s="635">
        <f t="shared" si="245"/>
        <v>0</v>
      </c>
    </row>
    <row r="7504" spans="6:10" ht="15.75" hidden="1" thickBot="1">
      <c r="F7504" s="402">
        <v>435</v>
      </c>
      <c r="G7504" s="393" t="s">
        <v>3798</v>
      </c>
      <c r="J7504" s="635">
        <f t="shared" si="245"/>
        <v>0</v>
      </c>
    </row>
    <row r="7505" spans="6:10" ht="15.75" hidden="1" thickBot="1">
      <c r="F7505" s="402">
        <v>441</v>
      </c>
      <c r="G7505" s="393" t="s">
        <v>4191</v>
      </c>
      <c r="J7505" s="635">
        <f t="shared" si="245"/>
        <v>0</v>
      </c>
    </row>
    <row r="7506" spans="6:10" ht="15.75" hidden="1" thickBot="1">
      <c r="F7506" s="402">
        <v>442</v>
      </c>
      <c r="G7506" s="393" t="s">
        <v>4192</v>
      </c>
      <c r="J7506" s="635">
        <f t="shared" si="245"/>
        <v>0</v>
      </c>
    </row>
    <row r="7507" spans="6:10" ht="15.75" hidden="1" thickBot="1">
      <c r="F7507" s="402">
        <v>443</v>
      </c>
      <c r="G7507" s="393" t="s">
        <v>3803</v>
      </c>
      <c r="J7507" s="635">
        <f t="shared" si="245"/>
        <v>0</v>
      </c>
    </row>
    <row r="7508" spans="6:10" ht="15.75" hidden="1" thickBot="1">
      <c r="F7508" s="402">
        <v>444</v>
      </c>
      <c r="G7508" s="393" t="s">
        <v>3804</v>
      </c>
      <c r="J7508" s="635">
        <f t="shared" si="245"/>
        <v>0</v>
      </c>
    </row>
    <row r="7509" spans="6:10" ht="30.75" hidden="1" thickBot="1">
      <c r="F7509" s="402">
        <v>4511</v>
      </c>
      <c r="G7509" s="268" t="s">
        <v>1690</v>
      </c>
      <c r="J7509" s="635">
        <f t="shared" si="245"/>
        <v>0</v>
      </c>
    </row>
    <row r="7510" spans="6:10" ht="30.75" hidden="1" thickBot="1">
      <c r="F7510" s="402">
        <v>4512</v>
      </c>
      <c r="G7510" s="268" t="s">
        <v>1699</v>
      </c>
      <c r="J7510" s="635">
        <f t="shared" si="245"/>
        <v>0</v>
      </c>
    </row>
    <row r="7511" spans="6:10" ht="15.75" hidden="1" thickBot="1">
      <c r="F7511" s="402">
        <v>452</v>
      </c>
      <c r="G7511" s="393" t="s">
        <v>4193</v>
      </c>
      <c r="J7511" s="635">
        <f t="shared" si="245"/>
        <v>0</v>
      </c>
    </row>
    <row r="7512" spans="6:10" ht="15.75" hidden="1" thickBot="1">
      <c r="F7512" s="402">
        <v>453</v>
      </c>
      <c r="G7512" s="393" t="s">
        <v>4194</v>
      </c>
      <c r="J7512" s="635">
        <f t="shared" si="245"/>
        <v>0</v>
      </c>
    </row>
    <row r="7513" spans="6:10" ht="15.75" hidden="1" thickBot="1">
      <c r="F7513" s="402">
        <v>454</v>
      </c>
      <c r="G7513" s="393" t="s">
        <v>3809</v>
      </c>
      <c r="J7513" s="635">
        <f t="shared" si="245"/>
        <v>0</v>
      </c>
    </row>
    <row r="7514" spans="6:10" ht="15.75" hidden="1" thickBot="1">
      <c r="F7514" s="402">
        <v>461</v>
      </c>
      <c r="G7514" s="393" t="s">
        <v>4175</v>
      </c>
      <c r="J7514" s="635">
        <f t="shared" si="245"/>
        <v>0</v>
      </c>
    </row>
    <row r="7515" spans="6:10" ht="15.75" hidden="1" thickBot="1">
      <c r="F7515" s="402">
        <v>462</v>
      </c>
      <c r="G7515" s="393" t="s">
        <v>3812</v>
      </c>
      <c r="J7515" s="635">
        <f t="shared" si="245"/>
        <v>0</v>
      </c>
    </row>
    <row r="7516" spans="6:10" ht="15.75" hidden="1" thickBot="1">
      <c r="F7516" s="402">
        <v>4631</v>
      </c>
      <c r="G7516" s="393" t="s">
        <v>3813</v>
      </c>
      <c r="J7516" s="635">
        <f t="shared" si="245"/>
        <v>0</v>
      </c>
    </row>
    <row r="7517" spans="6:10" ht="15.75" hidden="1" thickBot="1">
      <c r="F7517" s="402">
        <v>4632</v>
      </c>
      <c r="G7517" s="393" t="s">
        <v>3814</v>
      </c>
      <c r="J7517" s="635">
        <f t="shared" si="245"/>
        <v>0</v>
      </c>
    </row>
    <row r="7518" spans="6:10" ht="15.75" hidden="1" thickBot="1">
      <c r="F7518" s="402">
        <v>464</v>
      </c>
      <c r="G7518" s="393" t="s">
        <v>3815</v>
      </c>
      <c r="J7518" s="635">
        <f t="shared" si="245"/>
        <v>0</v>
      </c>
    </row>
    <row r="7519" spans="6:10" ht="15.75" hidden="1" thickBot="1">
      <c r="F7519" s="402">
        <v>465</v>
      </c>
      <c r="G7519" s="393" t="s">
        <v>4176</v>
      </c>
      <c r="J7519" s="635">
        <f t="shared" si="245"/>
        <v>0</v>
      </c>
    </row>
    <row r="7520" spans="6:10" ht="15.75" hidden="1" thickBot="1">
      <c r="F7520" s="402">
        <v>472</v>
      </c>
      <c r="G7520" s="393" t="s">
        <v>3819</v>
      </c>
      <c r="J7520" s="635">
        <f t="shared" si="245"/>
        <v>0</v>
      </c>
    </row>
    <row r="7521" spans="6:10" ht="15.75" hidden="1" thickBot="1">
      <c r="F7521" s="402">
        <v>481</v>
      </c>
      <c r="G7521" s="393" t="s">
        <v>4195</v>
      </c>
      <c r="J7521" s="635">
        <f t="shared" si="245"/>
        <v>0</v>
      </c>
    </row>
    <row r="7522" spans="6:10" ht="15.75" hidden="1" thickBot="1">
      <c r="F7522" s="402">
        <v>482</v>
      </c>
      <c r="G7522" s="393" t="s">
        <v>4196</v>
      </c>
      <c r="J7522" s="635">
        <f t="shared" si="245"/>
        <v>0</v>
      </c>
    </row>
    <row r="7523" spans="6:10" ht="15.75" hidden="1" thickBot="1">
      <c r="F7523" s="402">
        <v>483</v>
      </c>
      <c r="G7523" s="398" t="s">
        <v>4197</v>
      </c>
      <c r="J7523" s="635">
        <f t="shared" si="245"/>
        <v>0</v>
      </c>
    </row>
    <row r="7524" spans="6:10" ht="30.75" hidden="1" thickBot="1">
      <c r="F7524" s="402">
        <v>484</v>
      </c>
      <c r="G7524" s="393" t="s">
        <v>4198</v>
      </c>
      <c r="J7524" s="635">
        <f t="shared" si="245"/>
        <v>0</v>
      </c>
    </row>
    <row r="7525" spans="6:10" ht="30.75" hidden="1" thickBot="1">
      <c r="F7525" s="402">
        <v>485</v>
      </c>
      <c r="G7525" s="393" t="s">
        <v>4199</v>
      </c>
      <c r="J7525" s="635">
        <f t="shared" si="245"/>
        <v>0</v>
      </c>
    </row>
    <row r="7526" spans="6:10" ht="30.75" hidden="1" thickBot="1">
      <c r="F7526" s="402">
        <v>489</v>
      </c>
      <c r="G7526" s="393" t="s">
        <v>3827</v>
      </c>
      <c r="J7526" s="635">
        <f t="shared" si="245"/>
        <v>0</v>
      </c>
    </row>
    <row r="7527" spans="6:10" ht="15.75" hidden="1" thickBot="1">
      <c r="F7527" s="402">
        <v>494</v>
      </c>
      <c r="G7527" s="393" t="s">
        <v>4177</v>
      </c>
      <c r="J7527" s="635">
        <f t="shared" si="245"/>
        <v>0</v>
      </c>
    </row>
    <row r="7528" spans="6:10" ht="30.75" hidden="1" thickBot="1">
      <c r="F7528" s="402">
        <v>495</v>
      </c>
      <c r="G7528" s="393" t="s">
        <v>4178</v>
      </c>
      <c r="J7528" s="635">
        <f t="shared" si="245"/>
        <v>0</v>
      </c>
    </row>
    <row r="7529" spans="6:10" ht="30.75" hidden="1" thickBot="1">
      <c r="F7529" s="402">
        <v>496</v>
      </c>
      <c r="G7529" s="393" t="s">
        <v>4179</v>
      </c>
      <c r="J7529" s="635">
        <f t="shared" si="245"/>
        <v>0</v>
      </c>
    </row>
    <row r="7530" spans="6:10" ht="15.75" hidden="1" thickBot="1">
      <c r="F7530" s="402">
        <v>499</v>
      </c>
      <c r="G7530" s="393" t="s">
        <v>4180</v>
      </c>
      <c r="J7530" s="635">
        <f t="shared" si="245"/>
        <v>0</v>
      </c>
    </row>
    <row r="7531" spans="6:10" ht="15.75" hidden="1" thickBot="1">
      <c r="F7531" s="402">
        <v>511</v>
      </c>
      <c r="G7531" s="398" t="s">
        <v>4200</v>
      </c>
      <c r="J7531" s="635">
        <f t="shared" si="245"/>
        <v>0</v>
      </c>
    </row>
    <row r="7532" spans="6:10" ht="15.75" hidden="1" thickBot="1">
      <c r="F7532" s="402">
        <v>512</v>
      </c>
      <c r="G7532" s="398" t="s">
        <v>4201</v>
      </c>
      <c r="J7532" s="635">
        <f t="shared" si="245"/>
        <v>0</v>
      </c>
    </row>
    <row r="7533" spans="6:10" ht="15.75" hidden="1" thickBot="1">
      <c r="F7533" s="402">
        <v>513</v>
      </c>
      <c r="G7533" s="398" t="s">
        <v>4202</v>
      </c>
      <c r="J7533" s="635">
        <f t="shared" si="245"/>
        <v>0</v>
      </c>
    </row>
    <row r="7534" spans="6:10" ht="15.75" hidden="1" thickBot="1">
      <c r="F7534" s="402">
        <v>514</v>
      </c>
      <c r="G7534" s="393" t="s">
        <v>4203</v>
      </c>
      <c r="J7534" s="635">
        <f t="shared" si="245"/>
        <v>0</v>
      </c>
    </row>
    <row r="7535" spans="6:10" ht="15.75" hidden="1" thickBot="1">
      <c r="F7535" s="402">
        <v>515</v>
      </c>
      <c r="G7535" s="393" t="s">
        <v>3838</v>
      </c>
      <c r="J7535" s="635">
        <f t="shared" si="245"/>
        <v>0</v>
      </c>
    </row>
    <row r="7536" spans="6:10" ht="15.75" hidden="1" thickBot="1">
      <c r="F7536" s="402">
        <v>521</v>
      </c>
      <c r="G7536" s="393" t="s">
        <v>4204</v>
      </c>
      <c r="J7536" s="635">
        <f t="shared" si="245"/>
        <v>0</v>
      </c>
    </row>
    <row r="7537" spans="5:10" ht="15.75" hidden="1" thickBot="1">
      <c r="F7537" s="402">
        <v>522</v>
      </c>
      <c r="G7537" s="393" t="s">
        <v>4205</v>
      </c>
      <c r="J7537" s="635">
        <f t="shared" si="245"/>
        <v>0</v>
      </c>
    </row>
    <row r="7538" spans="5:10" ht="15.75" hidden="1" thickBot="1">
      <c r="F7538" s="402">
        <v>523</v>
      </c>
      <c r="G7538" s="393" t="s">
        <v>3843</v>
      </c>
      <c r="J7538" s="635">
        <f t="shared" si="245"/>
        <v>0</v>
      </c>
    </row>
    <row r="7539" spans="5:10" ht="15.75" hidden="1" thickBot="1">
      <c r="F7539" s="402">
        <v>531</v>
      </c>
      <c r="G7539" s="390" t="s">
        <v>4181</v>
      </c>
      <c r="J7539" s="635">
        <f t="shared" si="245"/>
        <v>0</v>
      </c>
    </row>
    <row r="7540" spans="5:10" ht="15.75" hidden="1" thickBot="1">
      <c r="F7540" s="402">
        <v>541</v>
      </c>
      <c r="G7540" s="393" t="s">
        <v>4206</v>
      </c>
      <c r="J7540" s="635">
        <f t="shared" si="245"/>
        <v>0</v>
      </c>
    </row>
    <row r="7541" spans="5:10" ht="15.75" hidden="1" thickBot="1">
      <c r="F7541" s="402">
        <v>542</v>
      </c>
      <c r="G7541" s="393" t="s">
        <v>4207</v>
      </c>
      <c r="J7541" s="635">
        <f t="shared" si="245"/>
        <v>0</v>
      </c>
    </row>
    <row r="7542" spans="5:10" ht="15.75" hidden="1" thickBot="1">
      <c r="F7542" s="402">
        <v>543</v>
      </c>
      <c r="G7542" s="393" t="s">
        <v>3848</v>
      </c>
      <c r="J7542" s="635">
        <f t="shared" si="245"/>
        <v>0</v>
      </c>
    </row>
    <row r="7543" spans="5:10" ht="30.75" hidden="1" thickBot="1">
      <c r="F7543" s="402">
        <v>551</v>
      </c>
      <c r="G7543" s="393" t="s">
        <v>4182</v>
      </c>
      <c r="J7543" s="635">
        <f t="shared" si="245"/>
        <v>0</v>
      </c>
    </row>
    <row r="7544" spans="5:10" ht="15.75" hidden="1" thickBot="1">
      <c r="F7544" s="403">
        <v>611</v>
      </c>
      <c r="G7544" s="401" t="s">
        <v>3854</v>
      </c>
      <c r="J7544" s="635">
        <f t="shared" si="245"/>
        <v>0</v>
      </c>
    </row>
    <row r="7545" spans="5:10" ht="15.75" hidden="1" thickBot="1">
      <c r="F7545" s="403">
        <v>620</v>
      </c>
      <c r="G7545" s="401" t="s">
        <v>88</v>
      </c>
      <c r="J7545" s="635">
        <f t="shared" si="245"/>
        <v>0</v>
      </c>
    </row>
    <row r="7546" spans="5:10" hidden="1">
      <c r="E7546" s="391"/>
      <c r="F7546" s="403"/>
      <c r="G7546" s="372" t="s">
        <v>4396</v>
      </c>
      <c r="H7546" s="636"/>
      <c r="I7546" s="662"/>
      <c r="J7546" s="637"/>
    </row>
    <row r="7547" spans="5:10" ht="15.75" hidden="1" thickBot="1">
      <c r="E7547" s="267"/>
      <c r="F7547" s="294" t="s">
        <v>234</v>
      </c>
      <c r="G7547" s="297" t="s">
        <v>235</v>
      </c>
      <c r="H7547" s="638">
        <f>SUM(H7486:H7545)</f>
        <v>0</v>
      </c>
      <c r="I7547" s="639"/>
      <c r="J7547" s="639">
        <f t="shared" ref="J7547:J7562" si="246">SUM(H7547:I7547)</f>
        <v>0</v>
      </c>
    </row>
    <row r="7548" spans="5:10" ht="15.75" hidden="1" thickBot="1">
      <c r="F7548" s="294" t="s">
        <v>236</v>
      </c>
      <c r="G7548" s="297" t="s">
        <v>237</v>
      </c>
      <c r="J7548" s="639">
        <f t="shared" si="246"/>
        <v>0</v>
      </c>
    </row>
    <row r="7549" spans="5:10" ht="15.75" hidden="1" thickBot="1">
      <c r="F7549" s="294" t="s">
        <v>238</v>
      </c>
      <c r="G7549" s="297" t="s">
        <v>239</v>
      </c>
      <c r="J7549" s="639">
        <f t="shared" si="246"/>
        <v>0</v>
      </c>
    </row>
    <row r="7550" spans="5:10" ht="15.75" hidden="1" thickBot="1">
      <c r="F7550" s="294" t="s">
        <v>240</v>
      </c>
      <c r="G7550" s="297" t="s">
        <v>241</v>
      </c>
      <c r="J7550" s="639">
        <f t="shared" si="246"/>
        <v>0</v>
      </c>
    </row>
    <row r="7551" spans="5:10" ht="15.75" hidden="1" thickBot="1">
      <c r="F7551" s="294" t="s">
        <v>242</v>
      </c>
      <c r="G7551" s="297" t="s">
        <v>243</v>
      </c>
      <c r="J7551" s="639">
        <f t="shared" si="246"/>
        <v>0</v>
      </c>
    </row>
    <row r="7552" spans="5:10" ht="15.75" hidden="1" thickBot="1">
      <c r="F7552" s="294" t="s">
        <v>244</v>
      </c>
      <c r="G7552" s="297" t="s">
        <v>245</v>
      </c>
      <c r="J7552" s="639">
        <f t="shared" si="246"/>
        <v>0</v>
      </c>
    </row>
    <row r="7553" spans="5:10" ht="15.75" hidden="1" thickBot="1">
      <c r="F7553" s="294" t="s">
        <v>246</v>
      </c>
      <c r="G7553" s="683" t="s">
        <v>5121</v>
      </c>
      <c r="J7553" s="639">
        <f t="shared" si="246"/>
        <v>0</v>
      </c>
    </row>
    <row r="7554" spans="5:10" ht="15.75" hidden="1" thickBot="1">
      <c r="F7554" s="294" t="s">
        <v>247</v>
      </c>
      <c r="G7554" s="683" t="s">
        <v>5120</v>
      </c>
      <c r="J7554" s="639">
        <f t="shared" si="246"/>
        <v>0</v>
      </c>
    </row>
    <row r="7555" spans="5:10" ht="15.75" hidden="1" thickBot="1">
      <c r="F7555" s="294" t="s">
        <v>248</v>
      </c>
      <c r="G7555" s="297" t="s">
        <v>57</v>
      </c>
      <c r="J7555" s="639">
        <f t="shared" si="246"/>
        <v>0</v>
      </c>
    </row>
    <row r="7556" spans="5:10" ht="15.75" hidden="1" thickBot="1">
      <c r="F7556" s="294" t="s">
        <v>249</v>
      </c>
      <c r="G7556" s="297" t="s">
        <v>250</v>
      </c>
      <c r="J7556" s="639">
        <f t="shared" si="246"/>
        <v>0</v>
      </c>
    </row>
    <row r="7557" spans="5:10" ht="15.75" hidden="1" thickBot="1">
      <c r="F7557" s="294" t="s">
        <v>251</v>
      </c>
      <c r="G7557" s="297" t="s">
        <v>252</v>
      </c>
      <c r="J7557" s="639">
        <f t="shared" si="246"/>
        <v>0</v>
      </c>
    </row>
    <row r="7558" spans="5:10" ht="15.75" hidden="1" thickBot="1">
      <c r="F7558" s="294" t="s">
        <v>253</v>
      </c>
      <c r="G7558" s="297" t="s">
        <v>254</v>
      </c>
      <c r="J7558" s="639">
        <f t="shared" si="246"/>
        <v>0</v>
      </c>
    </row>
    <row r="7559" spans="5:10" ht="15.75" hidden="1" thickBot="1">
      <c r="F7559" s="294" t="s">
        <v>255</v>
      </c>
      <c r="G7559" s="297" t="s">
        <v>256</v>
      </c>
      <c r="J7559" s="639">
        <f t="shared" si="246"/>
        <v>0</v>
      </c>
    </row>
    <row r="7560" spans="5:10" ht="15.75" hidden="1" thickBot="1">
      <c r="F7560" s="294" t="s">
        <v>257</v>
      </c>
      <c r="G7560" s="297" t="s">
        <v>258</v>
      </c>
      <c r="J7560" s="639">
        <f t="shared" si="246"/>
        <v>0</v>
      </c>
    </row>
    <row r="7561" spans="5:10" ht="15.75" hidden="1" thickBot="1">
      <c r="F7561" s="294" t="s">
        <v>259</v>
      </c>
      <c r="G7561" s="297" t="s">
        <v>260</v>
      </c>
      <c r="J7561" s="639">
        <f t="shared" si="246"/>
        <v>0</v>
      </c>
    </row>
    <row r="7562" spans="5:10" ht="15.75" hidden="1" thickBot="1">
      <c r="F7562" s="294" t="s">
        <v>261</v>
      </c>
      <c r="G7562" s="297" t="s">
        <v>262</v>
      </c>
      <c r="H7562" s="638"/>
      <c r="I7562" s="639"/>
      <c r="J7562" s="639">
        <f t="shared" si="246"/>
        <v>0</v>
      </c>
    </row>
    <row r="7563" spans="5:10" ht="15.75" hidden="1" thickBot="1">
      <c r="G7563" s="274" t="s">
        <v>4397</v>
      </c>
      <c r="H7563" s="640">
        <f>SUM(H7547:H7562)</f>
        <v>0</v>
      </c>
      <c r="I7563" s="641">
        <f>SUM(I7548:I7562)</f>
        <v>0</v>
      </c>
      <c r="J7563" s="641">
        <f>SUM(J7547:J7562)</f>
        <v>0</v>
      </c>
    </row>
    <row r="7564" spans="5:10" hidden="1" collapsed="1">
      <c r="E7564" s="391"/>
      <c r="F7564" s="403"/>
      <c r="G7564" s="276" t="s">
        <v>4301</v>
      </c>
      <c r="H7564" s="642"/>
      <c r="I7564" s="663"/>
      <c r="J7564" s="643"/>
    </row>
    <row r="7565" spans="5:10" ht="15.75" hidden="1" thickBot="1">
      <c r="E7565" s="267"/>
      <c r="F7565" s="294" t="s">
        <v>234</v>
      </c>
      <c r="G7565" s="297" t="s">
        <v>235</v>
      </c>
      <c r="H7565" s="638">
        <f>SUM(H7486:H7545)</f>
        <v>0</v>
      </c>
      <c r="I7565" s="639"/>
      <c r="J7565" s="639">
        <f>SUM(H7565:I7565)</f>
        <v>0</v>
      </c>
    </row>
    <row r="7566" spans="5:10" ht="15.75" hidden="1" thickBot="1">
      <c r="F7566" s="294" t="s">
        <v>236</v>
      </c>
      <c r="G7566" s="297" t="s">
        <v>237</v>
      </c>
      <c r="J7566" s="639">
        <f t="shared" ref="J7566:J7580" si="247">SUM(H7566:I7566)</f>
        <v>0</v>
      </c>
    </row>
    <row r="7567" spans="5:10" ht="15.75" hidden="1" thickBot="1">
      <c r="F7567" s="294" t="s">
        <v>238</v>
      </c>
      <c r="G7567" s="297" t="s">
        <v>239</v>
      </c>
      <c r="J7567" s="639">
        <f t="shared" si="247"/>
        <v>0</v>
      </c>
    </row>
    <row r="7568" spans="5:10" ht="15.75" hidden="1" thickBot="1">
      <c r="F7568" s="294" t="s">
        <v>240</v>
      </c>
      <c r="G7568" s="297" t="s">
        <v>241</v>
      </c>
      <c r="J7568" s="639">
        <f t="shared" si="247"/>
        <v>0</v>
      </c>
    </row>
    <row r="7569" spans="3:10" ht="15.75" hidden="1" thickBot="1">
      <c r="F7569" s="294" t="s">
        <v>242</v>
      </c>
      <c r="G7569" s="297" t="s">
        <v>243</v>
      </c>
      <c r="J7569" s="639">
        <f t="shared" si="247"/>
        <v>0</v>
      </c>
    </row>
    <row r="7570" spans="3:10" ht="15.75" hidden="1" thickBot="1">
      <c r="F7570" s="294" t="s">
        <v>244</v>
      </c>
      <c r="G7570" s="297" t="s">
        <v>245</v>
      </c>
      <c r="J7570" s="639">
        <f t="shared" si="247"/>
        <v>0</v>
      </c>
    </row>
    <row r="7571" spans="3:10" ht="15.75" hidden="1" thickBot="1">
      <c r="F7571" s="294" t="s">
        <v>246</v>
      </c>
      <c r="G7571" s="683" t="s">
        <v>5121</v>
      </c>
      <c r="J7571" s="639">
        <f t="shared" si="247"/>
        <v>0</v>
      </c>
    </row>
    <row r="7572" spans="3:10" ht="15.75" hidden="1" thickBot="1">
      <c r="F7572" s="294" t="s">
        <v>247</v>
      </c>
      <c r="G7572" s="683" t="s">
        <v>5120</v>
      </c>
      <c r="J7572" s="639">
        <f t="shared" si="247"/>
        <v>0</v>
      </c>
    </row>
    <row r="7573" spans="3:10" ht="15.75" hidden="1" thickBot="1">
      <c r="F7573" s="294" t="s">
        <v>248</v>
      </c>
      <c r="G7573" s="297" t="s">
        <v>57</v>
      </c>
      <c r="J7573" s="639">
        <f t="shared" si="247"/>
        <v>0</v>
      </c>
    </row>
    <row r="7574" spans="3:10" ht="15.75" hidden="1" thickBot="1">
      <c r="F7574" s="294" t="s">
        <v>249</v>
      </c>
      <c r="G7574" s="297" t="s">
        <v>250</v>
      </c>
      <c r="J7574" s="639">
        <f t="shared" si="247"/>
        <v>0</v>
      </c>
    </row>
    <row r="7575" spans="3:10" ht="15.75" hidden="1" thickBot="1">
      <c r="F7575" s="294" t="s">
        <v>251</v>
      </c>
      <c r="G7575" s="297" t="s">
        <v>252</v>
      </c>
      <c r="J7575" s="639">
        <f t="shared" si="247"/>
        <v>0</v>
      </c>
    </row>
    <row r="7576" spans="3:10" ht="15.75" hidden="1" thickBot="1">
      <c r="F7576" s="294" t="s">
        <v>253</v>
      </c>
      <c r="G7576" s="297" t="s">
        <v>254</v>
      </c>
      <c r="J7576" s="639">
        <f t="shared" si="247"/>
        <v>0</v>
      </c>
    </row>
    <row r="7577" spans="3:10" ht="15.75" hidden="1" thickBot="1">
      <c r="F7577" s="294" t="s">
        <v>255</v>
      </c>
      <c r="G7577" s="297" t="s">
        <v>256</v>
      </c>
      <c r="J7577" s="639">
        <f t="shared" si="247"/>
        <v>0</v>
      </c>
    </row>
    <row r="7578" spans="3:10" ht="15.75" hidden="1" thickBot="1">
      <c r="F7578" s="294" t="s">
        <v>257</v>
      </c>
      <c r="G7578" s="297" t="s">
        <v>258</v>
      </c>
      <c r="J7578" s="639">
        <f t="shared" si="247"/>
        <v>0</v>
      </c>
    </row>
    <row r="7579" spans="3:10" ht="15.75" hidden="1" thickBot="1">
      <c r="F7579" s="294" t="s">
        <v>259</v>
      </c>
      <c r="G7579" s="297" t="s">
        <v>260</v>
      </c>
      <c r="J7579" s="639">
        <f t="shared" si="247"/>
        <v>0</v>
      </c>
    </row>
    <row r="7580" spans="3:10" ht="15.75" hidden="1" thickBot="1">
      <c r="F7580" s="294" t="s">
        <v>261</v>
      </c>
      <c r="G7580" s="297" t="s">
        <v>262</v>
      </c>
      <c r="H7580" s="638"/>
      <c r="I7580" s="639"/>
      <c r="J7580" s="639">
        <f t="shared" si="247"/>
        <v>0</v>
      </c>
    </row>
    <row r="7581" spans="3:10" ht="15.75" hidden="1" collapsed="1" thickBot="1">
      <c r="G7581" s="274" t="s">
        <v>4398</v>
      </c>
      <c r="H7581" s="640">
        <f>SUM(H7565:H7580)</f>
        <v>0</v>
      </c>
      <c r="I7581" s="641">
        <f>SUM(I7566:I7580)</f>
        <v>0</v>
      </c>
      <c r="J7581" s="641">
        <f>SUM(J7565:J7580)</f>
        <v>0</v>
      </c>
    </row>
    <row r="7582" spans="3:10" hidden="1"/>
    <row r="7583" spans="3:10" hidden="1">
      <c r="C7583" s="273" t="s">
        <v>4588</v>
      </c>
      <c r="D7583" s="264"/>
      <c r="G7583" s="394" t="s">
        <v>5086</v>
      </c>
    </row>
    <row r="7584" spans="3:10" hidden="1">
      <c r="C7584" s="273"/>
      <c r="D7584" s="357">
        <v>473</v>
      </c>
      <c r="E7584" s="357"/>
      <c r="F7584" s="357"/>
      <c r="G7584" s="383" t="s">
        <v>162</v>
      </c>
    </row>
    <row r="7585" spans="6:10" hidden="1">
      <c r="F7585" s="402">
        <v>411</v>
      </c>
      <c r="G7585" s="393" t="s">
        <v>4173</v>
      </c>
      <c r="J7585" s="635">
        <f>SUM(H7585:I7585)</f>
        <v>0</v>
      </c>
    </row>
    <row r="7586" spans="6:10" hidden="1">
      <c r="F7586" s="402">
        <v>412</v>
      </c>
      <c r="G7586" s="390" t="s">
        <v>3770</v>
      </c>
      <c r="J7586" s="635">
        <f t="shared" ref="J7586:J7593" si="248">SUM(H7586:I7586)</f>
        <v>0</v>
      </c>
    </row>
    <row r="7587" spans="6:10" hidden="1">
      <c r="F7587" s="402">
        <v>413</v>
      </c>
      <c r="G7587" s="393" t="s">
        <v>4174</v>
      </c>
      <c r="J7587" s="635">
        <f t="shared" si="248"/>
        <v>0</v>
      </c>
    </row>
    <row r="7588" spans="6:10" hidden="1">
      <c r="F7588" s="402">
        <v>414</v>
      </c>
      <c r="G7588" s="393" t="s">
        <v>3773</v>
      </c>
      <c r="J7588" s="635">
        <f t="shared" si="248"/>
        <v>0</v>
      </c>
    </row>
    <row r="7589" spans="6:10" hidden="1">
      <c r="F7589" s="402">
        <v>415</v>
      </c>
      <c r="G7589" s="393" t="s">
        <v>4183</v>
      </c>
      <c r="J7589" s="635">
        <f t="shared" si="248"/>
        <v>0</v>
      </c>
    </row>
    <row r="7590" spans="6:10" hidden="1">
      <c r="F7590" s="402">
        <v>416</v>
      </c>
      <c r="G7590" s="393" t="s">
        <v>4184</v>
      </c>
      <c r="J7590" s="635">
        <f t="shared" si="248"/>
        <v>0</v>
      </c>
    </row>
    <row r="7591" spans="6:10" hidden="1">
      <c r="F7591" s="402">
        <v>417</v>
      </c>
      <c r="G7591" s="393" t="s">
        <v>4185</v>
      </c>
      <c r="J7591" s="635">
        <f t="shared" si="248"/>
        <v>0</v>
      </c>
    </row>
    <row r="7592" spans="6:10" hidden="1">
      <c r="F7592" s="402">
        <v>418</v>
      </c>
      <c r="G7592" s="393" t="s">
        <v>3779</v>
      </c>
      <c r="J7592" s="635">
        <f t="shared" si="248"/>
        <v>0</v>
      </c>
    </row>
    <row r="7593" spans="6:10" hidden="1">
      <c r="F7593" s="402">
        <v>421</v>
      </c>
      <c r="G7593" s="393" t="s">
        <v>3783</v>
      </c>
      <c r="J7593" s="635">
        <f t="shared" si="248"/>
        <v>0</v>
      </c>
    </row>
    <row r="7594" spans="6:10" hidden="1">
      <c r="F7594" s="402">
        <v>422</v>
      </c>
      <c r="G7594" s="393" t="s">
        <v>3784</v>
      </c>
      <c r="J7594" s="635">
        <f>SUM(H7594:I7594)</f>
        <v>0</v>
      </c>
    </row>
    <row r="7595" spans="6:10" hidden="1">
      <c r="F7595" s="402">
        <v>423</v>
      </c>
      <c r="G7595" s="393" t="s">
        <v>3785</v>
      </c>
      <c r="J7595" s="635">
        <f t="shared" ref="J7595:J7644" si="249">SUM(H7595:I7595)</f>
        <v>0</v>
      </c>
    </row>
    <row r="7596" spans="6:10" hidden="1">
      <c r="F7596" s="402">
        <v>424</v>
      </c>
      <c r="G7596" s="393" t="s">
        <v>3787</v>
      </c>
      <c r="J7596" s="635">
        <f t="shared" si="249"/>
        <v>0</v>
      </c>
    </row>
    <row r="7597" spans="6:10" hidden="1">
      <c r="F7597" s="402">
        <v>425</v>
      </c>
      <c r="G7597" s="393" t="s">
        <v>4186</v>
      </c>
      <c r="J7597" s="635">
        <f t="shared" si="249"/>
        <v>0</v>
      </c>
    </row>
    <row r="7598" spans="6:10" hidden="1">
      <c r="F7598" s="402">
        <v>426</v>
      </c>
      <c r="G7598" s="393" t="s">
        <v>3791</v>
      </c>
      <c r="J7598" s="635">
        <f t="shared" si="249"/>
        <v>0</v>
      </c>
    </row>
    <row r="7599" spans="6:10" hidden="1">
      <c r="F7599" s="402">
        <v>431</v>
      </c>
      <c r="G7599" s="393" t="s">
        <v>4187</v>
      </c>
      <c r="J7599" s="635">
        <f t="shared" si="249"/>
        <v>0</v>
      </c>
    </row>
    <row r="7600" spans="6:10" hidden="1">
      <c r="F7600" s="402">
        <v>432</v>
      </c>
      <c r="G7600" s="393" t="s">
        <v>4188</v>
      </c>
      <c r="J7600" s="635">
        <f t="shared" si="249"/>
        <v>0</v>
      </c>
    </row>
    <row r="7601" spans="6:10" hidden="1">
      <c r="F7601" s="402">
        <v>433</v>
      </c>
      <c r="G7601" s="393" t="s">
        <v>4189</v>
      </c>
      <c r="J7601" s="635">
        <f t="shared" si="249"/>
        <v>0</v>
      </c>
    </row>
    <row r="7602" spans="6:10" hidden="1">
      <c r="F7602" s="402">
        <v>434</v>
      </c>
      <c r="G7602" s="393" t="s">
        <v>4190</v>
      </c>
      <c r="J7602" s="635">
        <f t="shared" si="249"/>
        <v>0</v>
      </c>
    </row>
    <row r="7603" spans="6:10" hidden="1">
      <c r="F7603" s="402">
        <v>435</v>
      </c>
      <c r="G7603" s="393" t="s">
        <v>3798</v>
      </c>
      <c r="J7603" s="635">
        <f t="shared" si="249"/>
        <v>0</v>
      </c>
    </row>
    <row r="7604" spans="6:10" hidden="1">
      <c r="F7604" s="402">
        <v>441</v>
      </c>
      <c r="G7604" s="393" t="s">
        <v>4191</v>
      </c>
      <c r="J7604" s="635">
        <f t="shared" si="249"/>
        <v>0</v>
      </c>
    </row>
    <row r="7605" spans="6:10" hidden="1">
      <c r="F7605" s="402">
        <v>442</v>
      </c>
      <c r="G7605" s="393" t="s">
        <v>4192</v>
      </c>
      <c r="J7605" s="635">
        <f t="shared" si="249"/>
        <v>0</v>
      </c>
    </row>
    <row r="7606" spans="6:10" hidden="1">
      <c r="F7606" s="402">
        <v>443</v>
      </c>
      <c r="G7606" s="393" t="s">
        <v>3803</v>
      </c>
      <c r="J7606" s="635">
        <f t="shared" si="249"/>
        <v>0</v>
      </c>
    </row>
    <row r="7607" spans="6:10" hidden="1">
      <c r="F7607" s="402">
        <v>444</v>
      </c>
      <c r="G7607" s="393" t="s">
        <v>3804</v>
      </c>
      <c r="J7607" s="635">
        <f t="shared" si="249"/>
        <v>0</v>
      </c>
    </row>
    <row r="7608" spans="6:10" ht="30" hidden="1">
      <c r="F7608" s="402">
        <v>4511</v>
      </c>
      <c r="G7608" s="268" t="s">
        <v>1690</v>
      </c>
      <c r="J7608" s="635">
        <f t="shared" si="249"/>
        <v>0</v>
      </c>
    </row>
    <row r="7609" spans="6:10" ht="30" hidden="1">
      <c r="F7609" s="402">
        <v>4512</v>
      </c>
      <c r="G7609" s="268" t="s">
        <v>1699</v>
      </c>
      <c r="J7609" s="635">
        <f t="shared" si="249"/>
        <v>0</v>
      </c>
    </row>
    <row r="7610" spans="6:10" hidden="1">
      <c r="F7610" s="402">
        <v>452</v>
      </c>
      <c r="G7610" s="393" t="s">
        <v>4193</v>
      </c>
      <c r="J7610" s="635">
        <f t="shared" si="249"/>
        <v>0</v>
      </c>
    </row>
    <row r="7611" spans="6:10" hidden="1">
      <c r="F7611" s="402">
        <v>453</v>
      </c>
      <c r="G7611" s="393" t="s">
        <v>4194</v>
      </c>
      <c r="J7611" s="635">
        <f t="shared" si="249"/>
        <v>0</v>
      </c>
    </row>
    <row r="7612" spans="6:10" hidden="1">
      <c r="F7612" s="402">
        <v>454</v>
      </c>
      <c r="G7612" s="393" t="s">
        <v>3809</v>
      </c>
      <c r="J7612" s="635">
        <f t="shared" si="249"/>
        <v>0</v>
      </c>
    </row>
    <row r="7613" spans="6:10" hidden="1">
      <c r="F7613" s="402">
        <v>461</v>
      </c>
      <c r="G7613" s="393" t="s">
        <v>4175</v>
      </c>
      <c r="J7613" s="635">
        <f t="shared" si="249"/>
        <v>0</v>
      </c>
    </row>
    <row r="7614" spans="6:10" hidden="1">
      <c r="F7614" s="402">
        <v>462</v>
      </c>
      <c r="G7614" s="393" t="s">
        <v>3812</v>
      </c>
      <c r="J7614" s="635">
        <f t="shared" si="249"/>
        <v>0</v>
      </c>
    </row>
    <row r="7615" spans="6:10" hidden="1">
      <c r="F7615" s="402">
        <v>4631</v>
      </c>
      <c r="G7615" s="393" t="s">
        <v>3813</v>
      </c>
      <c r="J7615" s="635">
        <f t="shared" si="249"/>
        <v>0</v>
      </c>
    </row>
    <row r="7616" spans="6:10" hidden="1">
      <c r="F7616" s="402">
        <v>4632</v>
      </c>
      <c r="G7616" s="393" t="s">
        <v>3814</v>
      </c>
      <c r="J7616" s="635">
        <f t="shared" si="249"/>
        <v>0</v>
      </c>
    </row>
    <row r="7617" spans="6:10" hidden="1">
      <c r="F7617" s="402">
        <v>464</v>
      </c>
      <c r="G7617" s="393" t="s">
        <v>3815</v>
      </c>
      <c r="J7617" s="635">
        <f t="shared" si="249"/>
        <v>0</v>
      </c>
    </row>
    <row r="7618" spans="6:10" hidden="1">
      <c r="F7618" s="402">
        <v>465</v>
      </c>
      <c r="G7618" s="393" t="s">
        <v>4176</v>
      </c>
      <c r="J7618" s="635">
        <f t="shared" si="249"/>
        <v>0</v>
      </c>
    </row>
    <row r="7619" spans="6:10" hidden="1">
      <c r="F7619" s="402">
        <v>472</v>
      </c>
      <c r="G7619" s="393" t="s">
        <v>3819</v>
      </c>
      <c r="J7619" s="635">
        <f t="shared" si="249"/>
        <v>0</v>
      </c>
    </row>
    <row r="7620" spans="6:10" hidden="1">
      <c r="F7620" s="402">
        <v>481</v>
      </c>
      <c r="G7620" s="393" t="s">
        <v>4195</v>
      </c>
      <c r="J7620" s="635">
        <f t="shared" si="249"/>
        <v>0</v>
      </c>
    </row>
    <row r="7621" spans="6:10" hidden="1">
      <c r="F7621" s="402">
        <v>482</v>
      </c>
      <c r="G7621" s="393" t="s">
        <v>4196</v>
      </c>
      <c r="J7621" s="635">
        <f t="shared" si="249"/>
        <v>0</v>
      </c>
    </row>
    <row r="7622" spans="6:10" hidden="1">
      <c r="F7622" s="402">
        <v>483</v>
      </c>
      <c r="G7622" s="398" t="s">
        <v>4197</v>
      </c>
      <c r="J7622" s="635">
        <f t="shared" si="249"/>
        <v>0</v>
      </c>
    </row>
    <row r="7623" spans="6:10" ht="30" hidden="1">
      <c r="F7623" s="402">
        <v>484</v>
      </c>
      <c r="G7623" s="393" t="s">
        <v>4198</v>
      </c>
      <c r="J7623" s="635">
        <f t="shared" si="249"/>
        <v>0</v>
      </c>
    </row>
    <row r="7624" spans="6:10" ht="30" hidden="1">
      <c r="F7624" s="402">
        <v>485</v>
      </c>
      <c r="G7624" s="393" t="s">
        <v>4199</v>
      </c>
      <c r="J7624" s="635">
        <f t="shared" si="249"/>
        <v>0</v>
      </c>
    </row>
    <row r="7625" spans="6:10" ht="30" hidden="1">
      <c r="F7625" s="402">
        <v>489</v>
      </c>
      <c r="G7625" s="393" t="s">
        <v>3827</v>
      </c>
      <c r="J7625" s="635">
        <f t="shared" si="249"/>
        <v>0</v>
      </c>
    </row>
    <row r="7626" spans="6:10" hidden="1">
      <c r="F7626" s="402">
        <v>494</v>
      </c>
      <c r="G7626" s="393" t="s">
        <v>4177</v>
      </c>
      <c r="J7626" s="635">
        <f t="shared" si="249"/>
        <v>0</v>
      </c>
    </row>
    <row r="7627" spans="6:10" ht="30" hidden="1">
      <c r="F7627" s="402">
        <v>495</v>
      </c>
      <c r="G7627" s="393" t="s">
        <v>4178</v>
      </c>
      <c r="J7627" s="635">
        <f t="shared" si="249"/>
        <v>0</v>
      </c>
    </row>
    <row r="7628" spans="6:10" ht="30" hidden="1">
      <c r="F7628" s="402">
        <v>496</v>
      </c>
      <c r="G7628" s="393" t="s">
        <v>4179</v>
      </c>
      <c r="J7628" s="635">
        <f t="shared" si="249"/>
        <v>0</v>
      </c>
    </row>
    <row r="7629" spans="6:10" hidden="1">
      <c r="F7629" s="402">
        <v>499</v>
      </c>
      <c r="G7629" s="393" t="s">
        <v>4180</v>
      </c>
      <c r="J7629" s="635">
        <f t="shared" si="249"/>
        <v>0</v>
      </c>
    </row>
    <row r="7630" spans="6:10" hidden="1">
      <c r="F7630" s="402">
        <v>511</v>
      </c>
      <c r="G7630" s="398" t="s">
        <v>4200</v>
      </c>
      <c r="J7630" s="635">
        <f t="shared" si="249"/>
        <v>0</v>
      </c>
    </row>
    <row r="7631" spans="6:10" ht="15.75" hidden="1" thickBot="1">
      <c r="F7631" s="402">
        <v>512</v>
      </c>
      <c r="G7631" s="398" t="s">
        <v>4201</v>
      </c>
      <c r="J7631" s="635">
        <f t="shared" si="249"/>
        <v>0</v>
      </c>
    </row>
    <row r="7632" spans="6:10" ht="15.75" hidden="1" thickBot="1">
      <c r="F7632" s="402">
        <v>513</v>
      </c>
      <c r="G7632" s="398" t="s">
        <v>4202</v>
      </c>
      <c r="J7632" s="635">
        <f t="shared" si="249"/>
        <v>0</v>
      </c>
    </row>
    <row r="7633" spans="5:10" ht="15.75" hidden="1" thickBot="1">
      <c r="F7633" s="402">
        <v>514</v>
      </c>
      <c r="G7633" s="393" t="s">
        <v>4203</v>
      </c>
      <c r="J7633" s="635">
        <f t="shared" si="249"/>
        <v>0</v>
      </c>
    </row>
    <row r="7634" spans="5:10" ht="15.75" hidden="1" thickBot="1">
      <c r="F7634" s="402">
        <v>515</v>
      </c>
      <c r="G7634" s="393" t="s">
        <v>3838</v>
      </c>
      <c r="J7634" s="635">
        <f t="shared" si="249"/>
        <v>0</v>
      </c>
    </row>
    <row r="7635" spans="5:10" ht="15.75" hidden="1" thickBot="1">
      <c r="F7635" s="402">
        <v>521</v>
      </c>
      <c r="G7635" s="393" t="s">
        <v>4204</v>
      </c>
      <c r="J7635" s="635">
        <f t="shared" si="249"/>
        <v>0</v>
      </c>
    </row>
    <row r="7636" spans="5:10" ht="15.75" hidden="1" thickBot="1">
      <c r="F7636" s="402">
        <v>522</v>
      </c>
      <c r="G7636" s="393" t="s">
        <v>4205</v>
      </c>
      <c r="J7636" s="635">
        <f t="shared" si="249"/>
        <v>0</v>
      </c>
    </row>
    <row r="7637" spans="5:10" ht="15.75" hidden="1" thickBot="1">
      <c r="F7637" s="402">
        <v>523</v>
      </c>
      <c r="G7637" s="393" t="s">
        <v>3843</v>
      </c>
      <c r="J7637" s="635">
        <f t="shared" si="249"/>
        <v>0</v>
      </c>
    </row>
    <row r="7638" spans="5:10" ht="15.75" hidden="1" thickBot="1">
      <c r="F7638" s="402">
        <v>531</v>
      </c>
      <c r="G7638" s="390" t="s">
        <v>4181</v>
      </c>
      <c r="J7638" s="635">
        <f t="shared" si="249"/>
        <v>0</v>
      </c>
    </row>
    <row r="7639" spans="5:10" ht="15.75" hidden="1" thickBot="1">
      <c r="F7639" s="402">
        <v>541</v>
      </c>
      <c r="G7639" s="393" t="s">
        <v>4206</v>
      </c>
      <c r="J7639" s="635">
        <f t="shared" si="249"/>
        <v>0</v>
      </c>
    </row>
    <row r="7640" spans="5:10" ht="15.75" hidden="1" thickBot="1">
      <c r="F7640" s="402">
        <v>542</v>
      </c>
      <c r="G7640" s="393" t="s">
        <v>4207</v>
      </c>
      <c r="J7640" s="635">
        <f t="shared" si="249"/>
        <v>0</v>
      </c>
    </row>
    <row r="7641" spans="5:10" ht="15.75" hidden="1" thickBot="1">
      <c r="F7641" s="402">
        <v>543</v>
      </c>
      <c r="G7641" s="393" t="s">
        <v>3848</v>
      </c>
      <c r="J7641" s="635">
        <f t="shared" si="249"/>
        <v>0</v>
      </c>
    </row>
    <row r="7642" spans="5:10" ht="30.75" hidden="1" thickBot="1">
      <c r="F7642" s="402">
        <v>551</v>
      </c>
      <c r="G7642" s="393" t="s">
        <v>4182</v>
      </c>
      <c r="J7642" s="635">
        <f t="shared" si="249"/>
        <v>0</v>
      </c>
    </row>
    <row r="7643" spans="5:10" ht="15.75" hidden="1" thickBot="1">
      <c r="F7643" s="403">
        <v>611</v>
      </c>
      <c r="G7643" s="401" t="s">
        <v>3854</v>
      </c>
      <c r="J7643" s="635">
        <f t="shared" si="249"/>
        <v>0</v>
      </c>
    </row>
    <row r="7644" spans="5:10" ht="15.75" hidden="1" thickBot="1">
      <c r="F7644" s="403">
        <v>620</v>
      </c>
      <c r="G7644" s="401" t="s">
        <v>88</v>
      </c>
      <c r="J7644" s="635">
        <f t="shared" si="249"/>
        <v>0</v>
      </c>
    </row>
    <row r="7645" spans="5:10" hidden="1">
      <c r="E7645" s="391"/>
      <c r="F7645" s="403"/>
      <c r="G7645" s="372" t="s">
        <v>4396</v>
      </c>
      <c r="H7645" s="636"/>
      <c r="I7645" s="662"/>
      <c r="J7645" s="637"/>
    </row>
    <row r="7646" spans="5:10" ht="15.75" hidden="1" thickBot="1">
      <c r="E7646" s="267"/>
      <c r="F7646" s="294" t="s">
        <v>234</v>
      </c>
      <c r="G7646" s="297" t="s">
        <v>235</v>
      </c>
      <c r="H7646" s="638">
        <f>SUM(H7585:H7644)</f>
        <v>0</v>
      </c>
      <c r="I7646" s="639"/>
      <c r="J7646" s="639">
        <f t="shared" ref="J7646:J7661" si="250">SUM(H7646:I7646)</f>
        <v>0</v>
      </c>
    </row>
    <row r="7647" spans="5:10" ht="15.75" hidden="1" thickBot="1">
      <c r="F7647" s="294" t="s">
        <v>236</v>
      </c>
      <c r="G7647" s="297" t="s">
        <v>237</v>
      </c>
      <c r="J7647" s="639">
        <f t="shared" si="250"/>
        <v>0</v>
      </c>
    </row>
    <row r="7648" spans="5:10" ht="15.75" hidden="1" thickBot="1">
      <c r="F7648" s="294" t="s">
        <v>238</v>
      </c>
      <c r="G7648" s="297" t="s">
        <v>239</v>
      </c>
      <c r="J7648" s="639">
        <f t="shared" si="250"/>
        <v>0</v>
      </c>
    </row>
    <row r="7649" spans="5:10" ht="15.75" hidden="1" thickBot="1">
      <c r="F7649" s="294" t="s">
        <v>240</v>
      </c>
      <c r="G7649" s="297" t="s">
        <v>241</v>
      </c>
      <c r="J7649" s="639">
        <f t="shared" si="250"/>
        <v>0</v>
      </c>
    </row>
    <row r="7650" spans="5:10" ht="15.75" hidden="1" thickBot="1">
      <c r="F7650" s="294" t="s">
        <v>242</v>
      </c>
      <c r="G7650" s="297" t="s">
        <v>243</v>
      </c>
      <c r="J7650" s="639">
        <f t="shared" si="250"/>
        <v>0</v>
      </c>
    </row>
    <row r="7651" spans="5:10" ht="15.75" hidden="1" thickBot="1">
      <c r="F7651" s="294" t="s">
        <v>244</v>
      </c>
      <c r="G7651" s="297" t="s">
        <v>245</v>
      </c>
      <c r="J7651" s="639">
        <f t="shared" si="250"/>
        <v>0</v>
      </c>
    </row>
    <row r="7652" spans="5:10" ht="15.75" hidden="1" thickBot="1">
      <c r="F7652" s="294" t="s">
        <v>246</v>
      </c>
      <c r="G7652" s="683" t="s">
        <v>5121</v>
      </c>
      <c r="J7652" s="639">
        <f t="shared" si="250"/>
        <v>0</v>
      </c>
    </row>
    <row r="7653" spans="5:10" ht="15.75" hidden="1" thickBot="1">
      <c r="F7653" s="294" t="s">
        <v>247</v>
      </c>
      <c r="G7653" s="683" t="s">
        <v>5120</v>
      </c>
      <c r="J7653" s="639">
        <f t="shared" si="250"/>
        <v>0</v>
      </c>
    </row>
    <row r="7654" spans="5:10" ht="15.75" hidden="1" thickBot="1">
      <c r="F7654" s="294" t="s">
        <v>248</v>
      </c>
      <c r="G7654" s="297" t="s">
        <v>57</v>
      </c>
      <c r="J7654" s="639">
        <f t="shared" si="250"/>
        <v>0</v>
      </c>
    </row>
    <row r="7655" spans="5:10" ht="15.75" hidden="1" thickBot="1">
      <c r="F7655" s="294" t="s">
        <v>249</v>
      </c>
      <c r="G7655" s="297" t="s">
        <v>250</v>
      </c>
      <c r="J7655" s="639">
        <f t="shared" si="250"/>
        <v>0</v>
      </c>
    </row>
    <row r="7656" spans="5:10" ht="15.75" hidden="1" thickBot="1">
      <c r="F7656" s="294" t="s">
        <v>251</v>
      </c>
      <c r="G7656" s="297" t="s">
        <v>252</v>
      </c>
      <c r="J7656" s="639">
        <f t="shared" si="250"/>
        <v>0</v>
      </c>
    </row>
    <row r="7657" spans="5:10" ht="15.75" hidden="1" thickBot="1">
      <c r="F7657" s="294" t="s">
        <v>253</v>
      </c>
      <c r="G7657" s="297" t="s">
        <v>254</v>
      </c>
      <c r="J7657" s="639">
        <f t="shared" si="250"/>
        <v>0</v>
      </c>
    </row>
    <row r="7658" spans="5:10" ht="15.75" hidden="1" thickBot="1">
      <c r="F7658" s="294" t="s">
        <v>255</v>
      </c>
      <c r="G7658" s="297" t="s">
        <v>256</v>
      </c>
      <c r="J7658" s="639">
        <f t="shared" si="250"/>
        <v>0</v>
      </c>
    </row>
    <row r="7659" spans="5:10" ht="15.75" hidden="1" thickBot="1">
      <c r="F7659" s="294" t="s">
        <v>257</v>
      </c>
      <c r="G7659" s="297" t="s">
        <v>258</v>
      </c>
      <c r="J7659" s="639">
        <f t="shared" si="250"/>
        <v>0</v>
      </c>
    </row>
    <row r="7660" spans="5:10" ht="15.75" hidden="1" thickBot="1">
      <c r="F7660" s="294" t="s">
        <v>259</v>
      </c>
      <c r="G7660" s="297" t="s">
        <v>260</v>
      </c>
      <c r="J7660" s="639">
        <f t="shared" si="250"/>
        <v>0</v>
      </c>
    </row>
    <row r="7661" spans="5:10" ht="15.75" hidden="1" thickBot="1">
      <c r="F7661" s="294" t="s">
        <v>261</v>
      </c>
      <c r="G7661" s="297" t="s">
        <v>262</v>
      </c>
      <c r="H7661" s="638"/>
      <c r="I7661" s="639"/>
      <c r="J7661" s="639">
        <f t="shared" si="250"/>
        <v>0</v>
      </c>
    </row>
    <row r="7662" spans="5:10" ht="15.75" hidden="1" thickBot="1">
      <c r="G7662" s="274" t="s">
        <v>4397</v>
      </c>
      <c r="H7662" s="640">
        <f>SUM(H7646:H7661)</f>
        <v>0</v>
      </c>
      <c r="I7662" s="641">
        <f>SUM(I7647:I7661)</f>
        <v>0</v>
      </c>
      <c r="J7662" s="641">
        <f>SUM(J7646:J7661)</f>
        <v>0</v>
      </c>
    </row>
    <row r="7663" spans="5:10" hidden="1">
      <c r="E7663" s="391"/>
      <c r="F7663" s="403"/>
      <c r="G7663" s="276" t="s">
        <v>5057</v>
      </c>
      <c r="H7663" s="642"/>
      <c r="I7663" s="663"/>
      <c r="J7663" s="643"/>
    </row>
    <row r="7664" spans="5:10" ht="15.75" hidden="1" thickBot="1">
      <c r="E7664" s="267"/>
      <c r="F7664" s="294" t="s">
        <v>234</v>
      </c>
      <c r="G7664" s="297" t="s">
        <v>235</v>
      </c>
      <c r="H7664" s="638">
        <f>SUM(H7585:H7644)</f>
        <v>0</v>
      </c>
      <c r="I7664" s="639"/>
      <c r="J7664" s="639">
        <f>SUM(H7664:I7664)</f>
        <v>0</v>
      </c>
    </row>
    <row r="7665" spans="6:10" ht="15.75" hidden="1" thickBot="1">
      <c r="F7665" s="294" t="s">
        <v>236</v>
      </c>
      <c r="G7665" s="297" t="s">
        <v>237</v>
      </c>
      <c r="J7665" s="639">
        <f t="shared" ref="J7665:J7679" si="251">SUM(H7665:I7665)</f>
        <v>0</v>
      </c>
    </row>
    <row r="7666" spans="6:10" ht="15.75" hidden="1" thickBot="1">
      <c r="F7666" s="294" t="s">
        <v>238</v>
      </c>
      <c r="G7666" s="297" t="s">
        <v>239</v>
      </c>
      <c r="J7666" s="639">
        <f t="shared" si="251"/>
        <v>0</v>
      </c>
    </row>
    <row r="7667" spans="6:10" ht="15.75" hidden="1" thickBot="1">
      <c r="F7667" s="294" t="s">
        <v>240</v>
      </c>
      <c r="G7667" s="297" t="s">
        <v>241</v>
      </c>
      <c r="J7667" s="639">
        <f t="shared" si="251"/>
        <v>0</v>
      </c>
    </row>
    <row r="7668" spans="6:10" ht="15.75" hidden="1" thickBot="1">
      <c r="F7668" s="294" t="s">
        <v>242</v>
      </c>
      <c r="G7668" s="297" t="s">
        <v>243</v>
      </c>
      <c r="J7668" s="639">
        <f t="shared" si="251"/>
        <v>0</v>
      </c>
    </row>
    <row r="7669" spans="6:10" ht="15.75" hidden="1" thickBot="1">
      <c r="F7669" s="294" t="s">
        <v>244</v>
      </c>
      <c r="G7669" s="297" t="s">
        <v>245</v>
      </c>
      <c r="J7669" s="639">
        <f t="shared" si="251"/>
        <v>0</v>
      </c>
    </row>
    <row r="7670" spans="6:10" ht="15.75" hidden="1" thickBot="1">
      <c r="F7670" s="294" t="s">
        <v>246</v>
      </c>
      <c r="G7670" s="683" t="s">
        <v>5121</v>
      </c>
      <c r="J7670" s="639">
        <f t="shared" si="251"/>
        <v>0</v>
      </c>
    </row>
    <row r="7671" spans="6:10" ht="15.75" hidden="1" thickBot="1">
      <c r="F7671" s="294" t="s">
        <v>247</v>
      </c>
      <c r="G7671" s="683" t="s">
        <v>5120</v>
      </c>
      <c r="J7671" s="639">
        <f t="shared" si="251"/>
        <v>0</v>
      </c>
    </row>
    <row r="7672" spans="6:10" ht="15.75" hidden="1" thickBot="1">
      <c r="F7672" s="294" t="s">
        <v>248</v>
      </c>
      <c r="G7672" s="297" t="s">
        <v>57</v>
      </c>
      <c r="J7672" s="639">
        <f t="shared" si="251"/>
        <v>0</v>
      </c>
    </row>
    <row r="7673" spans="6:10" ht="15.75" hidden="1" thickBot="1">
      <c r="F7673" s="294" t="s">
        <v>249</v>
      </c>
      <c r="G7673" s="297" t="s">
        <v>250</v>
      </c>
      <c r="J7673" s="639">
        <f t="shared" si="251"/>
        <v>0</v>
      </c>
    </row>
    <row r="7674" spans="6:10" ht="15.75" hidden="1" thickBot="1">
      <c r="F7674" s="294" t="s">
        <v>251</v>
      </c>
      <c r="G7674" s="297" t="s">
        <v>252</v>
      </c>
      <c r="J7674" s="639">
        <f t="shared" si="251"/>
        <v>0</v>
      </c>
    </row>
    <row r="7675" spans="6:10" ht="15.75" hidden="1" thickBot="1">
      <c r="F7675" s="294" t="s">
        <v>253</v>
      </c>
      <c r="G7675" s="297" t="s">
        <v>254</v>
      </c>
      <c r="J7675" s="639">
        <f t="shared" si="251"/>
        <v>0</v>
      </c>
    </row>
    <row r="7676" spans="6:10" ht="15.75" hidden="1" thickBot="1">
      <c r="F7676" s="294" t="s">
        <v>255</v>
      </c>
      <c r="G7676" s="297" t="s">
        <v>256</v>
      </c>
      <c r="J7676" s="639">
        <f t="shared" si="251"/>
        <v>0</v>
      </c>
    </row>
    <row r="7677" spans="6:10" ht="15.75" hidden="1" thickBot="1">
      <c r="F7677" s="294" t="s">
        <v>257</v>
      </c>
      <c r="G7677" s="297" t="s">
        <v>258</v>
      </c>
      <c r="J7677" s="639">
        <f t="shared" si="251"/>
        <v>0</v>
      </c>
    </row>
    <row r="7678" spans="6:10" ht="15.75" hidden="1" thickBot="1">
      <c r="F7678" s="294" t="s">
        <v>259</v>
      </c>
      <c r="G7678" s="297" t="s">
        <v>260</v>
      </c>
      <c r="J7678" s="639">
        <f t="shared" si="251"/>
        <v>0</v>
      </c>
    </row>
    <row r="7679" spans="6:10" ht="15.75" hidden="1" thickBot="1">
      <c r="F7679" s="294" t="s">
        <v>261</v>
      </c>
      <c r="G7679" s="297" t="s">
        <v>262</v>
      </c>
      <c r="H7679" s="638"/>
      <c r="I7679" s="639"/>
      <c r="J7679" s="639">
        <f t="shared" si="251"/>
        <v>0</v>
      </c>
    </row>
    <row r="7680" spans="6:10" ht="15.75" hidden="1" thickBot="1">
      <c r="G7680" s="274" t="s">
        <v>5017</v>
      </c>
      <c r="H7680" s="640">
        <f>SUM(H7664:H7679)</f>
        <v>0</v>
      </c>
      <c r="I7680" s="641">
        <f>SUM(I7665:I7679)</f>
        <v>0</v>
      </c>
      <c r="J7680" s="641">
        <f>SUM(J7664:J7679)</f>
        <v>0</v>
      </c>
    </row>
    <row r="7681" spans="5:10" hidden="1"/>
    <row r="7682" spans="5:10" hidden="1">
      <c r="E7682" s="391"/>
      <c r="F7682" s="403"/>
      <c r="G7682" s="295" t="s">
        <v>4302</v>
      </c>
      <c r="H7682" s="646"/>
      <c r="I7682" s="664"/>
      <c r="J7682" s="647"/>
    </row>
    <row r="7683" spans="5:10" ht="15.75" hidden="1" thickBot="1">
      <c r="E7683" s="267"/>
      <c r="F7683" s="294" t="s">
        <v>234</v>
      </c>
      <c r="G7683" s="297" t="s">
        <v>235</v>
      </c>
      <c r="H7683" s="638">
        <f>SUM(H7664,H7565,H7466)</f>
        <v>0</v>
      </c>
      <c r="I7683" s="639"/>
      <c r="J7683" s="639">
        <f>SUM(H7683:I7683)</f>
        <v>0</v>
      </c>
    </row>
    <row r="7684" spans="5:10" ht="15.75" hidden="1" thickBot="1">
      <c r="F7684" s="294" t="s">
        <v>236</v>
      </c>
      <c r="G7684" s="297" t="s">
        <v>237</v>
      </c>
      <c r="J7684" s="639">
        <f t="shared" ref="J7684:J7698" si="252">SUM(H7684:I7684)</f>
        <v>0</v>
      </c>
    </row>
    <row r="7685" spans="5:10" ht="15.75" hidden="1" thickBot="1">
      <c r="F7685" s="294" t="s">
        <v>238</v>
      </c>
      <c r="G7685" s="297" t="s">
        <v>239</v>
      </c>
      <c r="J7685" s="639">
        <f t="shared" si="252"/>
        <v>0</v>
      </c>
    </row>
    <row r="7686" spans="5:10" ht="15.75" hidden="1" thickBot="1">
      <c r="F7686" s="294" t="s">
        <v>240</v>
      </c>
      <c r="G7686" s="297" t="s">
        <v>241</v>
      </c>
      <c r="J7686" s="639">
        <f t="shared" si="252"/>
        <v>0</v>
      </c>
    </row>
    <row r="7687" spans="5:10" ht="15.75" hidden="1" thickBot="1">
      <c r="F7687" s="294" t="s">
        <v>242</v>
      </c>
      <c r="G7687" s="297" t="s">
        <v>243</v>
      </c>
      <c r="J7687" s="639">
        <f t="shared" si="252"/>
        <v>0</v>
      </c>
    </row>
    <row r="7688" spans="5:10" ht="15.75" hidden="1" thickBot="1">
      <c r="F7688" s="294" t="s">
        <v>244</v>
      </c>
      <c r="G7688" s="297" t="s">
        <v>245</v>
      </c>
      <c r="J7688" s="639">
        <f t="shared" si="252"/>
        <v>0</v>
      </c>
    </row>
    <row r="7689" spans="5:10" ht="15.75" hidden="1" thickBot="1">
      <c r="F7689" s="294" t="s">
        <v>246</v>
      </c>
      <c r="G7689" s="683" t="s">
        <v>5121</v>
      </c>
      <c r="J7689" s="639">
        <f t="shared" si="252"/>
        <v>0</v>
      </c>
    </row>
    <row r="7690" spans="5:10" ht="15.75" hidden="1" thickBot="1">
      <c r="F7690" s="294" t="s">
        <v>247</v>
      </c>
      <c r="G7690" s="683" t="s">
        <v>5120</v>
      </c>
      <c r="J7690" s="639">
        <f t="shared" si="252"/>
        <v>0</v>
      </c>
    </row>
    <row r="7691" spans="5:10" ht="15.75" hidden="1" thickBot="1">
      <c r="F7691" s="294" t="s">
        <v>248</v>
      </c>
      <c r="G7691" s="297" t="s">
        <v>57</v>
      </c>
      <c r="J7691" s="639">
        <f t="shared" si="252"/>
        <v>0</v>
      </c>
    </row>
    <row r="7692" spans="5:10" ht="15.75" hidden="1" thickBot="1">
      <c r="F7692" s="294" t="s">
        <v>249</v>
      </c>
      <c r="G7692" s="297" t="s">
        <v>250</v>
      </c>
      <c r="J7692" s="639">
        <f t="shared" si="252"/>
        <v>0</v>
      </c>
    </row>
    <row r="7693" spans="5:10" ht="15.75" hidden="1" thickBot="1">
      <c r="F7693" s="294" t="s">
        <v>251</v>
      </c>
      <c r="G7693" s="297" t="s">
        <v>252</v>
      </c>
      <c r="J7693" s="639">
        <f t="shared" si="252"/>
        <v>0</v>
      </c>
    </row>
    <row r="7694" spans="5:10" ht="15.75" hidden="1" thickBot="1">
      <c r="F7694" s="294" t="s">
        <v>253</v>
      </c>
      <c r="G7694" s="297" t="s">
        <v>254</v>
      </c>
      <c r="J7694" s="639">
        <f t="shared" si="252"/>
        <v>0</v>
      </c>
    </row>
    <row r="7695" spans="5:10" ht="15.75" hidden="1" thickBot="1">
      <c r="F7695" s="294" t="s">
        <v>255</v>
      </c>
      <c r="G7695" s="297" t="s">
        <v>256</v>
      </c>
      <c r="J7695" s="639">
        <f t="shared" si="252"/>
        <v>0</v>
      </c>
    </row>
    <row r="7696" spans="5:10" ht="15.75" hidden="1" thickBot="1">
      <c r="F7696" s="294" t="s">
        <v>257</v>
      </c>
      <c r="G7696" s="297" t="s">
        <v>258</v>
      </c>
      <c r="J7696" s="639">
        <f t="shared" si="252"/>
        <v>0</v>
      </c>
    </row>
    <row r="7697" spans="1:25" ht="15.75" hidden="1" thickBot="1">
      <c r="F7697" s="294" t="s">
        <v>259</v>
      </c>
      <c r="G7697" s="297" t="s">
        <v>260</v>
      </c>
      <c r="J7697" s="639">
        <f t="shared" si="252"/>
        <v>0</v>
      </c>
    </row>
    <row r="7698" spans="1:25" ht="15.75" hidden="1" thickBot="1">
      <c r="F7698" s="294" t="s">
        <v>261</v>
      </c>
      <c r="G7698" s="297" t="s">
        <v>262</v>
      </c>
      <c r="H7698" s="638"/>
      <c r="I7698" s="639"/>
      <c r="J7698" s="639">
        <f t="shared" si="252"/>
        <v>0</v>
      </c>
    </row>
    <row r="7699" spans="1:25" ht="15.75" hidden="1" thickBot="1">
      <c r="G7699" s="274" t="s">
        <v>4303</v>
      </c>
      <c r="H7699" s="640">
        <f>SUM(H7683:H7698)</f>
        <v>0</v>
      </c>
      <c r="I7699" s="641">
        <f>SUM(I7684:I7698)</f>
        <v>0</v>
      </c>
      <c r="J7699" s="641">
        <f>SUM(J7683:J7698)</f>
        <v>0</v>
      </c>
    </row>
    <row r="7700" spans="1:25" hidden="1">
      <c r="G7700" s="331"/>
      <c r="H7700" s="644"/>
      <c r="I7700" s="645"/>
      <c r="J7700" s="645"/>
    </row>
    <row r="7701" spans="1:25" s="88" customFormat="1" hidden="1">
      <c r="A7701" s="397"/>
      <c r="B7701" s="301"/>
      <c r="C7701" s="361"/>
      <c r="D7701" s="296"/>
      <c r="E7701" s="296"/>
      <c r="F7701" s="403"/>
      <c r="G7701" s="295" t="s">
        <v>4315</v>
      </c>
      <c r="H7701" s="646"/>
      <c r="I7701" s="664"/>
      <c r="J7701" s="647"/>
      <c r="K7701" s="575"/>
      <c r="L7701" s="575"/>
      <c r="M7701" s="575"/>
      <c r="N7701" s="575"/>
      <c r="O7701" s="575"/>
      <c r="P7701" s="575"/>
      <c r="Q7701" s="575"/>
      <c r="R7701" s="575"/>
      <c r="S7701" s="575"/>
      <c r="T7701" s="575"/>
      <c r="U7701" s="575"/>
      <c r="V7701" s="575"/>
      <c r="W7701" s="575"/>
      <c r="X7701" s="575"/>
      <c r="Y7701" s="575"/>
    </row>
    <row r="7702" spans="1:25" s="88" customFormat="1" ht="15.75" hidden="1" thickBot="1">
      <c r="A7702" s="397"/>
      <c r="B7702" s="301"/>
      <c r="C7702" s="361"/>
      <c r="D7702" s="296"/>
      <c r="E7702" s="296"/>
      <c r="F7702" s="294" t="s">
        <v>234</v>
      </c>
      <c r="G7702" s="297" t="s">
        <v>235</v>
      </c>
      <c r="H7702" s="638">
        <f>SUM(H7683)</f>
        <v>0</v>
      </c>
      <c r="I7702" s="639"/>
      <c r="J7702" s="639">
        <f>SUM(H7702:I7702)</f>
        <v>0</v>
      </c>
      <c r="K7702" s="575"/>
      <c r="L7702" s="575"/>
      <c r="M7702" s="575"/>
      <c r="N7702" s="575"/>
      <c r="O7702" s="575"/>
      <c r="P7702" s="575"/>
      <c r="Q7702" s="575"/>
      <c r="R7702" s="575"/>
      <c r="S7702" s="575"/>
      <c r="T7702" s="575"/>
      <c r="U7702" s="575"/>
      <c r="V7702" s="575"/>
      <c r="W7702" s="575"/>
      <c r="X7702" s="575"/>
      <c r="Y7702" s="575"/>
    </row>
    <row r="7703" spans="1:25" s="88" customFormat="1" ht="15.75" hidden="1" thickBot="1">
      <c r="A7703" s="397"/>
      <c r="B7703" s="301"/>
      <c r="C7703" s="361"/>
      <c r="D7703" s="296"/>
      <c r="E7703" s="296"/>
      <c r="F7703" s="294" t="s">
        <v>236</v>
      </c>
      <c r="G7703" s="297" t="s">
        <v>237</v>
      </c>
      <c r="H7703" s="634"/>
      <c r="I7703" s="635"/>
      <c r="J7703" s="639">
        <f t="shared" ref="J7703:J7717" si="253">SUM(H7703:I7703)</f>
        <v>0</v>
      </c>
      <c r="K7703" s="575"/>
      <c r="L7703" s="575"/>
      <c r="M7703" s="575"/>
      <c r="N7703" s="575"/>
      <c r="O7703" s="575"/>
      <c r="P7703" s="575"/>
      <c r="Q7703" s="575"/>
      <c r="R7703" s="575"/>
      <c r="S7703" s="575"/>
      <c r="T7703" s="575"/>
      <c r="U7703" s="575"/>
      <c r="V7703" s="575"/>
      <c r="W7703" s="575"/>
      <c r="X7703" s="575"/>
      <c r="Y7703" s="575"/>
    </row>
    <row r="7704" spans="1:25" s="88" customFormat="1" ht="15.75" hidden="1" thickBot="1">
      <c r="A7704" s="397"/>
      <c r="B7704" s="301"/>
      <c r="C7704" s="361"/>
      <c r="D7704" s="296"/>
      <c r="E7704" s="296"/>
      <c r="F7704" s="294" t="s">
        <v>238</v>
      </c>
      <c r="G7704" s="297" t="s">
        <v>239</v>
      </c>
      <c r="H7704" s="634"/>
      <c r="I7704" s="635"/>
      <c r="J7704" s="639">
        <f t="shared" si="253"/>
        <v>0</v>
      </c>
      <c r="K7704" s="575"/>
      <c r="L7704" s="575"/>
      <c r="M7704" s="575"/>
      <c r="N7704" s="575"/>
      <c r="O7704" s="575"/>
      <c r="P7704" s="575"/>
      <c r="Q7704" s="575"/>
      <c r="R7704" s="575"/>
      <c r="S7704" s="575"/>
      <c r="T7704" s="575"/>
      <c r="U7704" s="575"/>
      <c r="V7704" s="575"/>
      <c r="W7704" s="575"/>
      <c r="X7704" s="575"/>
      <c r="Y7704" s="575"/>
    </row>
    <row r="7705" spans="1:25" s="88" customFormat="1" ht="15.75" hidden="1" thickBot="1">
      <c r="A7705" s="397"/>
      <c r="B7705" s="301"/>
      <c r="C7705" s="361"/>
      <c r="D7705" s="296"/>
      <c r="E7705" s="296"/>
      <c r="F7705" s="294" t="s">
        <v>240</v>
      </c>
      <c r="G7705" s="297" t="s">
        <v>241</v>
      </c>
      <c r="H7705" s="634"/>
      <c r="I7705" s="635"/>
      <c r="J7705" s="639">
        <f t="shared" si="253"/>
        <v>0</v>
      </c>
      <c r="K7705" s="575"/>
      <c r="L7705" s="575"/>
      <c r="M7705" s="575"/>
      <c r="N7705" s="575"/>
      <c r="O7705" s="575"/>
      <c r="P7705" s="575"/>
      <c r="Q7705" s="575"/>
      <c r="R7705" s="575"/>
      <c r="S7705" s="575"/>
      <c r="T7705" s="575"/>
      <c r="U7705" s="575"/>
      <c r="V7705" s="575"/>
      <c r="W7705" s="575"/>
      <c r="X7705" s="575"/>
      <c r="Y7705" s="575"/>
    </row>
    <row r="7706" spans="1:25" s="88" customFormat="1" ht="15.75" hidden="1" thickBot="1">
      <c r="A7706" s="397"/>
      <c r="B7706" s="301"/>
      <c r="C7706" s="361"/>
      <c r="D7706" s="296"/>
      <c r="E7706" s="296"/>
      <c r="F7706" s="294" t="s">
        <v>242</v>
      </c>
      <c r="G7706" s="297" t="s">
        <v>243</v>
      </c>
      <c r="H7706" s="634"/>
      <c r="I7706" s="635"/>
      <c r="J7706" s="639">
        <f t="shared" si="253"/>
        <v>0</v>
      </c>
      <c r="K7706" s="575"/>
      <c r="L7706" s="575"/>
      <c r="M7706" s="575"/>
      <c r="N7706" s="575"/>
      <c r="O7706" s="575"/>
      <c r="P7706" s="575"/>
      <c r="Q7706" s="575"/>
      <c r="R7706" s="575"/>
      <c r="S7706" s="575"/>
      <c r="T7706" s="575"/>
      <c r="U7706" s="575"/>
      <c r="V7706" s="575"/>
      <c r="W7706" s="575"/>
      <c r="X7706" s="575"/>
      <c r="Y7706" s="575"/>
    </row>
    <row r="7707" spans="1:25" s="88" customFormat="1" ht="15.75" hidden="1" thickBot="1">
      <c r="A7707" s="397"/>
      <c r="B7707" s="301"/>
      <c r="C7707" s="361"/>
      <c r="D7707" s="296"/>
      <c r="E7707" s="296"/>
      <c r="F7707" s="294" t="s">
        <v>244</v>
      </c>
      <c r="G7707" s="297" t="s">
        <v>245</v>
      </c>
      <c r="H7707" s="634"/>
      <c r="I7707" s="635"/>
      <c r="J7707" s="639">
        <f t="shared" si="253"/>
        <v>0</v>
      </c>
      <c r="K7707" s="575"/>
      <c r="L7707" s="575"/>
      <c r="M7707" s="575"/>
      <c r="N7707" s="575"/>
      <c r="O7707" s="575"/>
      <c r="P7707" s="575"/>
      <c r="Q7707" s="575"/>
      <c r="R7707" s="575"/>
      <c r="S7707" s="575"/>
      <c r="T7707" s="575"/>
      <c r="U7707" s="575"/>
      <c r="V7707" s="575"/>
      <c r="W7707" s="575"/>
      <c r="X7707" s="575"/>
      <c r="Y7707" s="575"/>
    </row>
    <row r="7708" spans="1:25" s="88" customFormat="1" ht="15.75" hidden="1" thickBot="1">
      <c r="A7708" s="397"/>
      <c r="B7708" s="301"/>
      <c r="C7708" s="361"/>
      <c r="D7708" s="296"/>
      <c r="E7708" s="296"/>
      <c r="F7708" s="294" t="s">
        <v>246</v>
      </c>
      <c r="G7708" s="683" t="s">
        <v>5121</v>
      </c>
      <c r="H7708" s="634"/>
      <c r="I7708" s="635"/>
      <c r="J7708" s="639">
        <f t="shared" si="253"/>
        <v>0</v>
      </c>
      <c r="K7708" s="575"/>
      <c r="L7708" s="575"/>
      <c r="M7708" s="575"/>
      <c r="N7708" s="575"/>
      <c r="O7708" s="575"/>
      <c r="P7708" s="575"/>
      <c r="Q7708" s="575"/>
      <c r="R7708" s="575"/>
      <c r="S7708" s="575"/>
      <c r="T7708" s="575"/>
      <c r="U7708" s="575"/>
      <c r="V7708" s="575"/>
      <c r="W7708" s="575"/>
      <c r="X7708" s="575"/>
      <c r="Y7708" s="575"/>
    </row>
    <row r="7709" spans="1:25" s="88" customFormat="1" ht="15.75" hidden="1" thickBot="1">
      <c r="A7709" s="397"/>
      <c r="B7709" s="301"/>
      <c r="C7709" s="361"/>
      <c r="D7709" s="296"/>
      <c r="E7709" s="296"/>
      <c r="F7709" s="294" t="s">
        <v>247</v>
      </c>
      <c r="G7709" s="683" t="s">
        <v>5120</v>
      </c>
      <c r="H7709" s="634"/>
      <c r="I7709" s="635"/>
      <c r="J7709" s="639">
        <f t="shared" si="253"/>
        <v>0</v>
      </c>
      <c r="K7709" s="575"/>
      <c r="L7709" s="575"/>
      <c r="M7709" s="575"/>
      <c r="N7709" s="575"/>
      <c r="O7709" s="575"/>
      <c r="P7709" s="575"/>
      <c r="Q7709" s="575"/>
      <c r="R7709" s="575"/>
      <c r="S7709" s="575"/>
      <c r="T7709" s="575"/>
      <c r="U7709" s="575"/>
      <c r="V7709" s="575"/>
      <c r="W7709" s="575"/>
      <c r="X7709" s="575"/>
      <c r="Y7709" s="575"/>
    </row>
    <row r="7710" spans="1:25" s="88" customFormat="1" ht="15.75" hidden="1" thickBot="1">
      <c r="A7710" s="397"/>
      <c r="B7710" s="301"/>
      <c r="C7710" s="361"/>
      <c r="D7710" s="296"/>
      <c r="E7710" s="296"/>
      <c r="F7710" s="294" t="s">
        <v>248</v>
      </c>
      <c r="G7710" s="297" t="s">
        <v>57</v>
      </c>
      <c r="H7710" s="634"/>
      <c r="I7710" s="635"/>
      <c r="J7710" s="639">
        <f t="shared" si="253"/>
        <v>0</v>
      </c>
      <c r="K7710" s="575"/>
      <c r="L7710" s="575"/>
      <c r="M7710" s="575"/>
      <c r="N7710" s="575"/>
      <c r="O7710" s="575"/>
      <c r="P7710" s="575"/>
      <c r="Q7710" s="575"/>
      <c r="R7710" s="575"/>
      <c r="S7710" s="575"/>
      <c r="T7710" s="575"/>
      <c r="U7710" s="575"/>
      <c r="V7710" s="575"/>
      <c r="W7710" s="575"/>
      <c r="X7710" s="575"/>
      <c r="Y7710" s="575"/>
    </row>
    <row r="7711" spans="1:25" s="88" customFormat="1" ht="15.75" hidden="1" thickBot="1">
      <c r="A7711" s="397"/>
      <c r="B7711" s="301"/>
      <c r="C7711" s="361"/>
      <c r="D7711" s="296"/>
      <c r="E7711" s="296"/>
      <c r="F7711" s="294" t="s">
        <v>249</v>
      </c>
      <c r="G7711" s="297" t="s">
        <v>250</v>
      </c>
      <c r="H7711" s="634"/>
      <c r="I7711" s="635"/>
      <c r="J7711" s="639">
        <f t="shared" si="253"/>
        <v>0</v>
      </c>
      <c r="K7711" s="575"/>
      <c r="L7711" s="575"/>
      <c r="M7711" s="575"/>
      <c r="N7711" s="575"/>
      <c r="O7711" s="575"/>
      <c r="P7711" s="575"/>
      <c r="Q7711" s="575"/>
      <c r="R7711" s="575"/>
      <c r="S7711" s="575"/>
      <c r="T7711" s="575"/>
      <c r="U7711" s="575"/>
      <c r="V7711" s="575"/>
      <c r="W7711" s="575"/>
      <c r="X7711" s="575"/>
      <c r="Y7711" s="575"/>
    </row>
    <row r="7712" spans="1:25" s="88" customFormat="1" ht="15.75" hidden="1" thickBot="1">
      <c r="A7712" s="397"/>
      <c r="B7712" s="301"/>
      <c r="C7712" s="361"/>
      <c r="D7712" s="296"/>
      <c r="E7712" s="296"/>
      <c r="F7712" s="294" t="s">
        <v>251</v>
      </c>
      <c r="G7712" s="297" t="s">
        <v>252</v>
      </c>
      <c r="H7712" s="634"/>
      <c r="I7712" s="635"/>
      <c r="J7712" s="639">
        <f t="shared" si="253"/>
        <v>0</v>
      </c>
      <c r="K7712" s="575"/>
      <c r="L7712" s="575"/>
      <c r="M7712" s="575"/>
      <c r="N7712" s="575"/>
      <c r="O7712" s="575"/>
      <c r="P7712" s="575"/>
      <c r="Q7712" s="575"/>
      <c r="R7712" s="575"/>
      <c r="S7712" s="575"/>
      <c r="T7712" s="575"/>
      <c r="U7712" s="575"/>
      <c r="V7712" s="575"/>
      <c r="W7712" s="575"/>
      <c r="X7712" s="575"/>
      <c r="Y7712" s="575"/>
    </row>
    <row r="7713" spans="1:25" s="88" customFormat="1" ht="15.75" hidden="1" thickBot="1">
      <c r="A7713" s="397"/>
      <c r="B7713" s="301"/>
      <c r="C7713" s="361"/>
      <c r="D7713" s="296"/>
      <c r="E7713" s="296"/>
      <c r="F7713" s="294" t="s">
        <v>253</v>
      </c>
      <c r="G7713" s="297" t="s">
        <v>254</v>
      </c>
      <c r="H7713" s="634"/>
      <c r="I7713" s="635"/>
      <c r="J7713" s="639">
        <f t="shared" si="253"/>
        <v>0</v>
      </c>
      <c r="K7713" s="575"/>
      <c r="L7713" s="575"/>
      <c r="M7713" s="575"/>
      <c r="N7713" s="575"/>
      <c r="O7713" s="575"/>
      <c r="P7713" s="575"/>
      <c r="Q7713" s="575"/>
      <c r="R7713" s="575"/>
      <c r="S7713" s="575"/>
      <c r="T7713" s="575"/>
      <c r="U7713" s="575"/>
      <c r="V7713" s="575"/>
      <c r="W7713" s="575"/>
      <c r="X7713" s="575"/>
      <c r="Y7713" s="575"/>
    </row>
    <row r="7714" spans="1:25" s="88" customFormat="1" ht="15.75" hidden="1" thickBot="1">
      <c r="A7714" s="397"/>
      <c r="B7714" s="301"/>
      <c r="C7714" s="361"/>
      <c r="D7714" s="296"/>
      <c r="E7714" s="296"/>
      <c r="F7714" s="294" t="s">
        <v>255</v>
      </c>
      <c r="G7714" s="297" t="s">
        <v>256</v>
      </c>
      <c r="H7714" s="634"/>
      <c r="I7714" s="635"/>
      <c r="J7714" s="639">
        <f t="shared" si="253"/>
        <v>0</v>
      </c>
      <c r="K7714" s="575"/>
      <c r="L7714" s="575"/>
      <c r="M7714" s="575"/>
      <c r="N7714" s="575"/>
      <c r="O7714" s="575"/>
      <c r="P7714" s="575"/>
      <c r="Q7714" s="575"/>
      <c r="R7714" s="575"/>
      <c r="S7714" s="575"/>
      <c r="T7714" s="575"/>
      <c r="U7714" s="575"/>
      <c r="V7714" s="575"/>
      <c r="W7714" s="575"/>
      <c r="X7714" s="575"/>
      <c r="Y7714" s="575"/>
    </row>
    <row r="7715" spans="1:25" s="88" customFormat="1" ht="15.75" hidden="1" thickBot="1">
      <c r="A7715" s="397"/>
      <c r="B7715" s="301"/>
      <c r="C7715" s="361"/>
      <c r="D7715" s="296"/>
      <c r="E7715" s="296"/>
      <c r="F7715" s="294" t="s">
        <v>257</v>
      </c>
      <c r="G7715" s="297" t="s">
        <v>258</v>
      </c>
      <c r="H7715" s="634"/>
      <c r="I7715" s="635"/>
      <c r="J7715" s="639">
        <f t="shared" si="253"/>
        <v>0</v>
      </c>
      <c r="K7715" s="575"/>
      <c r="L7715" s="575"/>
      <c r="M7715" s="575"/>
      <c r="N7715" s="575"/>
      <c r="O7715" s="575"/>
      <c r="P7715" s="575"/>
      <c r="Q7715" s="575"/>
      <c r="R7715" s="575"/>
      <c r="S7715" s="575"/>
      <c r="T7715" s="575"/>
      <c r="U7715" s="575"/>
      <c r="V7715" s="575"/>
      <c r="W7715" s="575"/>
      <c r="X7715" s="575"/>
      <c r="Y7715" s="575"/>
    </row>
    <row r="7716" spans="1:25" s="88" customFormat="1" ht="15.75" hidden="1" thickBot="1">
      <c r="A7716" s="397"/>
      <c r="B7716" s="301"/>
      <c r="C7716" s="361"/>
      <c r="D7716" s="296"/>
      <c r="E7716" s="296"/>
      <c r="F7716" s="294" t="s">
        <v>259</v>
      </c>
      <c r="G7716" s="297" t="s">
        <v>260</v>
      </c>
      <c r="H7716" s="634"/>
      <c r="I7716" s="635"/>
      <c r="J7716" s="639">
        <f t="shared" si="253"/>
        <v>0</v>
      </c>
      <c r="K7716" s="575"/>
      <c r="L7716" s="575"/>
      <c r="M7716" s="575"/>
      <c r="N7716" s="575"/>
      <c r="O7716" s="575"/>
      <c r="P7716" s="575"/>
      <c r="Q7716" s="575"/>
      <c r="R7716" s="575"/>
      <c r="S7716" s="575"/>
      <c r="T7716" s="575"/>
      <c r="U7716" s="575"/>
      <c r="V7716" s="575"/>
      <c r="W7716" s="575"/>
      <c r="X7716" s="575"/>
      <c r="Y7716" s="575"/>
    </row>
    <row r="7717" spans="1:25" s="88" customFormat="1" ht="15.75" hidden="1" thickBot="1">
      <c r="A7717" s="397"/>
      <c r="B7717" s="301"/>
      <c r="C7717" s="361"/>
      <c r="D7717" s="296"/>
      <c r="E7717" s="296"/>
      <c r="F7717" s="294" t="s">
        <v>261</v>
      </c>
      <c r="G7717" s="297" t="s">
        <v>262</v>
      </c>
      <c r="H7717" s="638"/>
      <c r="I7717" s="639"/>
      <c r="J7717" s="639">
        <f t="shared" si="253"/>
        <v>0</v>
      </c>
      <c r="K7717" s="575"/>
      <c r="L7717" s="575"/>
      <c r="M7717" s="575"/>
      <c r="N7717" s="575"/>
      <c r="O7717" s="575"/>
      <c r="P7717" s="575"/>
      <c r="Q7717" s="575"/>
      <c r="R7717" s="575"/>
      <c r="S7717" s="575"/>
      <c r="T7717" s="575"/>
      <c r="U7717" s="575"/>
      <c r="V7717" s="575"/>
      <c r="W7717" s="575"/>
      <c r="X7717" s="575"/>
      <c r="Y7717" s="575"/>
    </row>
    <row r="7718" spans="1:25" s="88" customFormat="1" ht="15.75" hidden="1" thickBot="1">
      <c r="A7718" s="397"/>
      <c r="B7718" s="301"/>
      <c r="C7718" s="361"/>
      <c r="D7718" s="296"/>
      <c r="E7718" s="296"/>
      <c r="F7718" s="263"/>
      <c r="G7718" s="274" t="s">
        <v>4438</v>
      </c>
      <c r="H7718" s="640">
        <f>SUM(H7702:H7717)</f>
        <v>0</v>
      </c>
      <c r="I7718" s="641">
        <f>SUM(I7703:I7717)</f>
        <v>0</v>
      </c>
      <c r="J7718" s="641">
        <f>SUM(J7702:J7717)</f>
        <v>0</v>
      </c>
      <c r="K7718" s="575"/>
      <c r="L7718" s="575"/>
      <c r="M7718" s="575"/>
      <c r="N7718" s="575"/>
      <c r="O7718" s="575"/>
      <c r="P7718" s="575"/>
      <c r="Q7718" s="575"/>
      <c r="R7718" s="575"/>
      <c r="S7718" s="575"/>
      <c r="T7718" s="575"/>
      <c r="U7718" s="575"/>
      <c r="V7718" s="575"/>
      <c r="W7718" s="575"/>
      <c r="X7718" s="575"/>
      <c r="Y7718" s="575"/>
    </row>
    <row r="7719" spans="1:25" s="88" customFormat="1" hidden="1">
      <c r="A7719" s="551"/>
      <c r="B7719" s="301"/>
      <c r="C7719" s="361"/>
      <c r="D7719" s="296"/>
      <c r="E7719" s="296"/>
      <c r="F7719" s="263"/>
      <c r="G7719" s="331"/>
      <c r="H7719" s="644"/>
      <c r="I7719" s="645"/>
      <c r="J7719" s="645"/>
      <c r="K7719" s="575"/>
      <c r="L7719" s="575"/>
      <c r="M7719" s="575"/>
      <c r="N7719" s="575"/>
      <c r="O7719" s="575"/>
      <c r="P7719" s="575"/>
      <c r="Q7719" s="575"/>
      <c r="R7719" s="575"/>
      <c r="S7719" s="575"/>
      <c r="T7719" s="575"/>
      <c r="U7719" s="575"/>
      <c r="V7719" s="575"/>
      <c r="W7719" s="575"/>
      <c r="X7719" s="575"/>
      <c r="Y7719" s="575"/>
    </row>
    <row r="7720" spans="1:25" hidden="1"/>
    <row r="7721" spans="1:25" hidden="1">
      <c r="A7721" s="408">
        <v>4</v>
      </c>
      <c r="B7721" s="417">
        <v>7</v>
      </c>
      <c r="C7721" s="408"/>
      <c r="D7721" s="409"/>
      <c r="E7721" s="412"/>
      <c r="F7721" s="412"/>
      <c r="G7721" s="413" t="s">
        <v>4306</v>
      </c>
      <c r="H7721" s="665"/>
      <c r="I7721" s="671"/>
      <c r="J7721" s="657"/>
      <c r="K7721" s="575"/>
    </row>
    <row r="7722" spans="1:25" s="88" customFormat="1" hidden="1">
      <c r="A7722" s="410"/>
      <c r="B7722" s="301"/>
      <c r="C7722" s="310" t="s">
        <v>3558</v>
      </c>
      <c r="D7722" s="263"/>
      <c r="E7722" s="263"/>
      <c r="F7722" s="263"/>
      <c r="G7722" s="351" t="s">
        <v>4232</v>
      </c>
      <c r="H7722" s="667"/>
      <c r="I7722" s="650"/>
      <c r="J7722" s="668"/>
      <c r="K7722" s="575"/>
      <c r="L7722" s="575"/>
      <c r="M7722" s="575"/>
      <c r="N7722" s="575"/>
      <c r="O7722" s="575"/>
      <c r="P7722" s="575"/>
      <c r="Q7722" s="575"/>
      <c r="R7722" s="575"/>
      <c r="S7722" s="575"/>
      <c r="T7722" s="575"/>
      <c r="U7722" s="575"/>
      <c r="V7722" s="575"/>
      <c r="W7722" s="575"/>
      <c r="X7722" s="575"/>
      <c r="Y7722" s="575"/>
    </row>
    <row r="7723" spans="1:25" s="88" customFormat="1" hidden="1">
      <c r="A7723" s="410"/>
      <c r="B7723" s="301"/>
      <c r="C7723" s="321" t="s">
        <v>4484</v>
      </c>
      <c r="D7723" s="264"/>
      <c r="E7723" s="264"/>
      <c r="F7723" s="322"/>
      <c r="G7723" s="352" t="s">
        <v>4057</v>
      </c>
      <c r="H7723" s="667"/>
      <c r="I7723" s="650"/>
      <c r="J7723" s="668"/>
      <c r="K7723" s="575"/>
      <c r="L7723" s="575"/>
      <c r="M7723" s="575"/>
      <c r="N7723" s="575"/>
      <c r="O7723" s="575"/>
      <c r="P7723" s="575"/>
      <c r="Q7723" s="575"/>
      <c r="R7723" s="575"/>
      <c r="S7723" s="575"/>
      <c r="T7723" s="575"/>
      <c r="U7723" s="575"/>
      <c r="V7723" s="575"/>
      <c r="W7723" s="575"/>
      <c r="X7723" s="575"/>
      <c r="Y7723" s="575"/>
    </row>
    <row r="7724" spans="1:25" hidden="1">
      <c r="C7724" s="273"/>
      <c r="D7724" s="357">
        <v>620</v>
      </c>
      <c r="E7724" s="357"/>
      <c r="F7724" s="357"/>
      <c r="G7724" s="358" t="s">
        <v>182</v>
      </c>
    </row>
    <row r="7725" spans="1:25" hidden="1">
      <c r="F7725" s="415">
        <v>411</v>
      </c>
      <c r="G7725" s="407" t="s">
        <v>4173</v>
      </c>
      <c r="J7725" s="635">
        <f>SUM(H7725:I7725)</f>
        <v>0</v>
      </c>
    </row>
    <row r="7726" spans="1:25" hidden="1">
      <c r="F7726" s="415">
        <v>412</v>
      </c>
      <c r="G7726" s="405" t="s">
        <v>3770</v>
      </c>
      <c r="J7726" s="635">
        <f t="shared" ref="J7726:J7784" si="254">SUM(H7726:I7726)</f>
        <v>0</v>
      </c>
    </row>
    <row r="7727" spans="1:25" hidden="1">
      <c r="F7727" s="415">
        <v>413</v>
      </c>
      <c r="G7727" s="407" t="s">
        <v>4174</v>
      </c>
      <c r="J7727" s="635">
        <f t="shared" si="254"/>
        <v>0</v>
      </c>
    </row>
    <row r="7728" spans="1:25" hidden="1">
      <c r="F7728" s="415">
        <v>414</v>
      </c>
      <c r="G7728" s="407" t="s">
        <v>3773</v>
      </c>
      <c r="J7728" s="635">
        <f t="shared" si="254"/>
        <v>0</v>
      </c>
    </row>
    <row r="7729" spans="6:10" hidden="1">
      <c r="F7729" s="415">
        <v>415</v>
      </c>
      <c r="G7729" s="407" t="s">
        <v>4183</v>
      </c>
      <c r="J7729" s="635">
        <f t="shared" si="254"/>
        <v>0</v>
      </c>
    </row>
    <row r="7730" spans="6:10" hidden="1">
      <c r="F7730" s="415">
        <v>416</v>
      </c>
      <c r="G7730" s="407" t="s">
        <v>4184</v>
      </c>
      <c r="J7730" s="635">
        <f t="shared" si="254"/>
        <v>0</v>
      </c>
    </row>
    <row r="7731" spans="6:10" hidden="1">
      <c r="F7731" s="415">
        <v>417</v>
      </c>
      <c r="G7731" s="407" t="s">
        <v>4185</v>
      </c>
      <c r="J7731" s="635">
        <f t="shared" si="254"/>
        <v>0</v>
      </c>
    </row>
    <row r="7732" spans="6:10" hidden="1">
      <c r="F7732" s="415">
        <v>418</v>
      </c>
      <c r="G7732" s="407" t="s">
        <v>3779</v>
      </c>
      <c r="J7732" s="635">
        <f t="shared" si="254"/>
        <v>0</v>
      </c>
    </row>
    <row r="7733" spans="6:10" hidden="1">
      <c r="F7733" s="415">
        <v>421</v>
      </c>
      <c r="G7733" s="407" t="s">
        <v>3783</v>
      </c>
      <c r="J7733" s="635">
        <f t="shared" si="254"/>
        <v>0</v>
      </c>
    </row>
    <row r="7734" spans="6:10" hidden="1">
      <c r="F7734" s="415">
        <v>422</v>
      </c>
      <c r="G7734" s="407" t="s">
        <v>3784</v>
      </c>
      <c r="J7734" s="635">
        <f t="shared" si="254"/>
        <v>0</v>
      </c>
    </row>
    <row r="7735" spans="6:10" hidden="1">
      <c r="F7735" s="415">
        <v>423</v>
      </c>
      <c r="G7735" s="407" t="s">
        <v>3785</v>
      </c>
      <c r="J7735" s="635">
        <f t="shared" si="254"/>
        <v>0</v>
      </c>
    </row>
    <row r="7736" spans="6:10" hidden="1">
      <c r="F7736" s="415">
        <v>424</v>
      </c>
      <c r="G7736" s="407" t="s">
        <v>3787</v>
      </c>
      <c r="J7736" s="635">
        <f t="shared" si="254"/>
        <v>0</v>
      </c>
    </row>
    <row r="7737" spans="6:10" hidden="1">
      <c r="F7737" s="415">
        <v>425</v>
      </c>
      <c r="G7737" s="407" t="s">
        <v>4186</v>
      </c>
      <c r="J7737" s="635">
        <f t="shared" si="254"/>
        <v>0</v>
      </c>
    </row>
    <row r="7738" spans="6:10" hidden="1">
      <c r="F7738" s="415">
        <v>426</v>
      </c>
      <c r="G7738" s="407" t="s">
        <v>3791</v>
      </c>
      <c r="J7738" s="635">
        <f t="shared" si="254"/>
        <v>0</v>
      </c>
    </row>
    <row r="7739" spans="6:10" hidden="1">
      <c r="F7739" s="415">
        <v>431</v>
      </c>
      <c r="G7739" s="407" t="s">
        <v>4187</v>
      </c>
      <c r="J7739" s="635">
        <f t="shared" si="254"/>
        <v>0</v>
      </c>
    </row>
    <row r="7740" spans="6:10" hidden="1">
      <c r="F7740" s="415">
        <v>432</v>
      </c>
      <c r="G7740" s="407" t="s">
        <v>4188</v>
      </c>
      <c r="J7740" s="635">
        <f t="shared" si="254"/>
        <v>0</v>
      </c>
    </row>
    <row r="7741" spans="6:10" hidden="1">
      <c r="F7741" s="415">
        <v>433</v>
      </c>
      <c r="G7741" s="407" t="s">
        <v>4189</v>
      </c>
      <c r="J7741" s="635">
        <f t="shared" si="254"/>
        <v>0</v>
      </c>
    </row>
    <row r="7742" spans="6:10" hidden="1">
      <c r="F7742" s="415">
        <v>434</v>
      </c>
      <c r="G7742" s="407" t="s">
        <v>4190</v>
      </c>
      <c r="J7742" s="635">
        <f t="shared" si="254"/>
        <v>0</v>
      </c>
    </row>
    <row r="7743" spans="6:10" hidden="1">
      <c r="F7743" s="415">
        <v>435</v>
      </c>
      <c r="G7743" s="407" t="s">
        <v>3798</v>
      </c>
      <c r="J7743" s="635">
        <f t="shared" si="254"/>
        <v>0</v>
      </c>
    </row>
    <row r="7744" spans="6:10" hidden="1">
      <c r="F7744" s="415">
        <v>441</v>
      </c>
      <c r="G7744" s="407" t="s">
        <v>4191</v>
      </c>
      <c r="J7744" s="635">
        <f t="shared" si="254"/>
        <v>0</v>
      </c>
    </row>
    <row r="7745" spans="6:10" hidden="1">
      <c r="F7745" s="415">
        <v>442</v>
      </c>
      <c r="G7745" s="407" t="s">
        <v>4192</v>
      </c>
      <c r="J7745" s="635">
        <f t="shared" si="254"/>
        <v>0</v>
      </c>
    </row>
    <row r="7746" spans="6:10" hidden="1">
      <c r="F7746" s="415">
        <v>443</v>
      </c>
      <c r="G7746" s="407" t="s">
        <v>3803</v>
      </c>
      <c r="J7746" s="635">
        <f t="shared" si="254"/>
        <v>0</v>
      </c>
    </row>
    <row r="7747" spans="6:10" hidden="1">
      <c r="F7747" s="415">
        <v>444</v>
      </c>
      <c r="G7747" s="407" t="s">
        <v>3804</v>
      </c>
      <c r="J7747" s="635">
        <f t="shared" si="254"/>
        <v>0</v>
      </c>
    </row>
    <row r="7748" spans="6:10" ht="30" hidden="1">
      <c r="F7748" s="415">
        <v>4511</v>
      </c>
      <c r="G7748" s="268" t="s">
        <v>1690</v>
      </c>
      <c r="J7748" s="635">
        <f t="shared" si="254"/>
        <v>0</v>
      </c>
    </row>
    <row r="7749" spans="6:10" ht="19.5" hidden="1" customHeight="1">
      <c r="F7749" s="415">
        <v>4512</v>
      </c>
      <c r="G7749" s="268" t="s">
        <v>1699</v>
      </c>
      <c r="J7749" s="635">
        <f t="shared" si="254"/>
        <v>0</v>
      </c>
    </row>
    <row r="7750" spans="6:10" hidden="1">
      <c r="F7750" s="415">
        <v>452</v>
      </c>
      <c r="G7750" s="407" t="s">
        <v>4193</v>
      </c>
      <c r="J7750" s="635">
        <f t="shared" si="254"/>
        <v>0</v>
      </c>
    </row>
    <row r="7751" spans="6:10" hidden="1">
      <c r="F7751" s="415">
        <v>453</v>
      </c>
      <c r="G7751" s="407" t="s">
        <v>4194</v>
      </c>
      <c r="J7751" s="635">
        <f t="shared" si="254"/>
        <v>0</v>
      </c>
    </row>
    <row r="7752" spans="6:10" hidden="1">
      <c r="F7752" s="415">
        <v>454</v>
      </c>
      <c r="G7752" s="407" t="s">
        <v>3809</v>
      </c>
      <c r="J7752" s="635">
        <f t="shared" si="254"/>
        <v>0</v>
      </c>
    </row>
    <row r="7753" spans="6:10" hidden="1">
      <c r="F7753" s="415">
        <v>461</v>
      </c>
      <c r="G7753" s="407" t="s">
        <v>4175</v>
      </c>
      <c r="J7753" s="635">
        <f t="shared" si="254"/>
        <v>0</v>
      </c>
    </row>
    <row r="7754" spans="6:10" hidden="1">
      <c r="F7754" s="415">
        <v>462</v>
      </c>
      <c r="G7754" s="407" t="s">
        <v>3812</v>
      </c>
      <c r="J7754" s="635">
        <f t="shared" si="254"/>
        <v>0</v>
      </c>
    </row>
    <row r="7755" spans="6:10" hidden="1">
      <c r="F7755" s="415">
        <v>4631</v>
      </c>
      <c r="G7755" s="407" t="s">
        <v>3813</v>
      </c>
      <c r="J7755" s="635">
        <f t="shared" si="254"/>
        <v>0</v>
      </c>
    </row>
    <row r="7756" spans="6:10" hidden="1">
      <c r="F7756" s="415">
        <v>4632</v>
      </c>
      <c r="G7756" s="407" t="s">
        <v>3814</v>
      </c>
      <c r="J7756" s="635">
        <f t="shared" si="254"/>
        <v>0</v>
      </c>
    </row>
    <row r="7757" spans="6:10" hidden="1">
      <c r="F7757" s="415">
        <v>464</v>
      </c>
      <c r="G7757" s="407" t="s">
        <v>3815</v>
      </c>
      <c r="J7757" s="635">
        <f t="shared" si="254"/>
        <v>0</v>
      </c>
    </row>
    <row r="7758" spans="6:10" hidden="1">
      <c r="F7758" s="415">
        <v>465</v>
      </c>
      <c r="G7758" s="407" t="s">
        <v>4176</v>
      </c>
      <c r="J7758" s="635">
        <f t="shared" si="254"/>
        <v>0</v>
      </c>
    </row>
    <row r="7759" spans="6:10" hidden="1">
      <c r="F7759" s="415">
        <v>472</v>
      </c>
      <c r="G7759" s="407" t="s">
        <v>3819</v>
      </c>
      <c r="J7759" s="635">
        <f t="shared" si="254"/>
        <v>0</v>
      </c>
    </row>
    <row r="7760" spans="6:10" hidden="1">
      <c r="F7760" s="415">
        <v>481</v>
      </c>
      <c r="G7760" s="407" t="s">
        <v>4195</v>
      </c>
      <c r="J7760" s="635">
        <f t="shared" si="254"/>
        <v>0</v>
      </c>
    </row>
    <row r="7761" spans="6:10" hidden="1">
      <c r="F7761" s="415">
        <v>482</v>
      </c>
      <c r="G7761" s="407" t="s">
        <v>4196</v>
      </c>
      <c r="J7761" s="635">
        <f t="shared" si="254"/>
        <v>0</v>
      </c>
    </row>
    <row r="7762" spans="6:10" hidden="1">
      <c r="F7762" s="415">
        <v>483</v>
      </c>
      <c r="G7762" s="411" t="s">
        <v>4197</v>
      </c>
      <c r="J7762" s="635">
        <f t="shared" si="254"/>
        <v>0</v>
      </c>
    </row>
    <row r="7763" spans="6:10" ht="30" hidden="1">
      <c r="F7763" s="415">
        <v>484</v>
      </c>
      <c r="G7763" s="407" t="s">
        <v>4198</v>
      </c>
      <c r="J7763" s="635">
        <f t="shared" si="254"/>
        <v>0</v>
      </c>
    </row>
    <row r="7764" spans="6:10" ht="30" hidden="1">
      <c r="F7764" s="415">
        <v>485</v>
      </c>
      <c r="G7764" s="407" t="s">
        <v>4199</v>
      </c>
      <c r="J7764" s="635">
        <f t="shared" si="254"/>
        <v>0</v>
      </c>
    </row>
    <row r="7765" spans="6:10" ht="30" hidden="1">
      <c r="F7765" s="415">
        <v>489</v>
      </c>
      <c r="G7765" s="407" t="s">
        <v>3827</v>
      </c>
      <c r="J7765" s="635">
        <f t="shared" si="254"/>
        <v>0</v>
      </c>
    </row>
    <row r="7766" spans="6:10" hidden="1">
      <c r="F7766" s="415">
        <v>494</v>
      </c>
      <c r="G7766" s="407" t="s">
        <v>4177</v>
      </c>
      <c r="J7766" s="635">
        <f t="shared" si="254"/>
        <v>0</v>
      </c>
    </row>
    <row r="7767" spans="6:10" ht="30" hidden="1">
      <c r="F7767" s="415">
        <v>495</v>
      </c>
      <c r="G7767" s="407" t="s">
        <v>4178</v>
      </c>
      <c r="J7767" s="635">
        <f t="shared" si="254"/>
        <v>0</v>
      </c>
    </row>
    <row r="7768" spans="6:10" ht="30" hidden="1">
      <c r="F7768" s="415">
        <v>496</v>
      </c>
      <c r="G7768" s="407" t="s">
        <v>4179</v>
      </c>
      <c r="J7768" s="635">
        <f t="shared" si="254"/>
        <v>0</v>
      </c>
    </row>
    <row r="7769" spans="6:10" hidden="1">
      <c r="F7769" s="415">
        <v>499</v>
      </c>
      <c r="G7769" s="407" t="s">
        <v>4180</v>
      </c>
      <c r="J7769" s="635">
        <f t="shared" si="254"/>
        <v>0</v>
      </c>
    </row>
    <row r="7770" spans="6:10" hidden="1">
      <c r="F7770" s="415">
        <v>511</v>
      </c>
      <c r="G7770" s="411" t="s">
        <v>4200</v>
      </c>
      <c r="J7770" s="635">
        <f t="shared" si="254"/>
        <v>0</v>
      </c>
    </row>
    <row r="7771" spans="6:10" hidden="1">
      <c r="F7771" s="415">
        <v>512</v>
      </c>
      <c r="G7771" s="411" t="s">
        <v>4201</v>
      </c>
      <c r="J7771" s="635">
        <f t="shared" si="254"/>
        <v>0</v>
      </c>
    </row>
    <row r="7772" spans="6:10" hidden="1">
      <c r="F7772" s="415">
        <v>513</v>
      </c>
      <c r="G7772" s="411" t="s">
        <v>4202</v>
      </c>
      <c r="J7772" s="635">
        <f t="shared" si="254"/>
        <v>0</v>
      </c>
    </row>
    <row r="7773" spans="6:10" hidden="1">
      <c r="F7773" s="415">
        <v>514</v>
      </c>
      <c r="G7773" s="407" t="s">
        <v>4203</v>
      </c>
      <c r="J7773" s="635">
        <f t="shared" si="254"/>
        <v>0</v>
      </c>
    </row>
    <row r="7774" spans="6:10" ht="15.75" hidden="1" thickBot="1">
      <c r="F7774" s="415">
        <v>515</v>
      </c>
      <c r="G7774" s="407" t="s">
        <v>3838</v>
      </c>
      <c r="J7774" s="635">
        <f t="shared" si="254"/>
        <v>0</v>
      </c>
    </row>
    <row r="7775" spans="6:10" ht="15.75" hidden="1" thickBot="1">
      <c r="F7775" s="415">
        <v>521</v>
      </c>
      <c r="G7775" s="407" t="s">
        <v>4204</v>
      </c>
      <c r="J7775" s="635">
        <f t="shared" si="254"/>
        <v>0</v>
      </c>
    </row>
    <row r="7776" spans="6:10" ht="15.75" hidden="1" thickBot="1">
      <c r="F7776" s="415">
        <v>522</v>
      </c>
      <c r="G7776" s="407" t="s">
        <v>4205</v>
      </c>
      <c r="J7776" s="635">
        <f t="shared" si="254"/>
        <v>0</v>
      </c>
    </row>
    <row r="7777" spans="5:10" ht="15.75" hidden="1" thickBot="1">
      <c r="F7777" s="415">
        <v>523</v>
      </c>
      <c r="G7777" s="407" t="s">
        <v>3843</v>
      </c>
      <c r="J7777" s="635">
        <f t="shared" si="254"/>
        <v>0</v>
      </c>
    </row>
    <row r="7778" spans="5:10" ht="15.75" hidden="1" thickBot="1">
      <c r="F7778" s="415">
        <v>531</v>
      </c>
      <c r="G7778" s="405" t="s">
        <v>4181</v>
      </c>
      <c r="J7778" s="635">
        <f t="shared" si="254"/>
        <v>0</v>
      </c>
    </row>
    <row r="7779" spans="5:10" ht="15.75" hidden="1" thickBot="1">
      <c r="F7779" s="415">
        <v>541</v>
      </c>
      <c r="G7779" s="407" t="s">
        <v>4206</v>
      </c>
      <c r="J7779" s="635">
        <f t="shared" si="254"/>
        <v>0</v>
      </c>
    </row>
    <row r="7780" spans="5:10" ht="15.75" hidden="1" thickBot="1">
      <c r="F7780" s="415">
        <v>542</v>
      </c>
      <c r="G7780" s="407" t="s">
        <v>4207</v>
      </c>
      <c r="J7780" s="635">
        <f t="shared" si="254"/>
        <v>0</v>
      </c>
    </row>
    <row r="7781" spans="5:10" ht="15.75" hidden="1" thickBot="1">
      <c r="F7781" s="415">
        <v>543</v>
      </c>
      <c r="G7781" s="407" t="s">
        <v>3848</v>
      </c>
      <c r="J7781" s="635">
        <f t="shared" si="254"/>
        <v>0</v>
      </c>
    </row>
    <row r="7782" spans="5:10" ht="30.75" hidden="1" thickBot="1">
      <c r="F7782" s="415">
        <v>551</v>
      </c>
      <c r="G7782" s="407" t="s">
        <v>4182</v>
      </c>
      <c r="J7782" s="635">
        <f t="shared" si="254"/>
        <v>0</v>
      </c>
    </row>
    <row r="7783" spans="5:10" ht="15.75" hidden="1" thickBot="1">
      <c r="F7783" s="416">
        <v>611</v>
      </c>
      <c r="G7783" s="414" t="s">
        <v>3854</v>
      </c>
      <c r="J7783" s="635">
        <f t="shared" si="254"/>
        <v>0</v>
      </c>
    </row>
    <row r="7784" spans="5:10" ht="15.75" hidden="1" thickBot="1">
      <c r="F7784" s="416">
        <v>620</v>
      </c>
      <c r="G7784" s="414" t="s">
        <v>88</v>
      </c>
      <c r="J7784" s="635">
        <f t="shared" si="254"/>
        <v>0</v>
      </c>
    </row>
    <row r="7785" spans="5:10" hidden="1">
      <c r="E7785" s="406"/>
      <c r="F7785" s="416"/>
      <c r="G7785" s="372" t="s">
        <v>4350</v>
      </c>
      <c r="H7785" s="636"/>
      <c r="I7785" s="662"/>
      <c r="J7785" s="637"/>
    </row>
    <row r="7786" spans="5:10" ht="15.75" hidden="1" thickBot="1">
      <c r="E7786" s="267"/>
      <c r="F7786" s="294" t="s">
        <v>234</v>
      </c>
      <c r="G7786" s="297" t="s">
        <v>235</v>
      </c>
      <c r="H7786" s="638">
        <f>SUM(H7725:H7784)</f>
        <v>0</v>
      </c>
      <c r="I7786" s="639"/>
      <c r="J7786" s="639">
        <f t="shared" ref="J7786:J7801" si="255">SUM(H7786:I7786)</f>
        <v>0</v>
      </c>
    </row>
    <row r="7787" spans="5:10" ht="15.75" hidden="1" thickBot="1">
      <c r="F7787" s="294" t="s">
        <v>236</v>
      </c>
      <c r="G7787" s="297" t="s">
        <v>237</v>
      </c>
      <c r="J7787" s="639">
        <f t="shared" si="255"/>
        <v>0</v>
      </c>
    </row>
    <row r="7788" spans="5:10" ht="15.75" hidden="1" thickBot="1">
      <c r="F7788" s="294" t="s">
        <v>238</v>
      </c>
      <c r="G7788" s="297" t="s">
        <v>239</v>
      </c>
      <c r="J7788" s="639">
        <f t="shared" si="255"/>
        <v>0</v>
      </c>
    </row>
    <row r="7789" spans="5:10" ht="15.75" hidden="1" thickBot="1">
      <c r="F7789" s="294" t="s">
        <v>240</v>
      </c>
      <c r="G7789" s="297" t="s">
        <v>241</v>
      </c>
      <c r="J7789" s="639">
        <f t="shared" si="255"/>
        <v>0</v>
      </c>
    </row>
    <row r="7790" spans="5:10" ht="15.75" hidden="1" thickBot="1">
      <c r="F7790" s="294" t="s">
        <v>242</v>
      </c>
      <c r="G7790" s="297" t="s">
        <v>243</v>
      </c>
      <c r="J7790" s="639">
        <f t="shared" si="255"/>
        <v>0</v>
      </c>
    </row>
    <row r="7791" spans="5:10" ht="15.75" hidden="1" thickBot="1">
      <c r="F7791" s="294" t="s">
        <v>244</v>
      </c>
      <c r="G7791" s="297" t="s">
        <v>245</v>
      </c>
      <c r="J7791" s="639">
        <f t="shared" si="255"/>
        <v>0</v>
      </c>
    </row>
    <row r="7792" spans="5:10" ht="15.75" hidden="1" thickBot="1">
      <c r="F7792" s="294" t="s">
        <v>246</v>
      </c>
      <c r="G7792" s="683" t="s">
        <v>5121</v>
      </c>
      <c r="J7792" s="639">
        <f t="shared" si="255"/>
        <v>0</v>
      </c>
    </row>
    <row r="7793" spans="5:10" ht="15.75" hidden="1" thickBot="1">
      <c r="F7793" s="294" t="s">
        <v>247</v>
      </c>
      <c r="G7793" s="683" t="s">
        <v>5120</v>
      </c>
      <c r="J7793" s="639">
        <f t="shared" si="255"/>
        <v>0</v>
      </c>
    </row>
    <row r="7794" spans="5:10" ht="15.75" hidden="1" thickBot="1">
      <c r="F7794" s="294" t="s">
        <v>248</v>
      </c>
      <c r="G7794" s="297" t="s">
        <v>57</v>
      </c>
      <c r="J7794" s="639">
        <f t="shared" si="255"/>
        <v>0</v>
      </c>
    </row>
    <row r="7795" spans="5:10" ht="15.75" hidden="1" thickBot="1">
      <c r="F7795" s="294" t="s">
        <v>249</v>
      </c>
      <c r="G7795" s="297" t="s">
        <v>250</v>
      </c>
      <c r="J7795" s="639">
        <f t="shared" si="255"/>
        <v>0</v>
      </c>
    </row>
    <row r="7796" spans="5:10" ht="15.75" hidden="1" thickBot="1">
      <c r="F7796" s="294" t="s">
        <v>251</v>
      </c>
      <c r="G7796" s="297" t="s">
        <v>252</v>
      </c>
      <c r="J7796" s="639">
        <f t="shared" si="255"/>
        <v>0</v>
      </c>
    </row>
    <row r="7797" spans="5:10" ht="15.75" hidden="1" thickBot="1">
      <c r="F7797" s="294" t="s">
        <v>253</v>
      </c>
      <c r="G7797" s="297" t="s">
        <v>254</v>
      </c>
      <c r="J7797" s="639">
        <f t="shared" si="255"/>
        <v>0</v>
      </c>
    </row>
    <row r="7798" spans="5:10" ht="15.75" hidden="1" thickBot="1">
      <c r="F7798" s="294" t="s">
        <v>255</v>
      </c>
      <c r="G7798" s="297" t="s">
        <v>256</v>
      </c>
      <c r="J7798" s="639">
        <f t="shared" si="255"/>
        <v>0</v>
      </c>
    </row>
    <row r="7799" spans="5:10" ht="15.75" hidden="1" thickBot="1">
      <c r="F7799" s="294" t="s">
        <v>257</v>
      </c>
      <c r="G7799" s="297" t="s">
        <v>258</v>
      </c>
      <c r="J7799" s="639">
        <f t="shared" si="255"/>
        <v>0</v>
      </c>
    </row>
    <row r="7800" spans="5:10" ht="15.75" hidden="1" thickBot="1">
      <c r="F7800" s="294" t="s">
        <v>259</v>
      </c>
      <c r="G7800" s="297" t="s">
        <v>260</v>
      </c>
      <c r="J7800" s="639">
        <f t="shared" si="255"/>
        <v>0</v>
      </c>
    </row>
    <row r="7801" spans="5:10" ht="15.75" hidden="1" thickBot="1">
      <c r="F7801" s="294" t="s">
        <v>261</v>
      </c>
      <c r="G7801" s="297" t="s">
        <v>262</v>
      </c>
      <c r="H7801" s="638"/>
      <c r="I7801" s="639"/>
      <c r="J7801" s="639">
        <f t="shared" si="255"/>
        <v>0</v>
      </c>
    </row>
    <row r="7802" spans="5:10" ht="15.75" hidden="1" thickBot="1">
      <c r="G7802" s="274" t="s">
        <v>4351</v>
      </c>
      <c r="H7802" s="640">
        <f>SUM(H7786:H7801)</f>
        <v>0</v>
      </c>
      <c r="I7802" s="641">
        <f>SUM(I7787:I7801)</f>
        <v>0</v>
      </c>
      <c r="J7802" s="641">
        <f>SUM(J7786:J7801)</f>
        <v>0</v>
      </c>
    </row>
    <row r="7803" spans="5:10" hidden="1" collapsed="1">
      <c r="E7803" s="406"/>
      <c r="F7803" s="416"/>
      <c r="G7803" s="276" t="s">
        <v>4400</v>
      </c>
      <c r="H7803" s="642"/>
      <c r="I7803" s="663"/>
      <c r="J7803" s="643"/>
    </row>
    <row r="7804" spans="5:10" ht="15.75" hidden="1" thickBot="1">
      <c r="E7804" s="267"/>
      <c r="F7804" s="294" t="s">
        <v>234</v>
      </c>
      <c r="G7804" s="297" t="s">
        <v>235</v>
      </c>
      <c r="H7804" s="638">
        <f>SUM(H7725:H7784)</f>
        <v>0</v>
      </c>
      <c r="I7804" s="639"/>
      <c r="J7804" s="639">
        <f>SUM(H7804:I7804)</f>
        <v>0</v>
      </c>
    </row>
    <row r="7805" spans="5:10" ht="15.75" hidden="1" thickBot="1">
      <c r="F7805" s="294" t="s">
        <v>236</v>
      </c>
      <c r="G7805" s="297" t="s">
        <v>237</v>
      </c>
      <c r="J7805" s="639">
        <f t="shared" ref="J7805:J7819" si="256">SUM(H7805:I7805)</f>
        <v>0</v>
      </c>
    </row>
    <row r="7806" spans="5:10" ht="15.75" hidden="1" thickBot="1">
      <c r="F7806" s="294" t="s">
        <v>238</v>
      </c>
      <c r="G7806" s="297" t="s">
        <v>239</v>
      </c>
      <c r="J7806" s="639">
        <f t="shared" si="256"/>
        <v>0</v>
      </c>
    </row>
    <row r="7807" spans="5:10" ht="15.75" hidden="1" thickBot="1">
      <c r="F7807" s="294" t="s">
        <v>240</v>
      </c>
      <c r="G7807" s="297" t="s">
        <v>241</v>
      </c>
      <c r="J7807" s="639">
        <f t="shared" si="256"/>
        <v>0</v>
      </c>
    </row>
    <row r="7808" spans="5:10" ht="15.75" hidden="1" thickBot="1">
      <c r="F7808" s="294" t="s">
        <v>242</v>
      </c>
      <c r="G7808" s="297" t="s">
        <v>243</v>
      </c>
      <c r="J7808" s="639">
        <f t="shared" si="256"/>
        <v>0</v>
      </c>
    </row>
    <row r="7809" spans="1:25" ht="15.75" hidden="1" thickBot="1">
      <c r="F7809" s="294" t="s">
        <v>244</v>
      </c>
      <c r="G7809" s="297" t="s">
        <v>245</v>
      </c>
      <c r="J7809" s="639">
        <f t="shared" si="256"/>
        <v>0</v>
      </c>
    </row>
    <row r="7810" spans="1:25" ht="15.75" hidden="1" thickBot="1">
      <c r="F7810" s="294" t="s">
        <v>246</v>
      </c>
      <c r="G7810" s="683" t="s">
        <v>5121</v>
      </c>
      <c r="J7810" s="639">
        <f t="shared" si="256"/>
        <v>0</v>
      </c>
    </row>
    <row r="7811" spans="1:25" ht="15.75" hidden="1" thickBot="1">
      <c r="F7811" s="294" t="s">
        <v>247</v>
      </c>
      <c r="G7811" s="683" t="s">
        <v>5120</v>
      </c>
      <c r="J7811" s="639">
        <f t="shared" si="256"/>
        <v>0</v>
      </c>
    </row>
    <row r="7812" spans="1:25" ht="15.75" hidden="1" thickBot="1">
      <c r="F7812" s="294" t="s">
        <v>248</v>
      </c>
      <c r="G7812" s="297" t="s">
        <v>57</v>
      </c>
      <c r="J7812" s="639">
        <f t="shared" si="256"/>
        <v>0</v>
      </c>
    </row>
    <row r="7813" spans="1:25" ht="15.75" hidden="1" thickBot="1">
      <c r="F7813" s="294" t="s">
        <v>249</v>
      </c>
      <c r="G7813" s="297" t="s">
        <v>250</v>
      </c>
      <c r="J7813" s="639">
        <f t="shared" si="256"/>
        <v>0</v>
      </c>
    </row>
    <row r="7814" spans="1:25" ht="15.75" hidden="1" thickBot="1">
      <c r="F7814" s="294" t="s">
        <v>251</v>
      </c>
      <c r="G7814" s="297" t="s">
        <v>252</v>
      </c>
      <c r="J7814" s="639">
        <f t="shared" si="256"/>
        <v>0</v>
      </c>
    </row>
    <row r="7815" spans="1:25" ht="15.75" hidden="1" thickBot="1">
      <c r="F7815" s="294" t="s">
        <v>253</v>
      </c>
      <c r="G7815" s="297" t="s">
        <v>254</v>
      </c>
      <c r="J7815" s="639">
        <f t="shared" si="256"/>
        <v>0</v>
      </c>
    </row>
    <row r="7816" spans="1:25" ht="15.75" hidden="1" thickBot="1">
      <c r="F7816" s="294" t="s">
        <v>255</v>
      </c>
      <c r="G7816" s="297" t="s">
        <v>256</v>
      </c>
      <c r="J7816" s="639">
        <f t="shared" si="256"/>
        <v>0</v>
      </c>
    </row>
    <row r="7817" spans="1:25" ht="15.75" hidden="1" thickBot="1">
      <c r="F7817" s="294" t="s">
        <v>257</v>
      </c>
      <c r="G7817" s="297" t="s">
        <v>258</v>
      </c>
      <c r="J7817" s="639">
        <f t="shared" si="256"/>
        <v>0</v>
      </c>
    </row>
    <row r="7818" spans="1:25" ht="15.75" hidden="1" thickBot="1">
      <c r="F7818" s="294" t="s">
        <v>259</v>
      </c>
      <c r="G7818" s="297" t="s">
        <v>260</v>
      </c>
      <c r="J7818" s="639">
        <f t="shared" si="256"/>
        <v>0</v>
      </c>
    </row>
    <row r="7819" spans="1:25" ht="15.75" hidden="1" thickBot="1">
      <c r="F7819" s="294" t="s">
        <v>261</v>
      </c>
      <c r="G7819" s="297" t="s">
        <v>262</v>
      </c>
      <c r="H7819" s="638"/>
      <c r="I7819" s="639"/>
      <c r="J7819" s="639">
        <f t="shared" si="256"/>
        <v>0</v>
      </c>
    </row>
    <row r="7820" spans="1:25" ht="15.75" hidden="1" collapsed="1" thickBot="1">
      <c r="G7820" s="274" t="s">
        <v>4401</v>
      </c>
      <c r="H7820" s="640">
        <f>SUM(H7804:H7819)</f>
        <v>0</v>
      </c>
      <c r="I7820" s="641">
        <f>SUM(I7805:I7819)</f>
        <v>0</v>
      </c>
      <c r="J7820" s="641">
        <f>SUM(J7804:J7819)</f>
        <v>0</v>
      </c>
    </row>
    <row r="7821" spans="1:25" hidden="1"/>
    <row r="7822" spans="1:25" s="88" customFormat="1" hidden="1">
      <c r="A7822" s="410"/>
      <c r="B7822" s="301"/>
      <c r="C7822" s="321" t="s">
        <v>4308</v>
      </c>
      <c r="D7822" s="264"/>
      <c r="E7822" s="264"/>
      <c r="F7822" s="322"/>
      <c r="G7822" s="323" t="s">
        <v>4057</v>
      </c>
      <c r="H7822" s="667"/>
      <c r="I7822" s="650"/>
      <c r="J7822" s="668"/>
      <c r="K7822" s="575"/>
      <c r="L7822" s="575"/>
      <c r="M7822" s="575"/>
      <c r="N7822" s="575"/>
      <c r="O7822" s="575"/>
      <c r="P7822" s="575"/>
      <c r="Q7822" s="575"/>
      <c r="R7822" s="575"/>
      <c r="S7822" s="575"/>
      <c r="T7822" s="575"/>
      <c r="U7822" s="575"/>
      <c r="V7822" s="575"/>
      <c r="W7822" s="575"/>
      <c r="X7822" s="575"/>
      <c r="Y7822" s="575"/>
    </row>
    <row r="7823" spans="1:25" hidden="1">
      <c r="C7823" s="273"/>
      <c r="D7823" s="357">
        <v>620</v>
      </c>
      <c r="E7823" s="357"/>
      <c r="F7823" s="357"/>
      <c r="G7823" s="358" t="s">
        <v>182</v>
      </c>
    </row>
    <row r="7824" spans="1:25" hidden="1">
      <c r="F7824" s="415">
        <v>411</v>
      </c>
      <c r="G7824" s="407" t="s">
        <v>4173</v>
      </c>
      <c r="J7824" s="635">
        <f>SUM(H7824:I7824)</f>
        <v>0</v>
      </c>
    </row>
    <row r="7825" spans="6:10" hidden="1">
      <c r="F7825" s="415">
        <v>412</v>
      </c>
      <c r="G7825" s="405" t="s">
        <v>3770</v>
      </c>
      <c r="J7825" s="635">
        <f t="shared" ref="J7825:J7883" si="257">SUM(H7825:I7825)</f>
        <v>0</v>
      </c>
    </row>
    <row r="7826" spans="6:10" hidden="1">
      <c r="F7826" s="415">
        <v>413</v>
      </c>
      <c r="G7826" s="407" t="s">
        <v>4174</v>
      </c>
      <c r="J7826" s="635">
        <f t="shared" si="257"/>
        <v>0</v>
      </c>
    </row>
    <row r="7827" spans="6:10" hidden="1">
      <c r="F7827" s="415">
        <v>414</v>
      </c>
      <c r="G7827" s="407" t="s">
        <v>3773</v>
      </c>
      <c r="J7827" s="635">
        <f t="shared" si="257"/>
        <v>0</v>
      </c>
    </row>
    <row r="7828" spans="6:10" hidden="1">
      <c r="F7828" s="415">
        <v>415</v>
      </c>
      <c r="G7828" s="407" t="s">
        <v>4183</v>
      </c>
      <c r="J7828" s="635">
        <f t="shared" si="257"/>
        <v>0</v>
      </c>
    </row>
    <row r="7829" spans="6:10" hidden="1">
      <c r="F7829" s="415">
        <v>416</v>
      </c>
      <c r="G7829" s="407" t="s">
        <v>4184</v>
      </c>
      <c r="J7829" s="635">
        <f t="shared" si="257"/>
        <v>0</v>
      </c>
    </row>
    <row r="7830" spans="6:10" hidden="1">
      <c r="F7830" s="415">
        <v>417</v>
      </c>
      <c r="G7830" s="407" t="s">
        <v>4185</v>
      </c>
      <c r="J7830" s="635">
        <f t="shared" si="257"/>
        <v>0</v>
      </c>
    </row>
    <row r="7831" spans="6:10" hidden="1">
      <c r="F7831" s="415">
        <v>418</v>
      </c>
      <c r="G7831" s="407" t="s">
        <v>3779</v>
      </c>
      <c r="J7831" s="635">
        <f t="shared" si="257"/>
        <v>0</v>
      </c>
    </row>
    <row r="7832" spans="6:10" hidden="1">
      <c r="F7832" s="415">
        <v>421</v>
      </c>
      <c r="G7832" s="407" t="s">
        <v>3783</v>
      </c>
      <c r="J7832" s="635">
        <f t="shared" si="257"/>
        <v>0</v>
      </c>
    </row>
    <row r="7833" spans="6:10" hidden="1">
      <c r="F7833" s="415">
        <v>422</v>
      </c>
      <c r="G7833" s="407" t="s">
        <v>3784</v>
      </c>
      <c r="J7833" s="635">
        <f t="shared" si="257"/>
        <v>0</v>
      </c>
    </row>
    <row r="7834" spans="6:10" hidden="1">
      <c r="F7834" s="415">
        <v>423</v>
      </c>
      <c r="G7834" s="407" t="s">
        <v>3785</v>
      </c>
      <c r="J7834" s="635">
        <f t="shared" si="257"/>
        <v>0</v>
      </c>
    </row>
    <row r="7835" spans="6:10" hidden="1">
      <c r="F7835" s="415">
        <v>424</v>
      </c>
      <c r="G7835" s="407" t="s">
        <v>3787</v>
      </c>
      <c r="J7835" s="635">
        <f t="shared" si="257"/>
        <v>0</v>
      </c>
    </row>
    <row r="7836" spans="6:10" hidden="1">
      <c r="F7836" s="415">
        <v>425</v>
      </c>
      <c r="G7836" s="407" t="s">
        <v>4186</v>
      </c>
      <c r="J7836" s="635">
        <f t="shared" si="257"/>
        <v>0</v>
      </c>
    </row>
    <row r="7837" spans="6:10" hidden="1">
      <c r="F7837" s="415">
        <v>426</v>
      </c>
      <c r="G7837" s="407" t="s">
        <v>3791</v>
      </c>
      <c r="J7837" s="635">
        <f t="shared" si="257"/>
        <v>0</v>
      </c>
    </row>
    <row r="7838" spans="6:10" hidden="1">
      <c r="F7838" s="415">
        <v>431</v>
      </c>
      <c r="G7838" s="407" t="s">
        <v>4187</v>
      </c>
      <c r="J7838" s="635">
        <f t="shared" si="257"/>
        <v>0</v>
      </c>
    </row>
    <row r="7839" spans="6:10" hidden="1">
      <c r="F7839" s="415">
        <v>432</v>
      </c>
      <c r="G7839" s="407" t="s">
        <v>4188</v>
      </c>
      <c r="J7839" s="635">
        <f t="shared" si="257"/>
        <v>0</v>
      </c>
    </row>
    <row r="7840" spans="6:10" hidden="1">
      <c r="F7840" s="415">
        <v>433</v>
      </c>
      <c r="G7840" s="407" t="s">
        <v>4189</v>
      </c>
      <c r="J7840" s="635">
        <f t="shared" si="257"/>
        <v>0</v>
      </c>
    </row>
    <row r="7841" spans="6:10" hidden="1">
      <c r="F7841" s="415">
        <v>434</v>
      </c>
      <c r="G7841" s="407" t="s">
        <v>4190</v>
      </c>
      <c r="J7841" s="635">
        <f t="shared" si="257"/>
        <v>0</v>
      </c>
    </row>
    <row r="7842" spans="6:10" hidden="1">
      <c r="F7842" s="415">
        <v>435</v>
      </c>
      <c r="G7842" s="407" t="s">
        <v>3798</v>
      </c>
      <c r="J7842" s="635">
        <f t="shared" si="257"/>
        <v>0</v>
      </c>
    </row>
    <row r="7843" spans="6:10" hidden="1">
      <c r="F7843" s="415">
        <v>441</v>
      </c>
      <c r="G7843" s="407" t="s">
        <v>4191</v>
      </c>
      <c r="J7843" s="635">
        <f t="shared" si="257"/>
        <v>0</v>
      </c>
    </row>
    <row r="7844" spans="6:10" hidden="1">
      <c r="F7844" s="415">
        <v>442</v>
      </c>
      <c r="G7844" s="407" t="s">
        <v>4192</v>
      </c>
      <c r="J7844" s="635">
        <f t="shared" si="257"/>
        <v>0</v>
      </c>
    </row>
    <row r="7845" spans="6:10" hidden="1">
      <c r="F7845" s="415">
        <v>443</v>
      </c>
      <c r="G7845" s="407" t="s">
        <v>3803</v>
      </c>
      <c r="J7845" s="635">
        <f t="shared" si="257"/>
        <v>0</v>
      </c>
    </row>
    <row r="7846" spans="6:10" hidden="1">
      <c r="F7846" s="415">
        <v>444</v>
      </c>
      <c r="G7846" s="407" t="s">
        <v>3804</v>
      </c>
      <c r="J7846" s="635">
        <f t="shared" si="257"/>
        <v>0</v>
      </c>
    </row>
    <row r="7847" spans="6:10" ht="30" hidden="1">
      <c r="F7847" s="415">
        <v>4511</v>
      </c>
      <c r="G7847" s="268" t="s">
        <v>1690</v>
      </c>
      <c r="J7847" s="635">
        <f t="shared" si="257"/>
        <v>0</v>
      </c>
    </row>
    <row r="7848" spans="6:10" ht="19.5" hidden="1" customHeight="1">
      <c r="F7848" s="415">
        <v>4512</v>
      </c>
      <c r="G7848" s="268" t="s">
        <v>1699</v>
      </c>
      <c r="J7848" s="635">
        <f t="shared" si="257"/>
        <v>0</v>
      </c>
    </row>
    <row r="7849" spans="6:10" hidden="1">
      <c r="F7849" s="415">
        <v>452</v>
      </c>
      <c r="G7849" s="407" t="s">
        <v>4193</v>
      </c>
      <c r="J7849" s="635">
        <f t="shared" si="257"/>
        <v>0</v>
      </c>
    </row>
    <row r="7850" spans="6:10" hidden="1">
      <c r="F7850" s="415">
        <v>453</v>
      </c>
      <c r="G7850" s="407" t="s">
        <v>4194</v>
      </c>
      <c r="J7850" s="635">
        <f t="shared" si="257"/>
        <v>0</v>
      </c>
    </row>
    <row r="7851" spans="6:10" hidden="1">
      <c r="F7851" s="415">
        <v>454</v>
      </c>
      <c r="G7851" s="407" t="s">
        <v>3809</v>
      </c>
      <c r="J7851" s="635">
        <f t="shared" si="257"/>
        <v>0</v>
      </c>
    </row>
    <row r="7852" spans="6:10" hidden="1">
      <c r="F7852" s="415">
        <v>461</v>
      </c>
      <c r="G7852" s="407" t="s">
        <v>4175</v>
      </c>
      <c r="J7852" s="635">
        <f t="shared" si="257"/>
        <v>0</v>
      </c>
    </row>
    <row r="7853" spans="6:10" hidden="1">
      <c r="F7853" s="415">
        <v>462</v>
      </c>
      <c r="G7853" s="407" t="s">
        <v>3812</v>
      </c>
      <c r="J7853" s="635">
        <f t="shared" si="257"/>
        <v>0</v>
      </c>
    </row>
    <row r="7854" spans="6:10" hidden="1">
      <c r="F7854" s="415">
        <v>4631</v>
      </c>
      <c r="G7854" s="407" t="s">
        <v>3813</v>
      </c>
      <c r="J7854" s="635">
        <f t="shared" si="257"/>
        <v>0</v>
      </c>
    </row>
    <row r="7855" spans="6:10" hidden="1">
      <c r="F7855" s="415">
        <v>4632</v>
      </c>
      <c r="G7855" s="407" t="s">
        <v>3814</v>
      </c>
      <c r="J7855" s="635">
        <f t="shared" si="257"/>
        <v>0</v>
      </c>
    </row>
    <row r="7856" spans="6:10" hidden="1">
      <c r="F7856" s="415">
        <v>464</v>
      </c>
      <c r="G7856" s="407" t="s">
        <v>3815</v>
      </c>
      <c r="J7856" s="635">
        <f t="shared" si="257"/>
        <v>0</v>
      </c>
    </row>
    <row r="7857" spans="6:10" hidden="1">
      <c r="F7857" s="415">
        <v>465</v>
      </c>
      <c r="G7857" s="407" t="s">
        <v>4176</v>
      </c>
      <c r="J7857" s="635">
        <f t="shared" si="257"/>
        <v>0</v>
      </c>
    </row>
    <row r="7858" spans="6:10" hidden="1">
      <c r="F7858" s="415">
        <v>472</v>
      </c>
      <c r="G7858" s="407" t="s">
        <v>3819</v>
      </c>
      <c r="J7858" s="635">
        <f t="shared" si="257"/>
        <v>0</v>
      </c>
    </row>
    <row r="7859" spans="6:10" hidden="1">
      <c r="F7859" s="415">
        <v>481</v>
      </c>
      <c r="G7859" s="407" t="s">
        <v>4195</v>
      </c>
      <c r="J7859" s="635">
        <f t="shared" si="257"/>
        <v>0</v>
      </c>
    </row>
    <row r="7860" spans="6:10" hidden="1">
      <c r="F7860" s="415">
        <v>482</v>
      </c>
      <c r="G7860" s="407" t="s">
        <v>4196</v>
      </c>
      <c r="J7860" s="635">
        <f t="shared" si="257"/>
        <v>0</v>
      </c>
    </row>
    <row r="7861" spans="6:10" hidden="1">
      <c r="F7861" s="415">
        <v>483</v>
      </c>
      <c r="G7861" s="411" t="s">
        <v>4197</v>
      </c>
      <c r="J7861" s="635">
        <f t="shared" si="257"/>
        <v>0</v>
      </c>
    </row>
    <row r="7862" spans="6:10" ht="30" hidden="1">
      <c r="F7862" s="415">
        <v>484</v>
      </c>
      <c r="G7862" s="407" t="s">
        <v>4198</v>
      </c>
      <c r="J7862" s="635">
        <f t="shared" si="257"/>
        <v>0</v>
      </c>
    </row>
    <row r="7863" spans="6:10" ht="30" hidden="1">
      <c r="F7863" s="415">
        <v>485</v>
      </c>
      <c r="G7863" s="407" t="s">
        <v>4199</v>
      </c>
      <c r="J7863" s="635">
        <f t="shared" si="257"/>
        <v>0</v>
      </c>
    </row>
    <row r="7864" spans="6:10" ht="30" hidden="1">
      <c r="F7864" s="415">
        <v>489</v>
      </c>
      <c r="G7864" s="407" t="s">
        <v>3827</v>
      </c>
      <c r="J7864" s="635">
        <f t="shared" si="257"/>
        <v>0</v>
      </c>
    </row>
    <row r="7865" spans="6:10" hidden="1">
      <c r="F7865" s="415">
        <v>494</v>
      </c>
      <c r="G7865" s="407" t="s">
        <v>4177</v>
      </c>
      <c r="J7865" s="635">
        <f t="shared" si="257"/>
        <v>0</v>
      </c>
    </row>
    <row r="7866" spans="6:10" ht="30" hidden="1">
      <c r="F7866" s="415">
        <v>495</v>
      </c>
      <c r="G7866" s="407" t="s">
        <v>4178</v>
      </c>
      <c r="J7866" s="635">
        <f t="shared" si="257"/>
        <v>0</v>
      </c>
    </row>
    <row r="7867" spans="6:10" ht="30" hidden="1">
      <c r="F7867" s="415">
        <v>496</v>
      </c>
      <c r="G7867" s="407" t="s">
        <v>4179</v>
      </c>
      <c r="J7867" s="635">
        <f t="shared" si="257"/>
        <v>0</v>
      </c>
    </row>
    <row r="7868" spans="6:10" hidden="1">
      <c r="F7868" s="415">
        <v>499</v>
      </c>
      <c r="G7868" s="407" t="s">
        <v>4180</v>
      </c>
      <c r="J7868" s="635">
        <f t="shared" si="257"/>
        <v>0</v>
      </c>
    </row>
    <row r="7869" spans="6:10" hidden="1">
      <c r="F7869" s="415">
        <v>511</v>
      </c>
      <c r="G7869" s="411" t="s">
        <v>4200</v>
      </c>
      <c r="J7869" s="635">
        <f t="shared" si="257"/>
        <v>0</v>
      </c>
    </row>
    <row r="7870" spans="6:10" hidden="1">
      <c r="F7870" s="415">
        <v>512</v>
      </c>
      <c r="G7870" s="411" t="s">
        <v>4201</v>
      </c>
      <c r="J7870" s="635">
        <f t="shared" si="257"/>
        <v>0</v>
      </c>
    </row>
    <row r="7871" spans="6:10" hidden="1">
      <c r="F7871" s="415">
        <v>513</v>
      </c>
      <c r="G7871" s="411" t="s">
        <v>4202</v>
      </c>
      <c r="J7871" s="635">
        <f t="shared" si="257"/>
        <v>0</v>
      </c>
    </row>
    <row r="7872" spans="6:10" hidden="1">
      <c r="F7872" s="415">
        <v>514</v>
      </c>
      <c r="G7872" s="407" t="s">
        <v>4203</v>
      </c>
      <c r="J7872" s="635">
        <f t="shared" si="257"/>
        <v>0</v>
      </c>
    </row>
    <row r="7873" spans="5:10" hidden="1">
      <c r="F7873" s="415">
        <v>515</v>
      </c>
      <c r="G7873" s="407" t="s">
        <v>3838</v>
      </c>
      <c r="J7873" s="635">
        <f t="shared" si="257"/>
        <v>0</v>
      </c>
    </row>
    <row r="7874" spans="5:10" hidden="1">
      <c r="F7874" s="415">
        <v>521</v>
      </c>
      <c r="G7874" s="407" t="s">
        <v>4204</v>
      </c>
      <c r="J7874" s="635">
        <f t="shared" si="257"/>
        <v>0</v>
      </c>
    </row>
    <row r="7875" spans="5:10" hidden="1">
      <c r="F7875" s="415">
        <v>522</v>
      </c>
      <c r="G7875" s="407" t="s">
        <v>4205</v>
      </c>
      <c r="J7875" s="635">
        <f t="shared" si="257"/>
        <v>0</v>
      </c>
    </row>
    <row r="7876" spans="5:10" hidden="1">
      <c r="F7876" s="415">
        <v>523</v>
      </c>
      <c r="G7876" s="407" t="s">
        <v>3843</v>
      </c>
      <c r="J7876" s="635">
        <f t="shared" si="257"/>
        <v>0</v>
      </c>
    </row>
    <row r="7877" spans="5:10" hidden="1">
      <c r="F7877" s="415">
        <v>531</v>
      </c>
      <c r="G7877" s="405" t="s">
        <v>4181</v>
      </c>
      <c r="J7877" s="635">
        <f t="shared" si="257"/>
        <v>0</v>
      </c>
    </row>
    <row r="7878" spans="5:10" hidden="1">
      <c r="F7878" s="415">
        <v>541</v>
      </c>
      <c r="G7878" s="407" t="s">
        <v>4206</v>
      </c>
      <c r="J7878" s="635">
        <f t="shared" si="257"/>
        <v>0</v>
      </c>
    </row>
    <row r="7879" spans="5:10" hidden="1">
      <c r="F7879" s="415">
        <v>542</v>
      </c>
      <c r="G7879" s="407" t="s">
        <v>4207</v>
      </c>
      <c r="J7879" s="635">
        <f t="shared" si="257"/>
        <v>0</v>
      </c>
    </row>
    <row r="7880" spans="5:10" hidden="1">
      <c r="F7880" s="415">
        <v>543</v>
      </c>
      <c r="G7880" s="407" t="s">
        <v>3848</v>
      </c>
      <c r="J7880" s="635">
        <f t="shared" si="257"/>
        <v>0</v>
      </c>
    </row>
    <row r="7881" spans="5:10" ht="30" hidden="1">
      <c r="F7881" s="415">
        <v>551</v>
      </c>
      <c r="G7881" s="407" t="s">
        <v>4182</v>
      </c>
      <c r="J7881" s="635">
        <f t="shared" si="257"/>
        <v>0</v>
      </c>
    </row>
    <row r="7882" spans="5:10" hidden="1">
      <c r="F7882" s="416">
        <v>611</v>
      </c>
      <c r="G7882" s="414" t="s">
        <v>3854</v>
      </c>
      <c r="J7882" s="635">
        <f t="shared" si="257"/>
        <v>0</v>
      </c>
    </row>
    <row r="7883" spans="5:10" hidden="1">
      <c r="F7883" s="416">
        <v>620</v>
      </c>
      <c r="G7883" s="414" t="s">
        <v>88</v>
      </c>
      <c r="J7883" s="635">
        <f t="shared" si="257"/>
        <v>0</v>
      </c>
    </row>
    <row r="7884" spans="5:10" hidden="1">
      <c r="E7884" s="406"/>
      <c r="F7884" s="416"/>
      <c r="G7884" s="372" t="s">
        <v>4350</v>
      </c>
      <c r="H7884" s="636"/>
      <c r="I7884" s="662"/>
      <c r="J7884" s="637"/>
    </row>
    <row r="7885" spans="5:10" hidden="1">
      <c r="E7885" s="267"/>
      <c r="F7885" s="294" t="s">
        <v>234</v>
      </c>
      <c r="G7885" s="297" t="s">
        <v>235</v>
      </c>
      <c r="H7885" s="638">
        <f>SUM(H7824:H7883)</f>
        <v>0</v>
      </c>
      <c r="I7885" s="639"/>
      <c r="J7885" s="639">
        <f t="shared" ref="J7885:J7900" si="258">SUM(H7885:I7885)</f>
        <v>0</v>
      </c>
    </row>
    <row r="7886" spans="5:10" hidden="1">
      <c r="F7886" s="294" t="s">
        <v>236</v>
      </c>
      <c r="G7886" s="297" t="s">
        <v>237</v>
      </c>
      <c r="J7886" s="639">
        <f t="shared" si="258"/>
        <v>0</v>
      </c>
    </row>
    <row r="7887" spans="5:10" hidden="1">
      <c r="F7887" s="294" t="s">
        <v>238</v>
      </c>
      <c r="G7887" s="297" t="s">
        <v>239</v>
      </c>
      <c r="J7887" s="639">
        <f t="shared" si="258"/>
        <v>0</v>
      </c>
    </row>
    <row r="7888" spans="5:10" hidden="1">
      <c r="F7888" s="294" t="s">
        <v>240</v>
      </c>
      <c r="G7888" s="297" t="s">
        <v>241</v>
      </c>
      <c r="J7888" s="639">
        <f t="shared" si="258"/>
        <v>0</v>
      </c>
    </row>
    <row r="7889" spans="5:10" hidden="1">
      <c r="F7889" s="294" t="s">
        <v>242</v>
      </c>
      <c r="G7889" s="297" t="s">
        <v>243</v>
      </c>
      <c r="J7889" s="639">
        <f t="shared" si="258"/>
        <v>0</v>
      </c>
    </row>
    <row r="7890" spans="5:10" hidden="1">
      <c r="F7890" s="294" t="s">
        <v>244</v>
      </c>
      <c r="G7890" s="297" t="s">
        <v>245</v>
      </c>
      <c r="J7890" s="639">
        <f t="shared" si="258"/>
        <v>0</v>
      </c>
    </row>
    <row r="7891" spans="5:10" hidden="1">
      <c r="F7891" s="294" t="s">
        <v>246</v>
      </c>
      <c r="G7891" s="683" t="s">
        <v>5121</v>
      </c>
      <c r="J7891" s="639">
        <f t="shared" si="258"/>
        <v>0</v>
      </c>
    </row>
    <row r="7892" spans="5:10" hidden="1">
      <c r="F7892" s="294" t="s">
        <v>247</v>
      </c>
      <c r="G7892" s="683" t="s">
        <v>5120</v>
      </c>
      <c r="J7892" s="639">
        <f t="shared" si="258"/>
        <v>0</v>
      </c>
    </row>
    <row r="7893" spans="5:10" hidden="1">
      <c r="F7893" s="294" t="s">
        <v>248</v>
      </c>
      <c r="G7893" s="297" t="s">
        <v>57</v>
      </c>
      <c r="J7893" s="639">
        <f t="shared" si="258"/>
        <v>0</v>
      </c>
    </row>
    <row r="7894" spans="5:10" hidden="1">
      <c r="F7894" s="294" t="s">
        <v>249</v>
      </c>
      <c r="G7894" s="297" t="s">
        <v>250</v>
      </c>
      <c r="J7894" s="639">
        <f t="shared" si="258"/>
        <v>0</v>
      </c>
    </row>
    <row r="7895" spans="5:10" hidden="1">
      <c r="F7895" s="294" t="s">
        <v>251</v>
      </c>
      <c r="G7895" s="297" t="s">
        <v>252</v>
      </c>
      <c r="J7895" s="639">
        <f t="shared" si="258"/>
        <v>0</v>
      </c>
    </row>
    <row r="7896" spans="5:10" hidden="1">
      <c r="F7896" s="294" t="s">
        <v>253</v>
      </c>
      <c r="G7896" s="297" t="s">
        <v>254</v>
      </c>
      <c r="J7896" s="639">
        <f t="shared" si="258"/>
        <v>0</v>
      </c>
    </row>
    <row r="7897" spans="5:10" hidden="1">
      <c r="F7897" s="294" t="s">
        <v>255</v>
      </c>
      <c r="G7897" s="297" t="s">
        <v>256</v>
      </c>
      <c r="J7897" s="639">
        <f t="shared" si="258"/>
        <v>0</v>
      </c>
    </row>
    <row r="7898" spans="5:10" hidden="1">
      <c r="F7898" s="294" t="s">
        <v>257</v>
      </c>
      <c r="G7898" s="297" t="s">
        <v>258</v>
      </c>
      <c r="J7898" s="639">
        <f t="shared" si="258"/>
        <v>0</v>
      </c>
    </row>
    <row r="7899" spans="5:10" hidden="1">
      <c r="F7899" s="294" t="s">
        <v>259</v>
      </c>
      <c r="G7899" s="297" t="s">
        <v>260</v>
      </c>
      <c r="J7899" s="639">
        <f t="shared" si="258"/>
        <v>0</v>
      </c>
    </row>
    <row r="7900" spans="5:10" hidden="1">
      <c r="F7900" s="294" t="s">
        <v>261</v>
      </c>
      <c r="G7900" s="297" t="s">
        <v>262</v>
      </c>
      <c r="H7900" s="638"/>
      <c r="I7900" s="639"/>
      <c r="J7900" s="639">
        <f t="shared" si="258"/>
        <v>0</v>
      </c>
    </row>
    <row r="7901" spans="5:10" ht="15.75" hidden="1" thickBot="1">
      <c r="G7901" s="274" t="s">
        <v>4351</v>
      </c>
      <c r="H7901" s="640">
        <f>SUM(H7885:H7900)</f>
        <v>0</v>
      </c>
      <c r="I7901" s="641">
        <f>SUM(I7886:I7900)</f>
        <v>0</v>
      </c>
      <c r="J7901" s="641">
        <f>SUM(J7885:J7900)</f>
        <v>0</v>
      </c>
    </row>
    <row r="7902" spans="5:10" hidden="1" collapsed="1">
      <c r="E7902" s="406"/>
      <c r="F7902" s="416"/>
      <c r="G7902" s="276" t="s">
        <v>4400</v>
      </c>
      <c r="H7902" s="642"/>
      <c r="I7902" s="663"/>
      <c r="J7902" s="643"/>
    </row>
    <row r="7903" spans="5:10" hidden="1">
      <c r="E7903" s="267"/>
      <c r="F7903" s="294" t="s">
        <v>234</v>
      </c>
      <c r="G7903" s="297" t="s">
        <v>235</v>
      </c>
      <c r="H7903" s="638">
        <f>SUM(H7824:H7883)</f>
        <v>0</v>
      </c>
      <c r="I7903" s="639"/>
      <c r="J7903" s="639">
        <f>SUM(H7903:I7903)</f>
        <v>0</v>
      </c>
    </row>
    <row r="7904" spans="5:10" hidden="1">
      <c r="F7904" s="294" t="s">
        <v>236</v>
      </c>
      <c r="G7904" s="297" t="s">
        <v>237</v>
      </c>
      <c r="J7904" s="639">
        <f t="shared" ref="J7904:J7918" si="259">SUM(H7904:I7904)</f>
        <v>0</v>
      </c>
    </row>
    <row r="7905" spans="6:10" hidden="1">
      <c r="F7905" s="294" t="s">
        <v>238</v>
      </c>
      <c r="G7905" s="297" t="s">
        <v>239</v>
      </c>
      <c r="J7905" s="639">
        <f t="shared" si="259"/>
        <v>0</v>
      </c>
    </row>
    <row r="7906" spans="6:10" hidden="1">
      <c r="F7906" s="294" t="s">
        <v>240</v>
      </c>
      <c r="G7906" s="297" t="s">
        <v>241</v>
      </c>
      <c r="J7906" s="639">
        <f t="shared" si="259"/>
        <v>0</v>
      </c>
    </row>
    <row r="7907" spans="6:10" hidden="1">
      <c r="F7907" s="294" t="s">
        <v>242</v>
      </c>
      <c r="G7907" s="297" t="s">
        <v>243</v>
      </c>
      <c r="J7907" s="639">
        <f t="shared" si="259"/>
        <v>0</v>
      </c>
    </row>
    <row r="7908" spans="6:10" hidden="1">
      <c r="F7908" s="294" t="s">
        <v>244</v>
      </c>
      <c r="G7908" s="297" t="s">
        <v>245</v>
      </c>
      <c r="J7908" s="639">
        <f t="shared" si="259"/>
        <v>0</v>
      </c>
    </row>
    <row r="7909" spans="6:10" hidden="1">
      <c r="F7909" s="294" t="s">
        <v>246</v>
      </c>
      <c r="G7909" s="683" t="s">
        <v>5121</v>
      </c>
      <c r="J7909" s="639">
        <f t="shared" si="259"/>
        <v>0</v>
      </c>
    </row>
    <row r="7910" spans="6:10" hidden="1">
      <c r="F7910" s="294" t="s">
        <v>247</v>
      </c>
      <c r="G7910" s="683" t="s">
        <v>5120</v>
      </c>
      <c r="J7910" s="639">
        <f t="shared" si="259"/>
        <v>0</v>
      </c>
    </row>
    <row r="7911" spans="6:10" hidden="1">
      <c r="F7911" s="294" t="s">
        <v>248</v>
      </c>
      <c r="G7911" s="297" t="s">
        <v>57</v>
      </c>
      <c r="J7911" s="639">
        <f t="shared" si="259"/>
        <v>0</v>
      </c>
    </row>
    <row r="7912" spans="6:10" hidden="1">
      <c r="F7912" s="294" t="s">
        <v>249</v>
      </c>
      <c r="G7912" s="297" t="s">
        <v>250</v>
      </c>
      <c r="J7912" s="639">
        <f t="shared" si="259"/>
        <v>0</v>
      </c>
    </row>
    <row r="7913" spans="6:10" hidden="1">
      <c r="F7913" s="294" t="s">
        <v>251</v>
      </c>
      <c r="G7913" s="297" t="s">
        <v>252</v>
      </c>
      <c r="J7913" s="639">
        <f t="shared" si="259"/>
        <v>0</v>
      </c>
    </row>
    <row r="7914" spans="6:10" hidden="1">
      <c r="F7914" s="294" t="s">
        <v>253</v>
      </c>
      <c r="G7914" s="297" t="s">
        <v>254</v>
      </c>
      <c r="J7914" s="639">
        <f t="shared" si="259"/>
        <v>0</v>
      </c>
    </row>
    <row r="7915" spans="6:10" hidden="1">
      <c r="F7915" s="294" t="s">
        <v>255</v>
      </c>
      <c r="G7915" s="297" t="s">
        <v>256</v>
      </c>
      <c r="J7915" s="639">
        <f t="shared" si="259"/>
        <v>0</v>
      </c>
    </row>
    <row r="7916" spans="6:10" hidden="1">
      <c r="F7916" s="294" t="s">
        <v>257</v>
      </c>
      <c r="G7916" s="297" t="s">
        <v>258</v>
      </c>
      <c r="J7916" s="639">
        <f t="shared" si="259"/>
        <v>0</v>
      </c>
    </row>
    <row r="7917" spans="6:10" hidden="1">
      <c r="F7917" s="294" t="s">
        <v>259</v>
      </c>
      <c r="G7917" s="297" t="s">
        <v>260</v>
      </c>
      <c r="J7917" s="639">
        <f t="shared" si="259"/>
        <v>0</v>
      </c>
    </row>
    <row r="7918" spans="6:10" hidden="1">
      <c r="F7918" s="294" t="s">
        <v>261</v>
      </c>
      <c r="G7918" s="297" t="s">
        <v>262</v>
      </c>
      <c r="H7918" s="638"/>
      <c r="I7918" s="639"/>
      <c r="J7918" s="639">
        <f t="shared" si="259"/>
        <v>0</v>
      </c>
    </row>
    <row r="7919" spans="6:10" ht="15.75" hidden="1" collapsed="1" thickBot="1">
      <c r="G7919" s="274" t="s">
        <v>4401</v>
      </c>
      <c r="H7919" s="640">
        <f>SUM(H7903:H7918)</f>
        <v>0</v>
      </c>
      <c r="I7919" s="641">
        <f>SUM(I7904:I7918)</f>
        <v>0</v>
      </c>
      <c r="J7919" s="641">
        <f>SUM(J7903:J7918)</f>
        <v>0</v>
      </c>
    </row>
    <row r="7920" spans="6:10" hidden="1">
      <c r="G7920" s="331"/>
      <c r="H7920" s="644"/>
      <c r="I7920" s="645"/>
      <c r="J7920" s="645"/>
    </row>
    <row r="7921" spans="5:10" hidden="1">
      <c r="E7921" s="559"/>
      <c r="F7921" s="570"/>
      <c r="G7921" s="295" t="s">
        <v>4233</v>
      </c>
      <c r="H7921" s="646"/>
      <c r="I7921" s="664"/>
      <c r="J7921" s="647"/>
    </row>
    <row r="7922" spans="5:10" ht="15.75" hidden="1" thickBot="1">
      <c r="E7922" s="267"/>
      <c r="F7922" s="294" t="s">
        <v>234</v>
      </c>
      <c r="G7922" s="297" t="s">
        <v>235</v>
      </c>
      <c r="H7922" s="638">
        <f>SUM(H7903,H7804)</f>
        <v>0</v>
      </c>
      <c r="I7922" s="639"/>
      <c r="J7922" s="639">
        <f>SUM(H7922:I7922)</f>
        <v>0</v>
      </c>
    </row>
    <row r="7923" spans="5:10" ht="15.75" hidden="1" thickBot="1">
      <c r="F7923" s="294" t="s">
        <v>236</v>
      </c>
      <c r="G7923" s="297" t="s">
        <v>237</v>
      </c>
      <c r="J7923" s="639">
        <f t="shared" ref="J7923:J7937" si="260">SUM(H7923:I7923)</f>
        <v>0</v>
      </c>
    </row>
    <row r="7924" spans="5:10" ht="15.75" hidden="1" thickBot="1">
      <c r="F7924" s="294" t="s">
        <v>238</v>
      </c>
      <c r="G7924" s="297" t="s">
        <v>239</v>
      </c>
      <c r="J7924" s="639">
        <f t="shared" si="260"/>
        <v>0</v>
      </c>
    </row>
    <row r="7925" spans="5:10" ht="15.75" hidden="1" thickBot="1">
      <c r="F7925" s="294" t="s">
        <v>240</v>
      </c>
      <c r="G7925" s="297" t="s">
        <v>241</v>
      </c>
      <c r="J7925" s="639">
        <f t="shared" si="260"/>
        <v>0</v>
      </c>
    </row>
    <row r="7926" spans="5:10" ht="15.75" hidden="1" thickBot="1">
      <c r="F7926" s="294" t="s">
        <v>242</v>
      </c>
      <c r="G7926" s="297" t="s">
        <v>243</v>
      </c>
      <c r="J7926" s="639">
        <f t="shared" si="260"/>
        <v>0</v>
      </c>
    </row>
    <row r="7927" spans="5:10" ht="15.75" hidden="1" thickBot="1">
      <c r="F7927" s="294" t="s">
        <v>244</v>
      </c>
      <c r="G7927" s="297" t="s">
        <v>245</v>
      </c>
      <c r="J7927" s="639">
        <f t="shared" si="260"/>
        <v>0</v>
      </c>
    </row>
    <row r="7928" spans="5:10" ht="15.75" hidden="1" thickBot="1">
      <c r="F7928" s="294" t="s">
        <v>246</v>
      </c>
      <c r="G7928" s="683" t="s">
        <v>5121</v>
      </c>
      <c r="J7928" s="639">
        <f t="shared" si="260"/>
        <v>0</v>
      </c>
    </row>
    <row r="7929" spans="5:10" ht="15.75" hidden="1" thickBot="1">
      <c r="F7929" s="294" t="s">
        <v>247</v>
      </c>
      <c r="G7929" s="683" t="s">
        <v>5120</v>
      </c>
      <c r="J7929" s="639">
        <f t="shared" si="260"/>
        <v>0</v>
      </c>
    </row>
    <row r="7930" spans="5:10" ht="15.75" hidden="1" thickBot="1">
      <c r="F7930" s="294" t="s">
        <v>248</v>
      </c>
      <c r="G7930" s="297" t="s">
        <v>57</v>
      </c>
      <c r="J7930" s="639">
        <f t="shared" si="260"/>
        <v>0</v>
      </c>
    </row>
    <row r="7931" spans="5:10" ht="15.75" hidden="1" thickBot="1">
      <c r="F7931" s="294" t="s">
        <v>249</v>
      </c>
      <c r="G7931" s="297" t="s">
        <v>250</v>
      </c>
      <c r="J7931" s="639">
        <f t="shared" si="260"/>
        <v>0</v>
      </c>
    </row>
    <row r="7932" spans="5:10" ht="15.75" hidden="1" thickBot="1">
      <c r="F7932" s="294" t="s">
        <v>251</v>
      </c>
      <c r="G7932" s="297" t="s">
        <v>252</v>
      </c>
      <c r="J7932" s="639">
        <f t="shared" si="260"/>
        <v>0</v>
      </c>
    </row>
    <row r="7933" spans="5:10" ht="15.75" hidden="1" thickBot="1">
      <c r="F7933" s="294" t="s">
        <v>253</v>
      </c>
      <c r="G7933" s="297" t="s">
        <v>254</v>
      </c>
      <c r="J7933" s="639">
        <f t="shared" si="260"/>
        <v>0</v>
      </c>
    </row>
    <row r="7934" spans="5:10" ht="15.75" hidden="1" thickBot="1">
      <c r="F7934" s="294" t="s">
        <v>255</v>
      </c>
      <c r="G7934" s="297" t="s">
        <v>256</v>
      </c>
      <c r="J7934" s="639">
        <f t="shared" si="260"/>
        <v>0</v>
      </c>
    </row>
    <row r="7935" spans="5:10" ht="15.75" hidden="1" thickBot="1">
      <c r="F7935" s="294" t="s">
        <v>257</v>
      </c>
      <c r="G7935" s="297" t="s">
        <v>258</v>
      </c>
      <c r="J7935" s="639">
        <f t="shared" si="260"/>
        <v>0</v>
      </c>
    </row>
    <row r="7936" spans="5:10" ht="15.75" hidden="1" thickBot="1">
      <c r="F7936" s="294" t="s">
        <v>259</v>
      </c>
      <c r="G7936" s="297" t="s">
        <v>260</v>
      </c>
      <c r="J7936" s="639">
        <f t="shared" si="260"/>
        <v>0</v>
      </c>
    </row>
    <row r="7937" spans="1:25" ht="15.75" hidden="1" thickBot="1">
      <c r="F7937" s="294" t="s">
        <v>261</v>
      </c>
      <c r="G7937" s="297" t="s">
        <v>262</v>
      </c>
      <c r="H7937" s="638"/>
      <c r="I7937" s="639"/>
      <c r="J7937" s="639">
        <f t="shared" si="260"/>
        <v>0</v>
      </c>
    </row>
    <row r="7938" spans="1:25" ht="15.75" hidden="1" thickBot="1">
      <c r="G7938" s="274" t="s">
        <v>4234</v>
      </c>
      <c r="H7938" s="640">
        <f>SUM(H7922:H7937)</f>
        <v>0</v>
      </c>
      <c r="I7938" s="641">
        <f>SUM(I7923:I7937)</f>
        <v>0</v>
      </c>
      <c r="J7938" s="641">
        <f>SUM(J7922:J7937)</f>
        <v>0</v>
      </c>
    </row>
    <row r="7939" spans="1:25" hidden="1">
      <c r="G7939" s="331"/>
      <c r="H7939" s="644"/>
      <c r="I7939" s="645"/>
      <c r="J7939" s="645"/>
    </row>
    <row r="7940" spans="1:25" hidden="1"/>
    <row r="7941" spans="1:25" hidden="1">
      <c r="A7941" s="84"/>
      <c r="B7941" s="84"/>
      <c r="C7941" s="84"/>
      <c r="D7941" s="84"/>
      <c r="E7941" s="84"/>
      <c r="F7941" s="84"/>
      <c r="G7941" s="84"/>
      <c r="H7941" s="84"/>
      <c r="I7941" s="84"/>
      <c r="J7941" s="84"/>
    </row>
    <row r="7942" spans="1:25" s="88" customFormat="1" hidden="1">
      <c r="K7942" s="575"/>
      <c r="L7942" s="575"/>
      <c r="M7942" s="575"/>
      <c r="N7942" s="575"/>
      <c r="O7942" s="575"/>
      <c r="P7942" s="575"/>
      <c r="Q7942" s="575"/>
      <c r="R7942" s="575"/>
      <c r="S7942" s="575"/>
      <c r="T7942" s="575"/>
      <c r="U7942" s="575"/>
      <c r="V7942" s="575"/>
      <c r="W7942" s="575"/>
      <c r="X7942" s="575"/>
      <c r="Y7942" s="575"/>
    </row>
    <row r="7943" spans="1:25" hidden="1">
      <c r="A7943" s="84"/>
      <c r="B7943" s="84"/>
      <c r="C7943" s="84"/>
      <c r="D7943" s="84"/>
      <c r="E7943" s="84"/>
      <c r="F7943" s="84"/>
      <c r="G7943" s="84"/>
      <c r="H7943" s="84"/>
      <c r="I7943" s="84"/>
      <c r="J7943" s="84"/>
    </row>
    <row r="7944" spans="1:25" hidden="1">
      <c r="A7944" s="84"/>
      <c r="B7944" s="84"/>
      <c r="C7944" s="84"/>
      <c r="D7944" s="84"/>
      <c r="E7944" s="84"/>
      <c r="F7944" s="84"/>
      <c r="G7944" s="84"/>
      <c r="H7944" s="84"/>
      <c r="I7944" s="84"/>
      <c r="J7944" s="84"/>
    </row>
    <row r="7945" spans="1:25" hidden="1">
      <c r="A7945" s="84"/>
      <c r="B7945" s="84"/>
      <c r="C7945" s="84"/>
      <c r="D7945" s="84"/>
      <c r="E7945" s="84"/>
      <c r="F7945" s="84"/>
      <c r="G7945" s="84"/>
      <c r="H7945" s="84"/>
      <c r="I7945" s="84"/>
      <c r="J7945" s="84"/>
    </row>
    <row r="7946" spans="1:25" hidden="1">
      <c r="A7946" s="84"/>
      <c r="B7946" s="84"/>
      <c r="C7946" s="84"/>
      <c r="D7946" s="84"/>
      <c r="E7946" s="84"/>
      <c r="F7946" s="84"/>
      <c r="G7946" s="84"/>
      <c r="H7946" s="84"/>
      <c r="I7946" s="84"/>
      <c r="J7946" s="84"/>
    </row>
    <row r="7947" spans="1:25" hidden="1">
      <c r="A7947" s="84"/>
      <c r="B7947" s="84"/>
      <c r="C7947" s="84"/>
      <c r="D7947" s="84"/>
      <c r="E7947" s="84"/>
      <c r="F7947" s="84"/>
      <c r="G7947" s="84"/>
      <c r="H7947" s="84"/>
      <c r="I7947" s="84"/>
      <c r="J7947" s="84"/>
    </row>
    <row r="7948" spans="1:25" hidden="1">
      <c r="A7948" s="84"/>
      <c r="B7948" s="84"/>
      <c r="C7948" s="84"/>
      <c r="D7948" s="84"/>
      <c r="E7948" s="84"/>
      <c r="F7948" s="84"/>
      <c r="G7948" s="84"/>
      <c r="H7948" s="84"/>
      <c r="I7948" s="84"/>
      <c r="J7948" s="84"/>
    </row>
    <row r="7949" spans="1:25" hidden="1">
      <c r="A7949" s="84"/>
      <c r="B7949" s="84"/>
      <c r="C7949" s="84"/>
      <c r="D7949" s="84"/>
      <c r="E7949" s="84"/>
      <c r="F7949" s="84"/>
      <c r="G7949" s="84"/>
      <c r="H7949" s="84"/>
      <c r="I7949" s="84"/>
      <c r="J7949" s="84"/>
    </row>
    <row r="7950" spans="1:25" hidden="1">
      <c r="A7950" s="84"/>
      <c r="B7950" s="84"/>
      <c r="C7950" s="84"/>
      <c r="D7950" s="84"/>
      <c r="E7950" s="84"/>
      <c r="F7950" s="84"/>
      <c r="G7950" s="84"/>
      <c r="H7950" s="84"/>
      <c r="I7950" s="84"/>
      <c r="J7950" s="84"/>
    </row>
    <row r="7951" spans="1:25" hidden="1">
      <c r="A7951" s="84"/>
      <c r="B7951" s="84"/>
      <c r="C7951" s="84"/>
      <c r="D7951" s="84"/>
      <c r="E7951" s="84"/>
      <c r="F7951" s="84"/>
      <c r="G7951" s="84"/>
      <c r="H7951" s="84"/>
      <c r="I7951" s="84"/>
      <c r="J7951" s="84"/>
    </row>
    <row r="7952" spans="1:25" hidden="1">
      <c r="A7952" s="84"/>
      <c r="B7952" s="84"/>
      <c r="C7952" s="84"/>
      <c r="D7952" s="84"/>
      <c r="E7952" s="84"/>
      <c r="F7952" s="84"/>
      <c r="G7952" s="84"/>
      <c r="H7952" s="84"/>
      <c r="I7952" s="84"/>
      <c r="J7952" s="84"/>
    </row>
    <row r="7953" spans="1:10" hidden="1">
      <c r="A7953" s="84"/>
      <c r="B7953" s="84"/>
      <c r="C7953" s="84"/>
      <c r="D7953" s="84"/>
      <c r="E7953" s="84"/>
      <c r="F7953" s="84"/>
      <c r="G7953" s="84"/>
      <c r="H7953" s="84"/>
      <c r="I7953" s="84"/>
      <c r="J7953" s="84"/>
    </row>
    <row r="7954" spans="1:10" hidden="1">
      <c r="A7954" s="84"/>
      <c r="B7954" s="84"/>
      <c r="C7954" s="84"/>
      <c r="D7954" s="84"/>
      <c r="E7954" s="84"/>
      <c r="F7954" s="84"/>
      <c r="G7954" s="84"/>
      <c r="H7954" s="84"/>
      <c r="I7954" s="84"/>
      <c r="J7954" s="84"/>
    </row>
    <row r="7955" spans="1:10" hidden="1">
      <c r="A7955" s="84"/>
      <c r="B7955" s="84"/>
      <c r="C7955" s="84"/>
      <c r="D7955" s="84"/>
      <c r="E7955" s="84"/>
      <c r="F7955" s="84"/>
      <c r="G7955" s="84"/>
      <c r="H7955" s="84"/>
      <c r="I7955" s="84"/>
      <c r="J7955" s="84"/>
    </row>
    <row r="7956" spans="1:10" hidden="1">
      <c r="A7956" s="84"/>
      <c r="B7956" s="84"/>
      <c r="C7956" s="84"/>
      <c r="D7956" s="84"/>
      <c r="E7956" s="84"/>
      <c r="F7956" s="84"/>
      <c r="G7956" s="84"/>
      <c r="H7956" s="84"/>
      <c r="I7956" s="84"/>
      <c r="J7956" s="84"/>
    </row>
    <row r="7957" spans="1:10" hidden="1">
      <c r="A7957" s="84"/>
      <c r="B7957" s="84"/>
      <c r="C7957" s="84"/>
      <c r="D7957" s="84"/>
      <c r="E7957" s="84"/>
      <c r="F7957" s="84"/>
      <c r="G7957" s="84"/>
      <c r="H7957" s="84"/>
      <c r="I7957" s="84"/>
      <c r="J7957" s="84"/>
    </row>
    <row r="7958" spans="1:10" hidden="1">
      <c r="A7958" s="84"/>
      <c r="B7958" s="84"/>
      <c r="C7958" s="84"/>
      <c r="D7958" s="84"/>
      <c r="E7958" s="84"/>
      <c r="F7958" s="84"/>
      <c r="G7958" s="84"/>
      <c r="H7958" s="84"/>
      <c r="I7958" s="84"/>
      <c r="J7958" s="84"/>
    </row>
    <row r="7959" spans="1:10" hidden="1">
      <c r="A7959" s="84"/>
      <c r="B7959" s="84"/>
      <c r="C7959" s="84"/>
      <c r="D7959" s="84"/>
      <c r="E7959" s="84"/>
      <c r="F7959" s="84"/>
      <c r="G7959" s="84"/>
      <c r="H7959" s="84"/>
      <c r="I7959" s="84"/>
      <c r="J7959" s="84"/>
    </row>
    <row r="7960" spans="1:10" hidden="1">
      <c r="A7960" s="84"/>
      <c r="B7960" s="84"/>
      <c r="C7960" s="84"/>
      <c r="D7960" s="84"/>
      <c r="E7960" s="84"/>
      <c r="F7960" s="84"/>
      <c r="G7960" s="84"/>
      <c r="H7960" s="84"/>
      <c r="I7960" s="84"/>
      <c r="J7960" s="84"/>
    </row>
    <row r="7961" spans="1:10" hidden="1">
      <c r="A7961" s="84"/>
      <c r="B7961" s="84"/>
      <c r="C7961" s="84"/>
      <c r="D7961" s="84"/>
      <c r="E7961" s="84"/>
      <c r="F7961" s="84"/>
      <c r="G7961" s="84"/>
      <c r="H7961" s="84"/>
      <c r="I7961" s="84"/>
      <c r="J7961" s="84"/>
    </row>
    <row r="7962" spans="1:10" hidden="1">
      <c r="A7962" s="84"/>
      <c r="B7962" s="84"/>
      <c r="C7962" s="84"/>
      <c r="D7962" s="84"/>
      <c r="E7962" s="84"/>
      <c r="F7962" s="84"/>
      <c r="G7962" s="84"/>
      <c r="H7962" s="84"/>
      <c r="I7962" s="84"/>
      <c r="J7962" s="84"/>
    </row>
    <row r="7963" spans="1:10" hidden="1">
      <c r="A7963" s="84"/>
      <c r="B7963" s="84"/>
      <c r="C7963" s="84"/>
      <c r="D7963" s="84"/>
      <c r="E7963" s="84"/>
      <c r="F7963" s="84"/>
      <c r="G7963" s="84"/>
      <c r="H7963" s="84"/>
      <c r="I7963" s="84"/>
      <c r="J7963" s="84"/>
    </row>
    <row r="7964" spans="1:10" hidden="1">
      <c r="A7964" s="84"/>
      <c r="B7964" s="84"/>
      <c r="C7964" s="84"/>
      <c r="D7964" s="84"/>
      <c r="E7964" s="84"/>
      <c r="F7964" s="84"/>
      <c r="G7964" s="84"/>
      <c r="H7964" s="84"/>
      <c r="I7964" s="84"/>
      <c r="J7964" s="84"/>
    </row>
    <row r="7965" spans="1:10" hidden="1">
      <c r="A7965" s="84"/>
      <c r="B7965" s="84"/>
      <c r="C7965" s="84"/>
      <c r="D7965" s="84"/>
      <c r="E7965" s="84"/>
      <c r="F7965" s="84"/>
      <c r="G7965" s="84"/>
      <c r="H7965" s="84"/>
      <c r="I7965" s="84"/>
      <c r="J7965" s="84"/>
    </row>
    <row r="7966" spans="1:10" hidden="1">
      <c r="A7966" s="84"/>
      <c r="B7966" s="84"/>
      <c r="C7966" s="84"/>
      <c r="D7966" s="84"/>
      <c r="E7966" s="84"/>
      <c r="F7966" s="84"/>
      <c r="G7966" s="84"/>
      <c r="H7966" s="84"/>
      <c r="I7966" s="84"/>
      <c r="J7966" s="84"/>
    </row>
    <row r="7967" spans="1:10" hidden="1">
      <c r="A7967" s="84"/>
      <c r="B7967" s="84"/>
      <c r="C7967" s="84"/>
      <c r="D7967" s="84"/>
      <c r="E7967" s="84"/>
      <c r="F7967" s="84"/>
      <c r="G7967" s="84"/>
      <c r="H7967" s="84"/>
      <c r="I7967" s="84"/>
      <c r="J7967" s="84"/>
    </row>
    <row r="7968" spans="1:10" ht="19.5" hidden="1" customHeight="1">
      <c r="A7968" s="84"/>
      <c r="B7968" s="84"/>
      <c r="C7968" s="84"/>
      <c r="D7968" s="84"/>
      <c r="E7968" s="84"/>
      <c r="F7968" s="84"/>
      <c r="G7968" s="84"/>
      <c r="H7968" s="84"/>
      <c r="I7968" s="84"/>
      <c r="J7968" s="84"/>
    </row>
    <row r="7969" spans="1:10" hidden="1">
      <c r="A7969" s="84"/>
      <c r="B7969" s="84"/>
      <c r="C7969" s="84"/>
      <c r="D7969" s="84"/>
      <c r="E7969" s="84"/>
      <c r="F7969" s="84"/>
      <c r="G7969" s="84"/>
      <c r="H7969" s="84"/>
      <c r="I7969" s="84"/>
      <c r="J7969" s="84"/>
    </row>
    <row r="7970" spans="1:10" hidden="1">
      <c r="A7970" s="84"/>
      <c r="B7970" s="84"/>
      <c r="C7970" s="84"/>
      <c r="D7970" s="84"/>
      <c r="E7970" s="84"/>
      <c r="F7970" s="84"/>
      <c r="G7970" s="84"/>
      <c r="H7970" s="84"/>
      <c r="I7970" s="84"/>
      <c r="J7970" s="84"/>
    </row>
    <row r="7971" spans="1:10" hidden="1">
      <c r="A7971" s="84"/>
      <c r="B7971" s="84"/>
      <c r="C7971" s="84"/>
      <c r="D7971" s="84"/>
      <c r="E7971" s="84"/>
      <c r="F7971" s="84"/>
      <c r="G7971" s="84"/>
      <c r="H7971" s="84"/>
      <c r="I7971" s="84"/>
      <c r="J7971" s="84"/>
    </row>
    <row r="7972" spans="1:10" hidden="1">
      <c r="A7972" s="84"/>
      <c r="B7972" s="84"/>
      <c r="C7972" s="84"/>
      <c r="D7972" s="84"/>
      <c r="E7972" s="84"/>
      <c r="F7972" s="84"/>
      <c r="G7972" s="84"/>
      <c r="H7972" s="84"/>
      <c r="I7972" s="84"/>
      <c r="J7972" s="84"/>
    </row>
    <row r="7973" spans="1:10" hidden="1">
      <c r="A7973" s="84"/>
      <c r="B7973" s="84"/>
      <c r="C7973" s="84"/>
      <c r="D7973" s="84"/>
      <c r="E7973" s="84"/>
      <c r="F7973" s="84"/>
      <c r="G7973" s="84"/>
      <c r="H7973" s="84"/>
      <c r="I7973" s="84"/>
      <c r="J7973" s="84"/>
    </row>
    <row r="7974" spans="1:10" hidden="1">
      <c r="A7974" s="84"/>
      <c r="B7974" s="84"/>
      <c r="C7974" s="84"/>
      <c r="D7974" s="84"/>
      <c r="E7974" s="84"/>
      <c r="F7974" s="84"/>
      <c r="G7974" s="84"/>
      <c r="H7974" s="84"/>
      <c r="I7974" s="84"/>
      <c r="J7974" s="84"/>
    </row>
    <row r="7975" spans="1:10" hidden="1">
      <c r="A7975" s="84"/>
      <c r="B7975" s="84"/>
      <c r="C7975" s="84"/>
      <c r="D7975" s="84"/>
      <c r="E7975" s="84"/>
      <c r="F7975" s="84"/>
      <c r="G7975" s="84"/>
      <c r="H7975" s="84"/>
      <c r="I7975" s="84"/>
      <c r="J7975" s="84"/>
    </row>
    <row r="7976" spans="1:10" hidden="1">
      <c r="A7976" s="84"/>
      <c r="B7976" s="84"/>
      <c r="C7976" s="84"/>
      <c r="D7976" s="84"/>
      <c r="E7976" s="84"/>
      <c r="F7976" s="84"/>
      <c r="G7976" s="84"/>
      <c r="H7976" s="84"/>
      <c r="I7976" s="84"/>
      <c r="J7976" s="84"/>
    </row>
    <row r="7977" spans="1:10" hidden="1">
      <c r="A7977" s="84"/>
      <c r="B7977" s="84"/>
      <c r="C7977" s="84"/>
      <c r="D7977" s="84"/>
      <c r="E7977" s="84"/>
      <c r="F7977" s="84"/>
      <c r="G7977" s="84"/>
      <c r="H7977" s="84"/>
      <c r="I7977" s="84"/>
      <c r="J7977" s="84"/>
    </row>
    <row r="7978" spans="1:10" hidden="1">
      <c r="A7978" s="84"/>
      <c r="B7978" s="84"/>
      <c r="C7978" s="84"/>
      <c r="D7978" s="84"/>
      <c r="E7978" s="84"/>
      <c r="F7978" s="84"/>
      <c r="G7978" s="84"/>
      <c r="H7978" s="84"/>
      <c r="I7978" s="84"/>
      <c r="J7978" s="84"/>
    </row>
    <row r="7979" spans="1:10" hidden="1">
      <c r="A7979" s="84"/>
      <c r="B7979" s="84"/>
      <c r="C7979" s="84"/>
      <c r="D7979" s="84"/>
      <c r="E7979" s="84"/>
      <c r="F7979" s="84"/>
      <c r="G7979" s="84"/>
      <c r="H7979" s="84"/>
      <c r="I7979" s="84"/>
      <c r="J7979" s="84"/>
    </row>
    <row r="7980" spans="1:10" hidden="1">
      <c r="A7980" s="84"/>
      <c r="B7980" s="84"/>
      <c r="C7980" s="84"/>
      <c r="D7980" s="84"/>
      <c r="E7980" s="84"/>
      <c r="F7980" s="84"/>
      <c r="G7980" s="84"/>
      <c r="H7980" s="84"/>
      <c r="I7980" s="84"/>
      <c r="J7980" s="84"/>
    </row>
    <row r="7981" spans="1:10" hidden="1">
      <c r="A7981" s="84"/>
      <c r="B7981" s="84"/>
      <c r="C7981" s="84"/>
      <c r="D7981" s="84"/>
      <c r="E7981" s="84"/>
      <c r="F7981" s="84"/>
      <c r="G7981" s="84"/>
      <c r="H7981" s="84"/>
      <c r="I7981" s="84"/>
      <c r="J7981" s="84"/>
    </row>
    <row r="7982" spans="1:10" hidden="1">
      <c r="A7982" s="84"/>
      <c r="B7982" s="84"/>
      <c r="C7982" s="84"/>
      <c r="D7982" s="84"/>
      <c r="E7982" s="84"/>
      <c r="F7982" s="84"/>
      <c r="G7982" s="84"/>
      <c r="H7982" s="84"/>
      <c r="I7982" s="84"/>
      <c r="J7982" s="84"/>
    </row>
    <row r="7983" spans="1:10" hidden="1">
      <c r="A7983" s="84"/>
      <c r="B7983" s="84"/>
      <c r="C7983" s="84"/>
      <c r="D7983" s="84"/>
      <c r="E7983" s="84"/>
      <c r="F7983" s="84"/>
      <c r="G7983" s="84"/>
      <c r="H7983" s="84"/>
      <c r="I7983" s="84"/>
      <c r="J7983" s="84"/>
    </row>
    <row r="7984" spans="1:10" hidden="1">
      <c r="A7984" s="84"/>
      <c r="B7984" s="84"/>
      <c r="C7984" s="84"/>
      <c r="D7984" s="84"/>
      <c r="E7984" s="84"/>
      <c r="F7984" s="84"/>
      <c r="G7984" s="84"/>
      <c r="H7984" s="84"/>
      <c r="I7984" s="84"/>
      <c r="J7984" s="84"/>
    </row>
    <row r="7985" spans="1:10" hidden="1">
      <c r="A7985" s="84"/>
      <c r="B7985" s="84"/>
      <c r="C7985" s="84"/>
      <c r="D7985" s="84"/>
      <c r="E7985" s="84"/>
      <c r="F7985" s="84"/>
      <c r="G7985" s="84"/>
      <c r="H7985" s="84"/>
      <c r="I7985" s="84"/>
      <c r="J7985" s="84"/>
    </row>
    <row r="7986" spans="1:10" hidden="1">
      <c r="A7986" s="84"/>
      <c r="B7986" s="84"/>
      <c r="C7986" s="84"/>
      <c r="D7986" s="84"/>
      <c r="E7986" s="84"/>
      <c r="F7986" s="84"/>
      <c r="G7986" s="84"/>
      <c r="H7986" s="84"/>
      <c r="I7986" s="84"/>
      <c r="J7986" s="84"/>
    </row>
    <row r="7987" spans="1:10" hidden="1">
      <c r="A7987" s="84"/>
      <c r="B7987" s="84"/>
      <c r="C7987" s="84"/>
      <c r="D7987" s="84"/>
      <c r="E7987" s="84"/>
      <c r="F7987" s="84"/>
      <c r="G7987" s="84"/>
      <c r="H7987" s="84"/>
      <c r="I7987" s="84"/>
      <c r="J7987" s="84"/>
    </row>
    <row r="7988" spans="1:10" hidden="1">
      <c r="A7988" s="84"/>
      <c r="B7988" s="84"/>
      <c r="C7988" s="84"/>
      <c r="D7988" s="84"/>
      <c r="E7988" s="84"/>
      <c r="F7988" s="84"/>
      <c r="G7988" s="84"/>
      <c r="H7988" s="84"/>
      <c r="I7988" s="84"/>
      <c r="J7988" s="84"/>
    </row>
    <row r="7989" spans="1:10" hidden="1">
      <c r="A7989" s="84"/>
      <c r="B7989" s="84"/>
      <c r="C7989" s="84"/>
      <c r="D7989" s="84"/>
      <c r="E7989" s="84"/>
      <c r="F7989" s="84"/>
      <c r="G7989" s="84"/>
      <c r="H7989" s="84"/>
      <c r="I7989" s="84"/>
      <c r="J7989" s="84"/>
    </row>
    <row r="7990" spans="1:10" hidden="1">
      <c r="A7990" s="84"/>
      <c r="B7990" s="84"/>
      <c r="C7990" s="84"/>
      <c r="D7990" s="84"/>
      <c r="E7990" s="84"/>
      <c r="F7990" s="84"/>
      <c r="G7990" s="84"/>
      <c r="H7990" s="84"/>
      <c r="I7990" s="84"/>
      <c r="J7990" s="84"/>
    </row>
    <row r="7991" spans="1:10" hidden="1">
      <c r="A7991" s="84"/>
      <c r="B7991" s="84"/>
      <c r="C7991" s="84"/>
      <c r="D7991" s="84"/>
      <c r="E7991" s="84"/>
      <c r="F7991" s="84"/>
      <c r="G7991" s="84"/>
      <c r="H7991" s="84"/>
      <c r="I7991" s="84"/>
      <c r="J7991" s="84"/>
    </row>
    <row r="7992" spans="1:10" hidden="1">
      <c r="A7992" s="84"/>
      <c r="B7992" s="84"/>
      <c r="C7992" s="84"/>
      <c r="D7992" s="84"/>
      <c r="E7992" s="84"/>
      <c r="F7992" s="84"/>
      <c r="G7992" s="84"/>
      <c r="H7992" s="84"/>
      <c r="I7992" s="84"/>
      <c r="J7992" s="84"/>
    </row>
    <row r="7993" spans="1:10" hidden="1">
      <c r="A7993" s="84"/>
      <c r="B7993" s="84"/>
      <c r="C7993" s="84"/>
      <c r="D7993" s="84"/>
      <c r="E7993" s="84"/>
      <c r="F7993" s="84"/>
      <c r="G7993" s="84"/>
      <c r="H7993" s="84"/>
      <c r="I7993" s="84"/>
      <c r="J7993" s="84"/>
    </row>
    <row r="7994" spans="1:10" hidden="1">
      <c r="A7994" s="84"/>
      <c r="B7994" s="84"/>
      <c r="C7994" s="84"/>
      <c r="D7994" s="84"/>
      <c r="E7994" s="84"/>
      <c r="F7994" s="84"/>
      <c r="G7994" s="84"/>
      <c r="H7994" s="84"/>
      <c r="I7994" s="84"/>
      <c r="J7994" s="84"/>
    </row>
    <row r="7995" spans="1:10" hidden="1">
      <c r="A7995" s="84"/>
      <c r="B7995" s="84"/>
      <c r="C7995" s="84"/>
      <c r="D7995" s="84"/>
      <c r="E7995" s="84"/>
      <c r="F7995" s="84"/>
      <c r="G7995" s="84"/>
      <c r="H7995" s="84"/>
      <c r="I7995" s="84"/>
      <c r="J7995" s="84"/>
    </row>
    <row r="7996" spans="1:10" hidden="1">
      <c r="A7996" s="84"/>
      <c r="B7996" s="84"/>
      <c r="C7996" s="84"/>
      <c r="D7996" s="84"/>
      <c r="E7996" s="84"/>
      <c r="F7996" s="84"/>
      <c r="G7996" s="84"/>
      <c r="H7996" s="84"/>
      <c r="I7996" s="84"/>
      <c r="J7996" s="84"/>
    </row>
    <row r="7997" spans="1:10" hidden="1">
      <c r="A7997" s="84"/>
      <c r="B7997" s="84"/>
      <c r="C7997" s="84"/>
      <c r="D7997" s="84"/>
      <c r="E7997" s="84"/>
      <c r="F7997" s="84"/>
      <c r="G7997" s="84"/>
      <c r="H7997" s="84"/>
      <c r="I7997" s="84"/>
      <c r="J7997" s="84"/>
    </row>
    <row r="7998" spans="1:10" hidden="1">
      <c r="A7998" s="84"/>
      <c r="B7998" s="84"/>
      <c r="C7998" s="84"/>
      <c r="D7998" s="84"/>
      <c r="E7998" s="84"/>
      <c r="F7998" s="84"/>
      <c r="G7998" s="84"/>
      <c r="H7998" s="84"/>
      <c r="I7998" s="84"/>
      <c r="J7998" s="84"/>
    </row>
    <row r="7999" spans="1:10" hidden="1">
      <c r="A7999" s="84"/>
      <c r="B7999" s="84"/>
      <c r="C7999" s="84"/>
      <c r="D7999" s="84"/>
      <c r="E7999" s="84"/>
      <c r="F7999" s="84"/>
      <c r="G7999" s="84"/>
      <c r="H7999" s="84"/>
      <c r="I7999" s="84"/>
      <c r="J7999" s="84"/>
    </row>
    <row r="8000" spans="1:10" hidden="1">
      <c r="A8000" s="84"/>
      <c r="B8000" s="84"/>
      <c r="C8000" s="84"/>
      <c r="D8000" s="84"/>
      <c r="E8000" s="84"/>
      <c r="F8000" s="84"/>
      <c r="G8000" s="84"/>
      <c r="H8000" s="84"/>
      <c r="I8000" s="84"/>
      <c r="J8000" s="84"/>
    </row>
    <row r="8001" spans="1:10" hidden="1">
      <c r="A8001" s="84"/>
      <c r="B8001" s="84"/>
      <c r="C8001" s="84"/>
      <c r="D8001" s="84"/>
      <c r="E8001" s="84"/>
      <c r="F8001" s="84"/>
      <c r="G8001" s="84"/>
      <c r="H8001" s="84"/>
      <c r="I8001" s="84"/>
      <c r="J8001" s="84"/>
    </row>
    <row r="8002" spans="1:10" hidden="1">
      <c r="A8002" s="84"/>
      <c r="B8002" s="84"/>
      <c r="C8002" s="84"/>
      <c r="D8002" s="84"/>
      <c r="E8002" s="84"/>
      <c r="F8002" s="84"/>
      <c r="G8002" s="84"/>
      <c r="H8002" s="84"/>
      <c r="I8002" s="84"/>
      <c r="J8002" s="84"/>
    </row>
    <row r="8003" spans="1:10" hidden="1">
      <c r="A8003" s="84"/>
      <c r="B8003" s="84"/>
      <c r="C8003" s="84"/>
      <c r="D8003" s="84"/>
      <c r="E8003" s="84"/>
      <c r="F8003" s="84"/>
      <c r="G8003" s="84"/>
      <c r="H8003" s="84"/>
      <c r="I8003" s="84"/>
      <c r="J8003" s="84"/>
    </row>
    <row r="8004" spans="1:10" hidden="1">
      <c r="A8004" s="84"/>
      <c r="B8004" s="84"/>
      <c r="C8004" s="84"/>
      <c r="D8004" s="84"/>
      <c r="E8004" s="84"/>
      <c r="F8004" s="84"/>
      <c r="G8004" s="84"/>
      <c r="H8004" s="84"/>
      <c r="I8004" s="84"/>
      <c r="J8004" s="84"/>
    </row>
    <row r="8005" spans="1:10" hidden="1">
      <c r="A8005" s="84"/>
      <c r="B8005" s="84"/>
      <c r="C8005" s="84"/>
      <c r="D8005" s="84"/>
      <c r="E8005" s="84"/>
      <c r="F8005" s="84"/>
      <c r="G8005" s="84"/>
      <c r="H8005" s="84"/>
      <c r="I8005" s="84"/>
      <c r="J8005" s="84"/>
    </row>
    <row r="8006" spans="1:10" hidden="1">
      <c r="A8006" s="84"/>
      <c r="B8006" s="84"/>
      <c r="C8006" s="84"/>
      <c r="D8006" s="84"/>
      <c r="E8006" s="84"/>
      <c r="F8006" s="84"/>
      <c r="G8006" s="84"/>
      <c r="H8006" s="84"/>
      <c r="I8006" s="84"/>
      <c r="J8006" s="84"/>
    </row>
    <row r="8007" spans="1:10" hidden="1">
      <c r="A8007" s="84"/>
      <c r="B8007" s="84"/>
      <c r="C8007" s="84"/>
      <c r="D8007" s="84"/>
      <c r="E8007" s="84"/>
      <c r="F8007" s="84"/>
      <c r="G8007" s="84"/>
      <c r="H8007" s="84"/>
      <c r="I8007" s="84"/>
      <c r="J8007" s="84"/>
    </row>
    <row r="8008" spans="1:10" hidden="1">
      <c r="A8008" s="84"/>
      <c r="B8008" s="84"/>
      <c r="C8008" s="84"/>
      <c r="D8008" s="84"/>
      <c r="E8008" s="84"/>
      <c r="F8008" s="84"/>
      <c r="G8008" s="84"/>
      <c r="H8008" s="84"/>
      <c r="I8008" s="84"/>
      <c r="J8008" s="84"/>
    </row>
    <row r="8009" spans="1:10" hidden="1">
      <c r="A8009" s="84"/>
      <c r="B8009" s="84"/>
      <c r="C8009" s="84"/>
      <c r="D8009" s="84"/>
      <c r="E8009" s="84"/>
      <c r="F8009" s="84"/>
      <c r="G8009" s="84"/>
      <c r="H8009" s="84"/>
      <c r="I8009" s="84"/>
      <c r="J8009" s="84"/>
    </row>
    <row r="8010" spans="1:10" hidden="1">
      <c r="A8010" s="84"/>
      <c r="B8010" s="84"/>
      <c r="C8010" s="84"/>
      <c r="D8010" s="84"/>
      <c r="E8010" s="84"/>
      <c r="F8010" s="84"/>
      <c r="G8010" s="84"/>
      <c r="H8010" s="84"/>
      <c r="I8010" s="84"/>
      <c r="J8010" s="84"/>
    </row>
    <row r="8011" spans="1:10" hidden="1">
      <c r="A8011" s="84"/>
      <c r="B8011" s="84"/>
      <c r="C8011" s="84"/>
      <c r="D8011" s="84"/>
      <c r="E8011" s="84"/>
      <c r="F8011" s="84"/>
      <c r="G8011" s="84"/>
      <c r="H8011" s="84"/>
      <c r="I8011" s="84"/>
      <c r="J8011" s="84"/>
    </row>
    <row r="8012" spans="1:10" hidden="1">
      <c r="A8012" s="84"/>
      <c r="B8012" s="84"/>
      <c r="C8012" s="84"/>
      <c r="D8012" s="84"/>
      <c r="E8012" s="84"/>
      <c r="F8012" s="84"/>
      <c r="G8012" s="84"/>
      <c r="H8012" s="84"/>
      <c r="I8012" s="84"/>
      <c r="J8012" s="84"/>
    </row>
    <row r="8013" spans="1:10" hidden="1">
      <c r="A8013" s="84"/>
      <c r="B8013" s="84"/>
      <c r="C8013" s="84"/>
      <c r="D8013" s="84"/>
      <c r="E8013" s="84"/>
      <c r="F8013" s="84"/>
      <c r="G8013" s="84"/>
      <c r="H8013" s="84"/>
      <c r="I8013" s="84"/>
      <c r="J8013" s="84"/>
    </row>
    <row r="8014" spans="1:10" hidden="1">
      <c r="A8014" s="84"/>
      <c r="B8014" s="84"/>
      <c r="C8014" s="84"/>
      <c r="D8014" s="84"/>
      <c r="E8014" s="84"/>
      <c r="F8014" s="84"/>
      <c r="G8014" s="84"/>
      <c r="H8014" s="84"/>
      <c r="I8014" s="84"/>
      <c r="J8014" s="84"/>
    </row>
    <row r="8015" spans="1:10" hidden="1">
      <c r="A8015" s="84"/>
      <c r="B8015" s="84"/>
      <c r="C8015" s="84"/>
      <c r="D8015" s="84"/>
      <c r="E8015" s="84"/>
      <c r="F8015" s="84"/>
      <c r="G8015" s="84"/>
      <c r="H8015" s="84"/>
      <c r="I8015" s="84"/>
      <c r="J8015" s="84"/>
    </row>
    <row r="8016" spans="1:10" hidden="1">
      <c r="A8016" s="84"/>
      <c r="B8016" s="84"/>
      <c r="C8016" s="84"/>
      <c r="D8016" s="84"/>
      <c r="E8016" s="84"/>
      <c r="F8016" s="84"/>
      <c r="G8016" s="84"/>
      <c r="H8016" s="84"/>
      <c r="I8016" s="84"/>
      <c r="J8016" s="84"/>
    </row>
    <row r="8017" spans="1:10" hidden="1">
      <c r="A8017" s="84"/>
      <c r="B8017" s="84"/>
      <c r="C8017" s="84"/>
      <c r="D8017" s="84"/>
      <c r="E8017" s="84"/>
      <c r="F8017" s="84"/>
      <c r="G8017" s="84"/>
      <c r="H8017" s="84"/>
      <c r="I8017" s="84"/>
      <c r="J8017" s="84"/>
    </row>
    <row r="8018" spans="1:10" hidden="1">
      <c r="A8018" s="84"/>
      <c r="B8018" s="84"/>
      <c r="C8018" s="84"/>
      <c r="D8018" s="84"/>
      <c r="E8018" s="84"/>
      <c r="F8018" s="84"/>
      <c r="G8018" s="84"/>
      <c r="H8018" s="84"/>
      <c r="I8018" s="84"/>
      <c r="J8018" s="84"/>
    </row>
    <row r="8019" spans="1:10" hidden="1">
      <c r="A8019" s="84"/>
      <c r="B8019" s="84"/>
      <c r="C8019" s="84"/>
      <c r="D8019" s="84"/>
      <c r="E8019" s="84"/>
      <c r="F8019" s="84"/>
      <c r="G8019" s="84"/>
      <c r="H8019" s="84"/>
      <c r="I8019" s="84"/>
      <c r="J8019" s="84"/>
    </row>
    <row r="8020" spans="1:10" hidden="1">
      <c r="A8020" s="84"/>
      <c r="B8020" s="84"/>
      <c r="C8020" s="84"/>
      <c r="D8020" s="84"/>
      <c r="E8020" s="84"/>
      <c r="F8020" s="84"/>
      <c r="G8020" s="84"/>
      <c r="H8020" s="84"/>
      <c r="I8020" s="84"/>
      <c r="J8020" s="84"/>
    </row>
    <row r="8021" spans="1:10" hidden="1">
      <c r="A8021" s="84"/>
      <c r="B8021" s="84"/>
      <c r="C8021" s="84"/>
      <c r="D8021" s="84"/>
      <c r="E8021" s="84"/>
      <c r="F8021" s="84"/>
      <c r="G8021" s="84"/>
      <c r="H8021" s="84"/>
      <c r="I8021" s="84"/>
      <c r="J8021" s="84"/>
    </row>
    <row r="8022" spans="1:10" hidden="1" collapsed="1">
      <c r="A8022" s="84"/>
      <c r="B8022" s="84"/>
      <c r="C8022" s="84"/>
      <c r="D8022" s="84"/>
      <c r="E8022" s="84"/>
      <c r="F8022" s="84"/>
      <c r="G8022" s="84"/>
      <c r="H8022" s="84"/>
      <c r="I8022" s="84"/>
      <c r="J8022" s="84"/>
    </row>
    <row r="8023" spans="1:10" hidden="1">
      <c r="A8023" s="84"/>
      <c r="B8023" s="84"/>
      <c r="C8023" s="84"/>
      <c r="D8023" s="84"/>
      <c r="E8023" s="84"/>
      <c r="F8023" s="84"/>
      <c r="G8023" s="84"/>
      <c r="H8023" s="84"/>
      <c r="I8023" s="84"/>
      <c r="J8023" s="84"/>
    </row>
    <row r="8024" spans="1:10" hidden="1">
      <c r="A8024" s="84"/>
      <c r="B8024" s="84"/>
      <c r="C8024" s="84"/>
      <c r="D8024" s="84"/>
      <c r="E8024" s="84"/>
      <c r="F8024" s="84"/>
      <c r="G8024" s="84"/>
      <c r="H8024" s="84"/>
      <c r="I8024" s="84"/>
      <c r="J8024" s="84"/>
    </row>
    <row r="8025" spans="1:10" hidden="1">
      <c r="A8025" s="84"/>
      <c r="B8025" s="84"/>
      <c r="C8025" s="84"/>
      <c r="D8025" s="84"/>
      <c r="E8025" s="84"/>
      <c r="F8025" s="84"/>
      <c r="G8025" s="84"/>
      <c r="H8025" s="84"/>
      <c r="I8025" s="84"/>
      <c r="J8025" s="84"/>
    </row>
    <row r="8026" spans="1:10" hidden="1">
      <c r="A8026" s="84"/>
      <c r="B8026" s="84"/>
      <c r="C8026" s="84"/>
      <c r="D8026" s="84"/>
      <c r="E8026" s="84"/>
      <c r="F8026" s="84"/>
      <c r="G8026" s="84"/>
      <c r="H8026" s="84"/>
      <c r="I8026" s="84"/>
      <c r="J8026" s="84"/>
    </row>
    <row r="8027" spans="1:10" hidden="1">
      <c r="A8027" s="84"/>
      <c r="B8027" s="84"/>
      <c r="C8027" s="84"/>
      <c r="D8027" s="84"/>
      <c r="E8027" s="84"/>
      <c r="F8027" s="84"/>
      <c r="G8027" s="84"/>
      <c r="H8027" s="84"/>
      <c r="I8027" s="84"/>
      <c r="J8027" s="84"/>
    </row>
    <row r="8028" spans="1:10" hidden="1">
      <c r="A8028" s="84"/>
      <c r="B8028" s="84"/>
      <c r="C8028" s="84"/>
      <c r="D8028" s="84"/>
      <c r="E8028" s="84"/>
      <c r="F8028" s="84"/>
      <c r="G8028" s="84"/>
      <c r="H8028" s="84"/>
      <c r="I8028" s="84"/>
      <c r="J8028" s="84"/>
    </row>
    <row r="8029" spans="1:10" hidden="1">
      <c r="A8029" s="84"/>
      <c r="B8029" s="84"/>
      <c r="C8029" s="84"/>
      <c r="D8029" s="84"/>
      <c r="E8029" s="84"/>
      <c r="F8029" s="84"/>
      <c r="G8029" s="84"/>
      <c r="H8029" s="84"/>
      <c r="I8029" s="84"/>
      <c r="J8029" s="84"/>
    </row>
    <row r="8030" spans="1:10" hidden="1">
      <c r="A8030" s="84"/>
      <c r="B8030" s="84"/>
      <c r="C8030" s="84"/>
      <c r="D8030" s="84"/>
      <c r="E8030" s="84"/>
      <c r="F8030" s="84"/>
      <c r="G8030" s="84"/>
      <c r="H8030" s="84"/>
      <c r="I8030" s="84"/>
      <c r="J8030" s="84"/>
    </row>
    <row r="8031" spans="1:10" hidden="1">
      <c r="A8031" s="84"/>
      <c r="B8031" s="84"/>
      <c r="C8031" s="84"/>
      <c r="D8031" s="84"/>
      <c r="E8031" s="84"/>
      <c r="F8031" s="84"/>
      <c r="G8031" s="84"/>
      <c r="H8031" s="84"/>
      <c r="I8031" s="84"/>
      <c r="J8031" s="84"/>
    </row>
    <row r="8032" spans="1:10" hidden="1">
      <c r="A8032" s="84"/>
      <c r="B8032" s="84"/>
      <c r="C8032" s="84"/>
      <c r="D8032" s="84"/>
      <c r="E8032" s="84"/>
      <c r="F8032" s="84"/>
      <c r="G8032" s="84"/>
      <c r="H8032" s="84"/>
      <c r="I8032" s="84"/>
      <c r="J8032" s="84"/>
    </row>
    <row r="8033" spans="1:25" hidden="1">
      <c r="A8033" s="84"/>
      <c r="B8033" s="84"/>
      <c r="C8033" s="84"/>
      <c r="D8033" s="84"/>
      <c r="E8033" s="84"/>
      <c r="F8033" s="84"/>
      <c r="G8033" s="84"/>
      <c r="H8033" s="84"/>
      <c r="I8033" s="84"/>
      <c r="J8033" s="84"/>
    </row>
    <row r="8034" spans="1:25" hidden="1">
      <c r="A8034" s="84"/>
      <c r="B8034" s="84"/>
      <c r="C8034" s="84"/>
      <c r="D8034" s="84"/>
      <c r="E8034" s="84"/>
      <c r="F8034" s="84"/>
      <c r="G8034" s="84"/>
      <c r="H8034" s="84"/>
      <c r="I8034" s="84"/>
      <c r="J8034" s="84"/>
    </row>
    <row r="8035" spans="1:25" hidden="1">
      <c r="A8035" s="84"/>
      <c r="B8035" s="84"/>
      <c r="C8035" s="84"/>
      <c r="D8035" s="84"/>
      <c r="E8035" s="84"/>
      <c r="F8035" s="84"/>
      <c r="G8035" s="84"/>
      <c r="H8035" s="84"/>
      <c r="I8035" s="84"/>
      <c r="J8035" s="84"/>
    </row>
    <row r="8036" spans="1:25" hidden="1">
      <c r="A8036" s="84"/>
      <c r="B8036" s="84"/>
      <c r="C8036" s="84"/>
      <c r="D8036" s="84"/>
      <c r="E8036" s="84"/>
      <c r="F8036" s="84"/>
      <c r="G8036" s="84"/>
      <c r="H8036" s="84"/>
      <c r="I8036" s="84"/>
      <c r="J8036" s="84"/>
    </row>
    <row r="8037" spans="1:25" hidden="1">
      <c r="A8037" s="84"/>
      <c r="B8037" s="84"/>
      <c r="C8037" s="84"/>
      <c r="D8037" s="84"/>
      <c r="E8037" s="84"/>
      <c r="F8037" s="84"/>
      <c r="G8037" s="84"/>
      <c r="H8037" s="84"/>
      <c r="I8037" s="84"/>
      <c r="J8037" s="84"/>
    </row>
    <row r="8038" spans="1:25" hidden="1">
      <c r="A8038" s="84"/>
      <c r="B8038" s="84"/>
      <c r="C8038" s="84"/>
      <c r="D8038" s="84"/>
      <c r="E8038" s="84"/>
      <c r="F8038" s="84"/>
      <c r="G8038" s="84"/>
      <c r="H8038" s="84"/>
      <c r="I8038" s="84"/>
      <c r="J8038" s="84"/>
    </row>
    <row r="8039" spans="1:25" hidden="1" collapsed="1">
      <c r="A8039" s="84"/>
      <c r="B8039" s="84"/>
      <c r="C8039" s="84"/>
      <c r="D8039" s="84"/>
      <c r="E8039" s="84"/>
      <c r="F8039" s="84"/>
      <c r="G8039" s="84"/>
      <c r="H8039" s="84"/>
      <c r="I8039" s="84"/>
      <c r="J8039" s="84"/>
    </row>
    <row r="8040" spans="1:25" hidden="1"/>
    <row r="8041" spans="1:25" s="88" customFormat="1" hidden="1">
      <c r="K8041" s="575"/>
      <c r="L8041" s="575"/>
      <c r="M8041" s="575"/>
      <c r="N8041" s="575"/>
      <c r="O8041" s="575"/>
      <c r="P8041" s="575"/>
      <c r="Q8041" s="575"/>
      <c r="R8041" s="575"/>
      <c r="S8041" s="575"/>
      <c r="T8041" s="575"/>
      <c r="U8041" s="575"/>
      <c r="V8041" s="575"/>
      <c r="W8041" s="575"/>
      <c r="X8041" s="575"/>
      <c r="Y8041" s="575"/>
    </row>
    <row r="8042" spans="1:25" hidden="1">
      <c r="A8042" s="84"/>
      <c r="B8042" s="84"/>
      <c r="C8042" s="84"/>
      <c r="D8042" s="84"/>
      <c r="E8042" s="84"/>
      <c r="F8042" s="84"/>
      <c r="G8042" s="84"/>
      <c r="H8042" s="84"/>
      <c r="I8042" s="84"/>
      <c r="J8042" s="84"/>
    </row>
    <row r="8043" spans="1:25" hidden="1">
      <c r="A8043" s="84"/>
      <c r="B8043" s="84"/>
      <c r="C8043" s="84"/>
      <c r="D8043" s="84"/>
      <c r="E8043" s="84"/>
      <c r="F8043" s="84"/>
      <c r="G8043" s="84"/>
      <c r="H8043" s="84"/>
      <c r="I8043" s="84"/>
      <c r="J8043" s="84"/>
    </row>
    <row r="8044" spans="1:25" hidden="1">
      <c r="A8044" s="84"/>
      <c r="B8044" s="84"/>
      <c r="C8044" s="84"/>
      <c r="D8044" s="84"/>
      <c r="E8044" s="84"/>
      <c r="F8044" s="84"/>
      <c r="G8044" s="84"/>
      <c r="H8044" s="84"/>
      <c r="I8044" s="84"/>
      <c r="J8044" s="84"/>
    </row>
    <row r="8045" spans="1:25" hidden="1">
      <c r="A8045" s="84"/>
      <c r="B8045" s="84"/>
      <c r="C8045" s="84"/>
      <c r="D8045" s="84"/>
      <c r="E8045" s="84"/>
      <c r="F8045" s="84"/>
      <c r="G8045" s="84"/>
      <c r="H8045" s="84"/>
      <c r="I8045" s="84"/>
      <c r="J8045" s="84"/>
    </row>
    <row r="8046" spans="1:25" hidden="1">
      <c r="A8046" s="84"/>
      <c r="B8046" s="84"/>
      <c r="C8046" s="84"/>
      <c r="D8046" s="84"/>
      <c r="E8046" s="84"/>
      <c r="F8046" s="84"/>
      <c r="G8046" s="84"/>
      <c r="H8046" s="84"/>
      <c r="I8046" s="84"/>
      <c r="J8046" s="84"/>
    </row>
    <row r="8047" spans="1:25" hidden="1">
      <c r="A8047" s="84"/>
      <c r="B8047" s="84"/>
      <c r="C8047" s="84"/>
      <c r="D8047" s="84"/>
      <c r="E8047" s="84"/>
      <c r="F8047" s="84"/>
      <c r="G8047" s="84"/>
      <c r="H8047" s="84"/>
      <c r="I8047" s="84"/>
      <c r="J8047" s="84"/>
    </row>
    <row r="8048" spans="1:25" hidden="1">
      <c r="A8048" s="84"/>
      <c r="B8048" s="84"/>
      <c r="C8048" s="84"/>
      <c r="D8048" s="84"/>
      <c r="E8048" s="84"/>
      <c r="F8048" s="84"/>
      <c r="G8048" s="84"/>
      <c r="H8048" s="84"/>
      <c r="I8048" s="84"/>
      <c r="J8048" s="84"/>
    </row>
    <row r="8049" spans="1:10" hidden="1">
      <c r="A8049" s="84"/>
      <c r="B8049" s="84"/>
      <c r="C8049" s="84"/>
      <c r="D8049" s="84"/>
      <c r="E8049" s="84"/>
      <c r="F8049" s="84"/>
      <c r="G8049" s="84"/>
      <c r="H8049" s="84"/>
      <c r="I8049" s="84"/>
      <c r="J8049" s="84"/>
    </row>
    <row r="8050" spans="1:10" hidden="1">
      <c r="A8050" s="84"/>
      <c r="B8050" s="84"/>
      <c r="C8050" s="84"/>
      <c r="D8050" s="84"/>
      <c r="E8050" s="84"/>
      <c r="F8050" s="84"/>
      <c r="G8050" s="84"/>
      <c r="H8050" s="84"/>
      <c r="I8050" s="84"/>
      <c r="J8050" s="84"/>
    </row>
    <row r="8051" spans="1:10" hidden="1">
      <c r="A8051" s="84"/>
      <c r="B8051" s="84"/>
      <c r="C8051" s="84"/>
      <c r="D8051" s="84"/>
      <c r="E8051" s="84"/>
      <c r="F8051" s="84"/>
      <c r="G8051" s="84"/>
      <c r="H8051" s="84"/>
      <c r="I8051" s="84"/>
      <c r="J8051" s="84"/>
    </row>
    <row r="8052" spans="1:10" hidden="1">
      <c r="A8052" s="84"/>
      <c r="B8052" s="84"/>
      <c r="C8052" s="84"/>
      <c r="D8052" s="84"/>
      <c r="E8052" s="84"/>
      <c r="F8052" s="84"/>
      <c r="G8052" s="84"/>
      <c r="H8052" s="84"/>
      <c r="I8052" s="84"/>
      <c r="J8052" s="84"/>
    </row>
    <row r="8053" spans="1:10" hidden="1">
      <c r="A8053" s="84"/>
      <c r="B8053" s="84"/>
      <c r="C8053" s="84"/>
      <c r="D8053" s="84"/>
      <c r="E8053" s="84"/>
      <c r="F8053" s="84"/>
      <c r="G8053" s="84"/>
      <c r="H8053" s="84"/>
      <c r="I8053" s="84"/>
      <c r="J8053" s="84"/>
    </row>
    <row r="8054" spans="1:10" hidden="1">
      <c r="A8054" s="84"/>
      <c r="B8054" s="84"/>
      <c r="C8054" s="84"/>
      <c r="D8054" s="84"/>
      <c r="E8054" s="84"/>
      <c r="F8054" s="84"/>
      <c r="G8054" s="84"/>
      <c r="H8054" s="84"/>
      <c r="I8054" s="84"/>
      <c r="J8054" s="84"/>
    </row>
    <row r="8055" spans="1:10" hidden="1">
      <c r="A8055" s="84"/>
      <c r="B8055" s="84"/>
      <c r="C8055" s="84"/>
      <c r="D8055" s="84"/>
      <c r="E8055" s="84"/>
      <c r="F8055" s="84"/>
      <c r="G8055" s="84"/>
      <c r="H8055" s="84"/>
      <c r="I8055" s="84"/>
      <c r="J8055" s="84"/>
    </row>
    <row r="8056" spans="1:10" hidden="1">
      <c r="A8056" s="84"/>
      <c r="B8056" s="84"/>
      <c r="C8056" s="84"/>
      <c r="D8056" s="84"/>
      <c r="E8056" s="84"/>
      <c r="F8056" s="84"/>
      <c r="G8056" s="84"/>
      <c r="H8056" s="84"/>
      <c r="I8056" s="84"/>
      <c r="J8056" s="84"/>
    </row>
    <row r="8057" spans="1:10" hidden="1">
      <c r="A8057" s="84"/>
      <c r="B8057" s="84"/>
      <c r="C8057" s="84"/>
      <c r="D8057" s="84"/>
      <c r="E8057" s="84"/>
      <c r="F8057" s="84"/>
      <c r="G8057" s="84"/>
      <c r="H8057" s="84"/>
      <c r="I8057" s="84"/>
      <c r="J8057" s="84"/>
    </row>
    <row r="8058" spans="1:10" hidden="1">
      <c r="A8058" s="84"/>
      <c r="B8058" s="84"/>
      <c r="C8058" s="84"/>
      <c r="D8058" s="84"/>
      <c r="E8058" s="84"/>
      <c r="F8058" s="84"/>
      <c r="G8058" s="84"/>
      <c r="H8058" s="84"/>
      <c r="I8058" s="84"/>
      <c r="J8058" s="84"/>
    </row>
    <row r="8059" spans="1:10" hidden="1">
      <c r="A8059" s="84"/>
      <c r="B8059" s="84"/>
      <c r="C8059" s="84"/>
      <c r="D8059" s="84"/>
      <c r="E8059" s="84"/>
      <c r="F8059" s="84"/>
      <c r="G8059" s="84"/>
      <c r="H8059" s="84"/>
      <c r="I8059" s="84"/>
      <c r="J8059" s="84"/>
    </row>
    <row r="8060" spans="1:10" hidden="1">
      <c r="A8060" s="84"/>
      <c r="B8060" s="84"/>
      <c r="C8060" s="84"/>
      <c r="D8060" s="84"/>
      <c r="E8060" s="84"/>
      <c r="F8060" s="84"/>
      <c r="G8060" s="84"/>
      <c r="H8060" s="84"/>
      <c r="I8060" s="84"/>
      <c r="J8060" s="84"/>
    </row>
    <row r="8061" spans="1:10" hidden="1">
      <c r="A8061" s="84"/>
      <c r="B8061" s="84"/>
      <c r="C8061" s="84"/>
      <c r="D8061" s="84"/>
      <c r="E8061" s="84"/>
      <c r="F8061" s="84"/>
      <c r="G8061" s="84"/>
      <c r="H8061" s="84"/>
      <c r="I8061" s="84"/>
      <c r="J8061" s="84"/>
    </row>
    <row r="8062" spans="1:10" hidden="1">
      <c r="A8062" s="84"/>
      <c r="B8062" s="84"/>
      <c r="C8062" s="84"/>
      <c r="D8062" s="84"/>
      <c r="E8062" s="84"/>
      <c r="F8062" s="84"/>
      <c r="G8062" s="84"/>
      <c r="H8062" s="84"/>
      <c r="I8062" s="84"/>
      <c r="J8062" s="84"/>
    </row>
    <row r="8063" spans="1:10" hidden="1">
      <c r="A8063" s="84"/>
      <c r="B8063" s="84"/>
      <c r="C8063" s="84"/>
      <c r="D8063" s="84"/>
      <c r="E8063" s="84"/>
      <c r="F8063" s="84"/>
      <c r="G8063" s="84"/>
      <c r="H8063" s="84"/>
      <c r="I8063" s="84"/>
      <c r="J8063" s="84"/>
    </row>
    <row r="8064" spans="1:10" hidden="1">
      <c r="A8064" s="84"/>
      <c r="B8064" s="84"/>
      <c r="C8064" s="84"/>
      <c r="D8064" s="84"/>
      <c r="E8064" s="84"/>
      <c r="F8064" s="84"/>
      <c r="G8064" s="84"/>
      <c r="H8064" s="84"/>
      <c r="I8064" s="84"/>
      <c r="J8064" s="84"/>
    </row>
    <row r="8065" spans="1:10" hidden="1">
      <c r="A8065" s="84"/>
      <c r="B8065" s="84"/>
      <c r="C8065" s="84"/>
      <c r="D8065" s="84"/>
      <c r="E8065" s="84"/>
      <c r="F8065" s="84"/>
      <c r="G8065" s="84"/>
      <c r="H8065" s="84"/>
      <c r="I8065" s="84"/>
      <c r="J8065" s="84"/>
    </row>
    <row r="8066" spans="1:10" hidden="1">
      <c r="A8066" s="84"/>
      <c r="B8066" s="84"/>
      <c r="C8066" s="84"/>
      <c r="D8066" s="84"/>
      <c r="E8066" s="84"/>
      <c r="F8066" s="84"/>
      <c r="G8066" s="84"/>
      <c r="H8066" s="84"/>
      <c r="I8066" s="84"/>
      <c r="J8066" s="84"/>
    </row>
    <row r="8067" spans="1:10" ht="19.5" hidden="1" customHeight="1">
      <c r="A8067" s="84"/>
      <c r="B8067" s="84"/>
      <c r="C8067" s="84"/>
      <c r="D8067" s="84"/>
      <c r="E8067" s="84"/>
      <c r="F8067" s="84"/>
      <c r="G8067" s="84"/>
      <c r="H8067" s="84"/>
      <c r="I8067" s="84"/>
      <c r="J8067" s="84"/>
    </row>
    <row r="8068" spans="1:10" hidden="1">
      <c r="A8068" s="84"/>
      <c r="B8068" s="84"/>
      <c r="C8068" s="84"/>
      <c r="D8068" s="84"/>
      <c r="E8068" s="84"/>
      <c r="F8068" s="84"/>
      <c r="G8068" s="84"/>
      <c r="H8068" s="84"/>
      <c r="I8068" s="84"/>
      <c r="J8068" s="84"/>
    </row>
    <row r="8069" spans="1:10" hidden="1">
      <c r="A8069" s="84"/>
      <c r="B8069" s="84"/>
      <c r="C8069" s="84"/>
      <c r="D8069" s="84"/>
      <c r="E8069" s="84"/>
      <c r="F8069" s="84"/>
      <c r="G8069" s="84"/>
      <c r="H8069" s="84"/>
      <c r="I8069" s="84"/>
      <c r="J8069" s="84"/>
    </row>
    <row r="8070" spans="1:10" hidden="1">
      <c r="A8070" s="84"/>
      <c r="B8070" s="84"/>
      <c r="C8070" s="84"/>
      <c r="D8070" s="84"/>
      <c r="E8070" s="84"/>
      <c r="F8070" s="84"/>
      <c r="G8070" s="84"/>
      <c r="H8070" s="84"/>
      <c r="I8070" s="84"/>
      <c r="J8070" s="84"/>
    </row>
    <row r="8071" spans="1:10" hidden="1">
      <c r="A8071" s="84"/>
      <c r="B8071" s="84"/>
      <c r="C8071" s="84"/>
      <c r="D8071" s="84"/>
      <c r="E8071" s="84"/>
      <c r="F8071" s="84"/>
      <c r="G8071" s="84"/>
      <c r="H8071" s="84"/>
      <c r="I8071" s="84"/>
      <c r="J8071" s="84"/>
    </row>
    <row r="8072" spans="1:10" hidden="1">
      <c r="A8072" s="84"/>
      <c r="B8072" s="84"/>
      <c r="C8072" s="84"/>
      <c r="D8072" s="84"/>
      <c r="E8072" s="84"/>
      <c r="F8072" s="84"/>
      <c r="G8072" s="84"/>
      <c r="H8072" s="84"/>
      <c r="I8072" s="84"/>
      <c r="J8072" s="84"/>
    </row>
    <row r="8073" spans="1:10" hidden="1">
      <c r="A8073" s="84"/>
      <c r="B8073" s="84"/>
      <c r="C8073" s="84"/>
      <c r="D8073" s="84"/>
      <c r="E8073" s="84"/>
      <c r="F8073" s="84"/>
      <c r="G8073" s="84"/>
      <c r="H8073" s="84"/>
      <c r="I8073" s="84"/>
      <c r="J8073" s="84"/>
    </row>
    <row r="8074" spans="1:10" hidden="1">
      <c r="A8074" s="84"/>
      <c r="B8074" s="84"/>
      <c r="C8074" s="84"/>
      <c r="D8074" s="84"/>
      <c r="E8074" s="84"/>
      <c r="F8074" s="84"/>
      <c r="G8074" s="84"/>
      <c r="H8074" s="84"/>
      <c r="I8074" s="84"/>
      <c r="J8074" s="84"/>
    </row>
    <row r="8075" spans="1:10" hidden="1">
      <c r="A8075" s="84"/>
      <c r="B8075" s="84"/>
      <c r="C8075" s="84"/>
      <c r="D8075" s="84"/>
      <c r="E8075" s="84"/>
      <c r="F8075" s="84"/>
      <c r="G8075" s="84"/>
      <c r="H8075" s="84"/>
      <c r="I8075" s="84"/>
      <c r="J8075" s="84"/>
    </row>
    <row r="8076" spans="1:10" hidden="1">
      <c r="A8076" s="84"/>
      <c r="B8076" s="84"/>
      <c r="C8076" s="84"/>
      <c r="D8076" s="84"/>
      <c r="E8076" s="84"/>
      <c r="F8076" s="84"/>
      <c r="G8076" s="84"/>
      <c r="H8076" s="84"/>
      <c r="I8076" s="84"/>
      <c r="J8076" s="84"/>
    </row>
    <row r="8077" spans="1:10" hidden="1">
      <c r="A8077" s="84"/>
      <c r="B8077" s="84"/>
      <c r="C8077" s="84"/>
      <c r="D8077" s="84"/>
      <c r="E8077" s="84"/>
      <c r="F8077" s="84"/>
      <c r="G8077" s="84"/>
      <c r="H8077" s="84"/>
      <c r="I8077" s="84"/>
      <c r="J8077" s="84"/>
    </row>
    <row r="8078" spans="1:10" hidden="1">
      <c r="A8078" s="84"/>
      <c r="B8078" s="84"/>
      <c r="C8078" s="84"/>
      <c r="D8078" s="84"/>
      <c r="E8078" s="84"/>
      <c r="F8078" s="84"/>
      <c r="G8078" s="84"/>
      <c r="H8078" s="84"/>
      <c r="I8078" s="84"/>
      <c r="J8078" s="84"/>
    </row>
    <row r="8079" spans="1:10" hidden="1">
      <c r="A8079" s="84"/>
      <c r="B8079" s="84"/>
      <c r="C8079" s="84"/>
      <c r="D8079" s="84"/>
      <c r="E8079" s="84"/>
      <c r="F8079" s="84"/>
      <c r="G8079" s="84"/>
      <c r="H8079" s="84"/>
      <c r="I8079" s="84"/>
      <c r="J8079" s="84"/>
    </row>
    <row r="8080" spans="1:10" hidden="1">
      <c r="A8080" s="84"/>
      <c r="B8080" s="84"/>
      <c r="C8080" s="84"/>
      <c r="D8080" s="84"/>
      <c r="E8080" s="84"/>
      <c r="F8080" s="84"/>
      <c r="G8080" s="84"/>
      <c r="H8080" s="84"/>
      <c r="I8080" s="84"/>
      <c r="J8080" s="84"/>
    </row>
    <row r="8081" spans="1:10" hidden="1">
      <c r="A8081" s="84"/>
      <c r="B8081" s="84"/>
      <c r="C8081" s="84"/>
      <c r="D8081" s="84"/>
      <c r="E8081" s="84"/>
      <c r="F8081" s="84"/>
      <c r="G8081" s="84"/>
      <c r="H8081" s="84"/>
      <c r="I8081" s="84"/>
      <c r="J8081" s="84"/>
    </row>
    <row r="8082" spans="1:10" hidden="1">
      <c r="A8082" s="84"/>
      <c r="B8082" s="84"/>
      <c r="C8082" s="84"/>
      <c r="D8082" s="84"/>
      <c r="E8082" s="84"/>
      <c r="F8082" s="84"/>
      <c r="G8082" s="84"/>
      <c r="H8082" s="84"/>
      <c r="I8082" s="84"/>
      <c r="J8082" s="84"/>
    </row>
    <row r="8083" spans="1:10" hidden="1">
      <c r="A8083" s="84"/>
      <c r="B8083" s="84"/>
      <c r="C8083" s="84"/>
      <c r="D8083" s="84"/>
      <c r="E8083" s="84"/>
      <c r="F8083" s="84"/>
      <c r="G8083" s="84"/>
      <c r="H8083" s="84"/>
      <c r="I8083" s="84"/>
      <c r="J8083" s="84"/>
    </row>
    <row r="8084" spans="1:10" hidden="1">
      <c r="A8084" s="84"/>
      <c r="B8084" s="84"/>
      <c r="C8084" s="84"/>
      <c r="D8084" s="84"/>
      <c r="E8084" s="84"/>
      <c r="F8084" s="84"/>
      <c r="G8084" s="84"/>
      <c r="H8084" s="84"/>
      <c r="I8084" s="84"/>
      <c r="J8084" s="84"/>
    </row>
    <row r="8085" spans="1:10" hidden="1">
      <c r="A8085" s="84"/>
      <c r="B8085" s="84"/>
      <c r="C8085" s="84"/>
      <c r="D8085" s="84"/>
      <c r="E8085" s="84"/>
      <c r="F8085" s="84"/>
      <c r="G8085" s="84"/>
      <c r="H8085" s="84"/>
      <c r="I8085" s="84"/>
      <c r="J8085" s="84"/>
    </row>
    <row r="8086" spans="1:10" hidden="1">
      <c r="A8086" s="84"/>
      <c r="B8086" s="84"/>
      <c r="C8086" s="84"/>
      <c r="D8086" s="84"/>
      <c r="E8086" s="84"/>
      <c r="F8086" s="84"/>
      <c r="G8086" s="84"/>
      <c r="H8086" s="84"/>
      <c r="I8086" s="84"/>
      <c r="J8086" s="84"/>
    </row>
    <row r="8087" spans="1:10" hidden="1">
      <c r="A8087" s="84"/>
      <c r="B8087" s="84"/>
      <c r="C8087" s="84"/>
      <c r="D8087" s="84"/>
      <c r="E8087" s="84"/>
      <c r="F8087" s="84"/>
      <c r="G8087" s="84"/>
      <c r="H8087" s="84"/>
      <c r="I8087" s="84"/>
      <c r="J8087" s="84"/>
    </row>
    <row r="8088" spans="1:10" hidden="1">
      <c r="A8088" s="84"/>
      <c r="B8088" s="84"/>
      <c r="C8088" s="84"/>
      <c r="D8088" s="84"/>
      <c r="E8088" s="84"/>
      <c r="F8088" s="84"/>
      <c r="G8088" s="84"/>
      <c r="H8088" s="84"/>
      <c r="I8088" s="84"/>
      <c r="J8088" s="84"/>
    </row>
    <row r="8089" spans="1:10" hidden="1">
      <c r="A8089" s="84"/>
      <c r="B8089" s="84"/>
      <c r="C8089" s="84"/>
      <c r="D8089" s="84"/>
      <c r="E8089" s="84"/>
      <c r="F8089" s="84"/>
      <c r="G8089" s="84"/>
      <c r="H8089" s="84"/>
      <c r="I8089" s="84"/>
      <c r="J8089" s="84"/>
    </row>
    <row r="8090" spans="1:10" hidden="1">
      <c r="A8090" s="84"/>
      <c r="B8090" s="84"/>
      <c r="C8090" s="84"/>
      <c r="D8090" s="84"/>
      <c r="E8090" s="84"/>
      <c r="F8090" s="84"/>
      <c r="G8090" s="84"/>
      <c r="H8090" s="84"/>
      <c r="I8090" s="84"/>
      <c r="J8090" s="84"/>
    </row>
    <row r="8091" spans="1:10" hidden="1">
      <c r="A8091" s="84"/>
      <c r="B8091" s="84"/>
      <c r="C8091" s="84"/>
      <c r="D8091" s="84"/>
      <c r="E8091" s="84"/>
      <c r="F8091" s="84"/>
      <c r="G8091" s="84"/>
      <c r="H8091" s="84"/>
      <c r="I8091" s="84"/>
      <c r="J8091" s="84"/>
    </row>
    <row r="8092" spans="1:10" hidden="1">
      <c r="A8092" s="84"/>
      <c r="B8092" s="84"/>
      <c r="C8092" s="84"/>
      <c r="D8092" s="84"/>
      <c r="E8092" s="84"/>
      <c r="F8092" s="84"/>
      <c r="G8092" s="84"/>
      <c r="H8092" s="84"/>
      <c r="I8092" s="84"/>
      <c r="J8092" s="84"/>
    </row>
    <row r="8093" spans="1:10" hidden="1">
      <c r="A8093" s="84"/>
      <c r="B8093" s="84"/>
      <c r="C8093" s="84"/>
      <c r="D8093" s="84"/>
      <c r="E8093" s="84"/>
      <c r="F8093" s="84"/>
      <c r="G8093" s="84"/>
      <c r="H8093" s="84"/>
      <c r="I8093" s="84"/>
      <c r="J8093" s="84"/>
    </row>
    <row r="8094" spans="1:10" hidden="1">
      <c r="A8094" s="84"/>
      <c r="B8094" s="84"/>
      <c r="C8094" s="84"/>
      <c r="D8094" s="84"/>
      <c r="E8094" s="84"/>
      <c r="F8094" s="84"/>
      <c r="G8094" s="84"/>
      <c r="H8094" s="84"/>
      <c r="I8094" s="84"/>
      <c r="J8094" s="84"/>
    </row>
    <row r="8095" spans="1:10" hidden="1">
      <c r="A8095" s="84"/>
      <c r="B8095" s="84"/>
      <c r="C8095" s="84"/>
      <c r="D8095" s="84"/>
      <c r="E8095" s="84"/>
      <c r="F8095" s="84"/>
      <c r="G8095" s="84"/>
      <c r="H8095" s="84"/>
      <c r="I8095" s="84"/>
      <c r="J8095" s="84"/>
    </row>
    <row r="8096" spans="1:10" hidden="1">
      <c r="A8096" s="84"/>
      <c r="B8096" s="84"/>
      <c r="C8096" s="84"/>
      <c r="D8096" s="84"/>
      <c r="E8096" s="84"/>
      <c r="F8096" s="84"/>
      <c r="G8096" s="84"/>
      <c r="H8096" s="84"/>
      <c r="I8096" s="84"/>
      <c r="J8096" s="84"/>
    </row>
    <row r="8097" spans="1:10" hidden="1">
      <c r="A8097" s="84"/>
      <c r="B8097" s="84"/>
      <c r="C8097" s="84"/>
      <c r="D8097" s="84"/>
      <c r="E8097" s="84"/>
      <c r="F8097" s="84"/>
      <c r="G8097" s="84"/>
      <c r="H8097" s="84"/>
      <c r="I8097" s="84"/>
      <c r="J8097" s="84"/>
    </row>
    <row r="8098" spans="1:10" hidden="1">
      <c r="A8098" s="84"/>
      <c r="B8098" s="84"/>
      <c r="C8098" s="84"/>
      <c r="D8098" s="84"/>
      <c r="E8098" s="84"/>
      <c r="F8098" s="84"/>
      <c r="G8098" s="84"/>
      <c r="H8098" s="84"/>
      <c r="I8098" s="84"/>
      <c r="J8098" s="84"/>
    </row>
    <row r="8099" spans="1:10" hidden="1">
      <c r="A8099" s="84"/>
      <c r="B8099" s="84"/>
      <c r="C8099" s="84"/>
      <c r="D8099" s="84"/>
      <c r="E8099" s="84"/>
      <c r="F8099" s="84"/>
      <c r="G8099" s="84"/>
      <c r="H8099" s="84"/>
      <c r="I8099" s="84"/>
      <c r="J8099" s="84"/>
    </row>
    <row r="8100" spans="1:10" hidden="1">
      <c r="A8100" s="84"/>
      <c r="B8100" s="84"/>
      <c r="C8100" s="84"/>
      <c r="D8100" s="84"/>
      <c r="E8100" s="84"/>
      <c r="F8100" s="84"/>
      <c r="G8100" s="84"/>
      <c r="H8100" s="84"/>
      <c r="I8100" s="84"/>
      <c r="J8100" s="84"/>
    </row>
    <row r="8101" spans="1:10" hidden="1">
      <c r="A8101" s="84"/>
      <c r="B8101" s="84"/>
      <c r="C8101" s="84"/>
      <c r="D8101" s="84"/>
      <c r="E8101" s="84"/>
      <c r="F8101" s="84"/>
      <c r="G8101" s="84"/>
      <c r="H8101" s="84"/>
      <c r="I8101" s="84"/>
      <c r="J8101" s="84"/>
    </row>
    <row r="8102" spans="1:10" hidden="1">
      <c r="A8102" s="84"/>
      <c r="B8102" s="84"/>
      <c r="C8102" s="84"/>
      <c r="D8102" s="84"/>
      <c r="E8102" s="84"/>
      <c r="F8102" s="84"/>
      <c r="G8102" s="84"/>
      <c r="H8102" s="84"/>
      <c r="I8102" s="84"/>
      <c r="J8102" s="84"/>
    </row>
    <row r="8103" spans="1:10" hidden="1">
      <c r="A8103" s="84"/>
      <c r="B8103" s="84"/>
      <c r="C8103" s="84"/>
      <c r="D8103" s="84"/>
      <c r="E8103" s="84"/>
      <c r="F8103" s="84"/>
      <c r="G8103" s="84"/>
      <c r="H8103" s="84"/>
      <c r="I8103" s="84"/>
      <c r="J8103" s="84"/>
    </row>
    <row r="8104" spans="1:10" hidden="1">
      <c r="A8104" s="84"/>
      <c r="B8104" s="84"/>
      <c r="C8104" s="84"/>
      <c r="D8104" s="84"/>
      <c r="E8104" s="84"/>
      <c r="F8104" s="84"/>
      <c r="G8104" s="84"/>
      <c r="H8104" s="84"/>
      <c r="I8104" s="84"/>
      <c r="J8104" s="84"/>
    </row>
    <row r="8105" spans="1:10" hidden="1">
      <c r="A8105" s="84"/>
      <c r="B8105" s="84"/>
      <c r="C8105" s="84"/>
      <c r="D8105" s="84"/>
      <c r="E8105" s="84"/>
      <c r="F8105" s="84"/>
      <c r="G8105" s="84"/>
      <c r="H8105" s="84"/>
      <c r="I8105" s="84"/>
      <c r="J8105" s="84"/>
    </row>
    <row r="8106" spans="1:10" hidden="1">
      <c r="A8106" s="84"/>
      <c r="B8106" s="84"/>
      <c r="C8106" s="84"/>
      <c r="D8106" s="84"/>
      <c r="E8106" s="84"/>
      <c r="F8106" s="84"/>
      <c r="G8106" s="84"/>
      <c r="H8106" s="84"/>
      <c r="I8106" s="84"/>
      <c r="J8106" s="84"/>
    </row>
    <row r="8107" spans="1:10" hidden="1">
      <c r="A8107" s="84"/>
      <c r="B8107" s="84"/>
      <c r="C8107" s="84"/>
      <c r="D8107" s="84"/>
      <c r="E8107" s="84"/>
      <c r="F8107" s="84"/>
      <c r="G8107" s="84"/>
      <c r="H8107" s="84"/>
      <c r="I8107" s="84"/>
      <c r="J8107" s="84"/>
    </row>
    <row r="8108" spans="1:10" hidden="1">
      <c r="A8108" s="84"/>
      <c r="B8108" s="84"/>
      <c r="C8108" s="84"/>
      <c r="D8108" s="84"/>
      <c r="E8108" s="84"/>
      <c r="F8108" s="84"/>
      <c r="G8108" s="84"/>
      <c r="H8108" s="84"/>
      <c r="I8108" s="84"/>
      <c r="J8108" s="84"/>
    </row>
    <row r="8109" spans="1:10" hidden="1">
      <c r="A8109" s="84"/>
      <c r="B8109" s="84"/>
      <c r="C8109" s="84"/>
      <c r="D8109" s="84"/>
      <c r="E8109" s="84"/>
      <c r="F8109" s="84"/>
      <c r="G8109" s="84"/>
      <c r="H8109" s="84"/>
      <c r="I8109" s="84"/>
      <c r="J8109" s="84"/>
    </row>
    <row r="8110" spans="1:10" hidden="1">
      <c r="A8110" s="84"/>
      <c r="B8110" s="84"/>
      <c r="C8110" s="84"/>
      <c r="D8110" s="84"/>
      <c r="E8110" s="84"/>
      <c r="F8110" s="84"/>
      <c r="G8110" s="84"/>
      <c r="H8110" s="84"/>
      <c r="I8110" s="84"/>
      <c r="J8110" s="84"/>
    </row>
    <row r="8111" spans="1:10" hidden="1">
      <c r="A8111" s="84"/>
      <c r="B8111" s="84"/>
      <c r="C8111" s="84"/>
      <c r="D8111" s="84"/>
      <c r="E8111" s="84"/>
      <c r="F8111" s="84"/>
      <c r="G8111" s="84"/>
      <c r="H8111" s="84"/>
      <c r="I8111" s="84"/>
      <c r="J8111" s="84"/>
    </row>
    <row r="8112" spans="1:10" hidden="1">
      <c r="A8112" s="84"/>
      <c r="B8112" s="84"/>
      <c r="C8112" s="84"/>
      <c r="D8112" s="84"/>
      <c r="E8112" s="84"/>
      <c r="F8112" s="84"/>
      <c r="G8112" s="84"/>
      <c r="H8112" s="84"/>
      <c r="I8112" s="84"/>
      <c r="J8112" s="84"/>
    </row>
    <row r="8113" spans="1:10" hidden="1">
      <c r="A8113" s="84"/>
      <c r="B8113" s="84"/>
      <c r="C8113" s="84"/>
      <c r="D8113" s="84"/>
      <c r="E8113" s="84"/>
      <c r="F8113" s="84"/>
      <c r="G8113" s="84"/>
      <c r="H8113" s="84"/>
      <c r="I8113" s="84"/>
      <c r="J8113" s="84"/>
    </row>
    <row r="8114" spans="1:10" hidden="1">
      <c r="A8114" s="84"/>
      <c r="B8114" s="84"/>
      <c r="C8114" s="84"/>
      <c r="D8114" s="84"/>
      <c r="E8114" s="84"/>
      <c r="F8114" s="84"/>
      <c r="G8114" s="84"/>
      <c r="H8114" s="84"/>
      <c r="I8114" s="84"/>
      <c r="J8114" s="84"/>
    </row>
    <row r="8115" spans="1:10" hidden="1">
      <c r="A8115" s="84"/>
      <c r="B8115" s="84"/>
      <c r="C8115" s="84"/>
      <c r="D8115" s="84"/>
      <c r="E8115" s="84"/>
      <c r="F8115" s="84"/>
      <c r="G8115" s="84"/>
      <c r="H8115" s="84"/>
      <c r="I8115" s="84"/>
      <c r="J8115" s="84"/>
    </row>
    <row r="8116" spans="1:10" hidden="1">
      <c r="A8116" s="84"/>
      <c r="B8116" s="84"/>
      <c r="C8116" s="84"/>
      <c r="D8116" s="84"/>
      <c r="E8116" s="84"/>
      <c r="F8116" s="84"/>
      <c r="G8116" s="84"/>
      <c r="H8116" s="84"/>
      <c r="I8116" s="84"/>
      <c r="J8116" s="84"/>
    </row>
    <row r="8117" spans="1:10" hidden="1">
      <c r="A8117" s="84"/>
      <c r="B8117" s="84"/>
      <c r="C8117" s="84"/>
      <c r="D8117" s="84"/>
      <c r="E8117" s="84"/>
      <c r="F8117" s="84"/>
      <c r="G8117" s="84"/>
      <c r="H8117" s="84"/>
      <c r="I8117" s="84"/>
      <c r="J8117" s="84"/>
    </row>
    <row r="8118" spans="1:10" hidden="1">
      <c r="A8118" s="84"/>
      <c r="B8118" s="84"/>
      <c r="C8118" s="84"/>
      <c r="D8118" s="84"/>
      <c r="E8118" s="84"/>
      <c r="F8118" s="84"/>
      <c r="G8118" s="84"/>
      <c r="H8118" s="84"/>
      <c r="I8118" s="84"/>
      <c r="J8118" s="84"/>
    </row>
    <row r="8119" spans="1:10" hidden="1">
      <c r="A8119" s="84"/>
      <c r="B8119" s="84"/>
      <c r="C8119" s="84"/>
      <c r="D8119" s="84"/>
      <c r="E8119" s="84"/>
      <c r="F8119" s="84"/>
      <c r="G8119" s="84"/>
      <c r="H8119" s="84"/>
      <c r="I8119" s="84"/>
      <c r="J8119" s="84"/>
    </row>
    <row r="8120" spans="1:10" hidden="1">
      <c r="A8120" s="84"/>
      <c r="B8120" s="84"/>
      <c r="C8120" s="84"/>
      <c r="D8120" s="84"/>
      <c r="E8120" s="84"/>
      <c r="F8120" s="84"/>
      <c r="G8120" s="84"/>
      <c r="H8120" s="84"/>
      <c r="I8120" s="84"/>
      <c r="J8120" s="84"/>
    </row>
    <row r="8121" spans="1:10" hidden="1" collapsed="1">
      <c r="A8121" s="84"/>
      <c r="B8121" s="84"/>
      <c r="C8121" s="84"/>
      <c r="D8121" s="84"/>
      <c r="E8121" s="84"/>
      <c r="F8121" s="84"/>
      <c r="G8121" s="84"/>
      <c r="H8121" s="84"/>
      <c r="I8121" s="84"/>
      <c r="J8121" s="84"/>
    </row>
    <row r="8122" spans="1:10" hidden="1">
      <c r="A8122" s="84"/>
      <c r="B8122" s="84"/>
      <c r="C8122" s="84"/>
      <c r="D8122" s="84"/>
      <c r="E8122" s="84"/>
      <c r="F8122" s="84"/>
      <c r="G8122" s="84"/>
      <c r="H8122" s="84"/>
      <c r="I8122" s="84"/>
      <c r="J8122" s="84"/>
    </row>
    <row r="8123" spans="1:10" hidden="1">
      <c r="A8123" s="84"/>
      <c r="B8123" s="84"/>
      <c r="C8123" s="84"/>
      <c r="D8123" s="84"/>
      <c r="E8123" s="84"/>
      <c r="F8123" s="84"/>
      <c r="G8123" s="84"/>
      <c r="H8123" s="84"/>
      <c r="I8123" s="84"/>
      <c r="J8123" s="84"/>
    </row>
    <row r="8124" spans="1:10" hidden="1">
      <c r="A8124" s="84"/>
      <c r="B8124" s="84"/>
      <c r="C8124" s="84"/>
      <c r="D8124" s="84"/>
      <c r="E8124" s="84"/>
      <c r="F8124" s="84"/>
      <c r="G8124" s="84"/>
      <c r="H8124" s="84"/>
      <c r="I8124" s="84"/>
      <c r="J8124" s="84"/>
    </row>
    <row r="8125" spans="1:10" hidden="1">
      <c r="A8125" s="84"/>
      <c r="B8125" s="84"/>
      <c r="C8125" s="84"/>
      <c r="D8125" s="84"/>
      <c r="E8125" s="84"/>
      <c r="F8125" s="84"/>
      <c r="G8125" s="84"/>
      <c r="H8125" s="84"/>
      <c r="I8125" s="84"/>
      <c r="J8125" s="84"/>
    </row>
    <row r="8126" spans="1:10" hidden="1">
      <c r="A8126" s="84"/>
      <c r="B8126" s="84"/>
      <c r="C8126" s="84"/>
      <c r="D8126" s="84"/>
      <c r="E8126" s="84"/>
      <c r="F8126" s="84"/>
      <c r="G8126" s="84"/>
      <c r="H8126" s="84"/>
      <c r="I8126" s="84"/>
      <c r="J8126" s="84"/>
    </row>
    <row r="8127" spans="1:10" hidden="1">
      <c r="A8127" s="84"/>
      <c r="B8127" s="84"/>
      <c r="C8127" s="84"/>
      <c r="D8127" s="84"/>
      <c r="E8127" s="84"/>
      <c r="F8127" s="84"/>
      <c r="G8127" s="84"/>
      <c r="H8127" s="84"/>
      <c r="I8127" s="84"/>
      <c r="J8127" s="84"/>
    </row>
    <row r="8128" spans="1:10" hidden="1">
      <c r="A8128" s="84"/>
      <c r="B8128" s="84"/>
      <c r="C8128" s="84"/>
      <c r="D8128" s="84"/>
      <c r="E8128" s="84"/>
      <c r="F8128" s="84"/>
      <c r="G8128" s="84"/>
      <c r="H8128" s="84"/>
      <c r="I8128" s="84"/>
      <c r="J8128" s="84"/>
    </row>
    <row r="8129" spans="1:25" hidden="1">
      <c r="A8129" s="84"/>
      <c r="B8129" s="84"/>
      <c r="C8129" s="84"/>
      <c r="D8129" s="84"/>
      <c r="E8129" s="84"/>
      <c r="F8129" s="84"/>
      <c r="G8129" s="84"/>
      <c r="H8129" s="84"/>
      <c r="I8129" s="84"/>
      <c r="J8129" s="84"/>
    </row>
    <row r="8130" spans="1:25" hidden="1">
      <c r="A8130" s="84"/>
      <c r="B8130" s="84"/>
      <c r="C8130" s="84"/>
      <c r="D8130" s="84"/>
      <c r="E8130" s="84"/>
      <c r="F8130" s="84"/>
      <c r="G8130" s="84"/>
      <c r="H8130" s="84"/>
      <c r="I8130" s="84"/>
      <c r="J8130" s="84"/>
    </row>
    <row r="8131" spans="1:25" hidden="1">
      <c r="A8131" s="84"/>
      <c r="B8131" s="84"/>
      <c r="C8131" s="84"/>
      <c r="D8131" s="84"/>
      <c r="E8131" s="84"/>
      <c r="F8131" s="84"/>
      <c r="G8131" s="84"/>
      <c r="H8131" s="84"/>
      <c r="I8131" s="84"/>
      <c r="J8131" s="84"/>
    </row>
    <row r="8132" spans="1:25" hidden="1">
      <c r="A8132" s="84"/>
      <c r="B8132" s="84"/>
      <c r="C8132" s="84"/>
      <c r="D8132" s="84"/>
      <c r="E8132" s="84"/>
      <c r="F8132" s="84"/>
      <c r="G8132" s="84"/>
      <c r="H8132" s="84"/>
      <c r="I8132" s="84"/>
      <c r="J8132" s="84"/>
    </row>
    <row r="8133" spans="1:25" hidden="1">
      <c r="A8133" s="84"/>
      <c r="B8133" s="84"/>
      <c r="C8133" s="84"/>
      <c r="D8133" s="84"/>
      <c r="E8133" s="84"/>
      <c r="F8133" s="84"/>
      <c r="G8133" s="84"/>
      <c r="H8133" s="84"/>
      <c r="I8133" s="84"/>
      <c r="J8133" s="84"/>
    </row>
    <row r="8134" spans="1:25" hidden="1">
      <c r="A8134" s="84"/>
      <c r="B8134" s="84"/>
      <c r="C8134" s="84"/>
      <c r="D8134" s="84"/>
      <c r="E8134" s="84"/>
      <c r="F8134" s="84"/>
      <c r="G8134" s="84"/>
      <c r="H8134" s="84"/>
      <c r="I8134" s="84"/>
      <c r="J8134" s="84"/>
    </row>
    <row r="8135" spans="1:25" hidden="1">
      <c r="A8135" s="84"/>
      <c r="B8135" s="84"/>
      <c r="C8135" s="84"/>
      <c r="D8135" s="84"/>
      <c r="E8135" s="84"/>
      <c r="F8135" s="84"/>
      <c r="G8135" s="84"/>
      <c r="H8135" s="84"/>
      <c r="I8135" s="84"/>
      <c r="J8135" s="84"/>
    </row>
    <row r="8136" spans="1:25" hidden="1">
      <c r="A8136" s="84"/>
      <c r="B8136" s="84"/>
      <c r="C8136" s="84"/>
      <c r="D8136" s="84"/>
      <c r="E8136" s="84"/>
      <c r="F8136" s="84"/>
      <c r="G8136" s="84"/>
      <c r="H8136" s="84"/>
      <c r="I8136" s="84"/>
      <c r="J8136" s="84"/>
    </row>
    <row r="8137" spans="1:25" hidden="1">
      <c r="A8137" s="84"/>
      <c r="B8137" s="84"/>
      <c r="C8137" s="84"/>
      <c r="D8137" s="84"/>
      <c r="E8137" s="84"/>
      <c r="F8137" s="84"/>
      <c r="G8137" s="84"/>
      <c r="H8137" s="84"/>
      <c r="I8137" s="84"/>
      <c r="J8137" s="84"/>
    </row>
    <row r="8138" spans="1:25" hidden="1" collapsed="1">
      <c r="A8138" s="84"/>
      <c r="B8138" s="84"/>
      <c r="C8138" s="84"/>
      <c r="D8138" s="84"/>
      <c r="E8138" s="84"/>
      <c r="F8138" s="84"/>
      <c r="G8138" s="84"/>
      <c r="H8138" s="84"/>
      <c r="I8138" s="84"/>
      <c r="J8138" s="84"/>
    </row>
    <row r="8139" spans="1:25" hidden="1"/>
    <row r="8140" spans="1:25" s="88" customFormat="1" hidden="1">
      <c r="A8140" s="422"/>
      <c r="B8140" s="301"/>
      <c r="C8140" s="321" t="s">
        <v>4416</v>
      </c>
      <c r="D8140" s="264"/>
      <c r="E8140" s="264"/>
      <c r="F8140" s="322"/>
      <c r="G8140" s="323" t="s">
        <v>4069</v>
      </c>
      <c r="H8140" s="667"/>
      <c r="I8140" s="650"/>
      <c r="J8140" s="668"/>
      <c r="K8140" s="575"/>
      <c r="L8140" s="575"/>
      <c r="M8140" s="575"/>
      <c r="N8140" s="575"/>
      <c r="O8140" s="575"/>
      <c r="P8140" s="575"/>
      <c r="Q8140" s="575"/>
      <c r="R8140" s="575"/>
      <c r="S8140" s="575"/>
      <c r="T8140" s="575"/>
      <c r="U8140" s="575"/>
      <c r="V8140" s="575"/>
      <c r="W8140" s="575"/>
      <c r="X8140" s="575"/>
      <c r="Y8140" s="575"/>
    </row>
    <row r="8141" spans="1:25" hidden="1">
      <c r="C8141" s="273"/>
      <c r="D8141" s="357">
        <v>451</v>
      </c>
      <c r="E8141" s="357"/>
      <c r="F8141" s="357"/>
      <c r="G8141" s="358" t="s">
        <v>153</v>
      </c>
    </row>
    <row r="8142" spans="1:25" hidden="1">
      <c r="F8142" s="425">
        <v>411</v>
      </c>
      <c r="G8142" s="420" t="s">
        <v>4173</v>
      </c>
      <c r="J8142" s="635">
        <f>SUM(H8142:I8142)</f>
        <v>0</v>
      </c>
    </row>
    <row r="8143" spans="1:25" hidden="1">
      <c r="F8143" s="425">
        <v>412</v>
      </c>
      <c r="G8143" s="418" t="s">
        <v>3770</v>
      </c>
      <c r="J8143" s="635">
        <f t="shared" ref="J8143:J8201" si="261">SUM(H8143:I8143)</f>
        <v>0</v>
      </c>
    </row>
    <row r="8144" spans="1:25" hidden="1">
      <c r="F8144" s="425">
        <v>413</v>
      </c>
      <c r="G8144" s="420" t="s">
        <v>4174</v>
      </c>
      <c r="J8144" s="635">
        <f t="shared" si="261"/>
        <v>0</v>
      </c>
    </row>
    <row r="8145" spans="6:10" hidden="1">
      <c r="F8145" s="425">
        <v>414</v>
      </c>
      <c r="G8145" s="420" t="s">
        <v>3773</v>
      </c>
      <c r="J8145" s="635">
        <f t="shared" si="261"/>
        <v>0</v>
      </c>
    </row>
    <row r="8146" spans="6:10" hidden="1">
      <c r="F8146" s="425">
        <v>415</v>
      </c>
      <c r="G8146" s="420" t="s">
        <v>4183</v>
      </c>
      <c r="J8146" s="635">
        <f t="shared" si="261"/>
        <v>0</v>
      </c>
    </row>
    <row r="8147" spans="6:10" hidden="1">
      <c r="F8147" s="425">
        <v>416</v>
      </c>
      <c r="G8147" s="420" t="s">
        <v>4184</v>
      </c>
      <c r="J8147" s="635">
        <f t="shared" si="261"/>
        <v>0</v>
      </c>
    </row>
    <row r="8148" spans="6:10" hidden="1">
      <c r="F8148" s="425">
        <v>417</v>
      </c>
      <c r="G8148" s="420" t="s">
        <v>4185</v>
      </c>
      <c r="J8148" s="635">
        <f t="shared" si="261"/>
        <v>0</v>
      </c>
    </row>
    <row r="8149" spans="6:10" hidden="1">
      <c r="F8149" s="425">
        <v>418</v>
      </c>
      <c r="G8149" s="420" t="s">
        <v>3779</v>
      </c>
      <c r="J8149" s="635">
        <f t="shared" si="261"/>
        <v>0</v>
      </c>
    </row>
    <row r="8150" spans="6:10" hidden="1">
      <c r="F8150" s="425">
        <v>421</v>
      </c>
      <c r="G8150" s="420" t="s">
        <v>3783</v>
      </c>
      <c r="J8150" s="635">
        <f t="shared" si="261"/>
        <v>0</v>
      </c>
    </row>
    <row r="8151" spans="6:10" hidden="1">
      <c r="F8151" s="425">
        <v>422</v>
      </c>
      <c r="G8151" s="420" t="s">
        <v>3784</v>
      </c>
      <c r="J8151" s="635">
        <f t="shared" si="261"/>
        <v>0</v>
      </c>
    </row>
    <row r="8152" spans="6:10" hidden="1">
      <c r="F8152" s="425">
        <v>423</v>
      </c>
      <c r="G8152" s="420" t="s">
        <v>3785</v>
      </c>
      <c r="J8152" s="635">
        <f t="shared" si="261"/>
        <v>0</v>
      </c>
    </row>
    <row r="8153" spans="6:10" hidden="1">
      <c r="F8153" s="425">
        <v>424</v>
      </c>
      <c r="G8153" s="420" t="s">
        <v>3787</v>
      </c>
      <c r="J8153" s="635">
        <f t="shared" si="261"/>
        <v>0</v>
      </c>
    </row>
    <row r="8154" spans="6:10" hidden="1">
      <c r="F8154" s="425">
        <v>425</v>
      </c>
      <c r="G8154" s="420" t="s">
        <v>4186</v>
      </c>
      <c r="J8154" s="635">
        <f t="shared" si="261"/>
        <v>0</v>
      </c>
    </row>
    <row r="8155" spans="6:10" hidden="1">
      <c r="F8155" s="425">
        <v>426</v>
      </c>
      <c r="G8155" s="420" t="s">
        <v>3791</v>
      </c>
      <c r="J8155" s="635">
        <f t="shared" si="261"/>
        <v>0</v>
      </c>
    </row>
    <row r="8156" spans="6:10" hidden="1">
      <c r="F8156" s="425">
        <v>431</v>
      </c>
      <c r="G8156" s="420" t="s">
        <v>4187</v>
      </c>
      <c r="J8156" s="635">
        <f t="shared" si="261"/>
        <v>0</v>
      </c>
    </row>
    <row r="8157" spans="6:10" hidden="1">
      <c r="F8157" s="425">
        <v>432</v>
      </c>
      <c r="G8157" s="420" t="s">
        <v>4188</v>
      </c>
      <c r="J8157" s="635">
        <f t="shared" si="261"/>
        <v>0</v>
      </c>
    </row>
    <row r="8158" spans="6:10" hidden="1">
      <c r="F8158" s="425">
        <v>433</v>
      </c>
      <c r="G8158" s="420" t="s">
        <v>4189</v>
      </c>
      <c r="J8158" s="635">
        <f t="shared" si="261"/>
        <v>0</v>
      </c>
    </row>
    <row r="8159" spans="6:10" hidden="1">
      <c r="F8159" s="425">
        <v>434</v>
      </c>
      <c r="G8159" s="420" t="s">
        <v>4190</v>
      </c>
      <c r="J8159" s="635">
        <f t="shared" si="261"/>
        <v>0</v>
      </c>
    </row>
    <row r="8160" spans="6:10" hidden="1">
      <c r="F8160" s="425">
        <v>435</v>
      </c>
      <c r="G8160" s="420" t="s">
        <v>3798</v>
      </c>
      <c r="J8160" s="635">
        <f t="shared" si="261"/>
        <v>0</v>
      </c>
    </row>
    <row r="8161" spans="6:10" hidden="1">
      <c r="F8161" s="425">
        <v>441</v>
      </c>
      <c r="G8161" s="420" t="s">
        <v>4191</v>
      </c>
      <c r="J8161" s="635">
        <f t="shared" si="261"/>
        <v>0</v>
      </c>
    </row>
    <row r="8162" spans="6:10" hidden="1">
      <c r="F8162" s="425">
        <v>442</v>
      </c>
      <c r="G8162" s="420" t="s">
        <v>4192</v>
      </c>
      <c r="J8162" s="635">
        <f t="shared" si="261"/>
        <v>0</v>
      </c>
    </row>
    <row r="8163" spans="6:10" hidden="1">
      <c r="F8163" s="425">
        <v>443</v>
      </c>
      <c r="G8163" s="420" t="s">
        <v>3803</v>
      </c>
      <c r="J8163" s="635">
        <f t="shared" si="261"/>
        <v>0</v>
      </c>
    </row>
    <row r="8164" spans="6:10" hidden="1">
      <c r="F8164" s="425">
        <v>444</v>
      </c>
      <c r="G8164" s="420" t="s">
        <v>3804</v>
      </c>
      <c r="J8164" s="635">
        <f t="shared" si="261"/>
        <v>0</v>
      </c>
    </row>
    <row r="8165" spans="6:10" ht="30" hidden="1">
      <c r="F8165" s="425">
        <v>4511</v>
      </c>
      <c r="G8165" s="268" t="s">
        <v>1690</v>
      </c>
      <c r="J8165" s="635">
        <f t="shared" si="261"/>
        <v>0</v>
      </c>
    </row>
    <row r="8166" spans="6:10" ht="19.5" hidden="1" customHeight="1">
      <c r="F8166" s="425">
        <v>4512</v>
      </c>
      <c r="G8166" s="268" t="s">
        <v>1699</v>
      </c>
      <c r="J8166" s="635">
        <f t="shared" si="261"/>
        <v>0</v>
      </c>
    </row>
    <row r="8167" spans="6:10" hidden="1">
      <c r="F8167" s="425">
        <v>452</v>
      </c>
      <c r="G8167" s="420" t="s">
        <v>4193</v>
      </c>
      <c r="J8167" s="635">
        <f t="shared" si="261"/>
        <v>0</v>
      </c>
    </row>
    <row r="8168" spans="6:10" hidden="1">
      <c r="F8168" s="425">
        <v>453</v>
      </c>
      <c r="G8168" s="420" t="s">
        <v>4194</v>
      </c>
      <c r="J8168" s="635">
        <f t="shared" si="261"/>
        <v>0</v>
      </c>
    </row>
    <row r="8169" spans="6:10" hidden="1">
      <c r="F8169" s="425">
        <v>454</v>
      </c>
      <c r="G8169" s="420" t="s">
        <v>3809</v>
      </c>
      <c r="J8169" s="635">
        <f t="shared" si="261"/>
        <v>0</v>
      </c>
    </row>
    <row r="8170" spans="6:10" hidden="1">
      <c r="F8170" s="425">
        <v>461</v>
      </c>
      <c r="G8170" s="420" t="s">
        <v>4175</v>
      </c>
      <c r="J8170" s="635">
        <f t="shared" si="261"/>
        <v>0</v>
      </c>
    </row>
    <row r="8171" spans="6:10" hidden="1">
      <c r="F8171" s="425">
        <v>462</v>
      </c>
      <c r="G8171" s="420" t="s">
        <v>3812</v>
      </c>
      <c r="J8171" s="635">
        <f t="shared" si="261"/>
        <v>0</v>
      </c>
    </row>
    <row r="8172" spans="6:10" hidden="1">
      <c r="F8172" s="425">
        <v>4631</v>
      </c>
      <c r="G8172" s="420" t="s">
        <v>3813</v>
      </c>
      <c r="J8172" s="635">
        <f t="shared" si="261"/>
        <v>0</v>
      </c>
    </row>
    <row r="8173" spans="6:10" hidden="1">
      <c r="F8173" s="425">
        <v>4632</v>
      </c>
      <c r="G8173" s="420" t="s">
        <v>3814</v>
      </c>
      <c r="J8173" s="635">
        <f t="shared" si="261"/>
        <v>0</v>
      </c>
    </row>
    <row r="8174" spans="6:10" hidden="1">
      <c r="F8174" s="425">
        <v>464</v>
      </c>
      <c r="G8174" s="420" t="s">
        <v>3815</v>
      </c>
      <c r="J8174" s="635">
        <f t="shared" si="261"/>
        <v>0</v>
      </c>
    </row>
    <row r="8175" spans="6:10" hidden="1">
      <c r="F8175" s="425">
        <v>465</v>
      </c>
      <c r="G8175" s="420" t="s">
        <v>4176</v>
      </c>
      <c r="J8175" s="635">
        <f t="shared" si="261"/>
        <v>0</v>
      </c>
    </row>
    <row r="8176" spans="6:10" hidden="1">
      <c r="F8176" s="425">
        <v>472</v>
      </c>
      <c r="G8176" s="420" t="s">
        <v>3819</v>
      </c>
      <c r="J8176" s="635">
        <f t="shared" si="261"/>
        <v>0</v>
      </c>
    </row>
    <row r="8177" spans="6:10" hidden="1">
      <c r="F8177" s="425">
        <v>481</v>
      </c>
      <c r="G8177" s="420" t="s">
        <v>4195</v>
      </c>
      <c r="J8177" s="635">
        <f t="shared" si="261"/>
        <v>0</v>
      </c>
    </row>
    <row r="8178" spans="6:10" hidden="1">
      <c r="F8178" s="425">
        <v>482</v>
      </c>
      <c r="G8178" s="420" t="s">
        <v>4196</v>
      </c>
      <c r="J8178" s="635">
        <f t="shared" si="261"/>
        <v>0</v>
      </c>
    </row>
    <row r="8179" spans="6:10" hidden="1">
      <c r="F8179" s="425">
        <v>483</v>
      </c>
      <c r="G8179" s="423" t="s">
        <v>4197</v>
      </c>
      <c r="J8179" s="635">
        <f t="shared" si="261"/>
        <v>0</v>
      </c>
    </row>
    <row r="8180" spans="6:10" ht="30" hidden="1">
      <c r="F8180" s="425">
        <v>484</v>
      </c>
      <c r="G8180" s="420" t="s">
        <v>4198</v>
      </c>
      <c r="J8180" s="635">
        <f t="shared" si="261"/>
        <v>0</v>
      </c>
    </row>
    <row r="8181" spans="6:10" ht="30" hidden="1">
      <c r="F8181" s="425">
        <v>485</v>
      </c>
      <c r="G8181" s="420" t="s">
        <v>4199</v>
      </c>
      <c r="J8181" s="635">
        <f t="shared" si="261"/>
        <v>0</v>
      </c>
    </row>
    <row r="8182" spans="6:10" ht="30" hidden="1">
      <c r="F8182" s="425">
        <v>489</v>
      </c>
      <c r="G8182" s="420" t="s">
        <v>3827</v>
      </c>
      <c r="J8182" s="635">
        <f t="shared" si="261"/>
        <v>0</v>
      </c>
    </row>
    <row r="8183" spans="6:10" hidden="1">
      <c r="F8183" s="425">
        <v>494</v>
      </c>
      <c r="G8183" s="420" t="s">
        <v>4177</v>
      </c>
      <c r="J8183" s="635">
        <f t="shared" si="261"/>
        <v>0</v>
      </c>
    </row>
    <row r="8184" spans="6:10" ht="30" hidden="1">
      <c r="F8184" s="425">
        <v>495</v>
      </c>
      <c r="G8184" s="420" t="s">
        <v>4178</v>
      </c>
      <c r="J8184" s="635">
        <f t="shared" si="261"/>
        <v>0</v>
      </c>
    </row>
    <row r="8185" spans="6:10" ht="30" hidden="1">
      <c r="F8185" s="425">
        <v>496</v>
      </c>
      <c r="G8185" s="420" t="s">
        <v>4179</v>
      </c>
      <c r="J8185" s="635">
        <f t="shared" si="261"/>
        <v>0</v>
      </c>
    </row>
    <row r="8186" spans="6:10" hidden="1">
      <c r="F8186" s="425">
        <v>499</v>
      </c>
      <c r="G8186" s="420" t="s">
        <v>4180</v>
      </c>
      <c r="J8186" s="635">
        <f t="shared" si="261"/>
        <v>0</v>
      </c>
    </row>
    <row r="8187" spans="6:10" hidden="1">
      <c r="F8187" s="425">
        <v>511</v>
      </c>
      <c r="G8187" s="423" t="s">
        <v>4200</v>
      </c>
      <c r="J8187" s="635">
        <f t="shared" si="261"/>
        <v>0</v>
      </c>
    </row>
    <row r="8188" spans="6:10" ht="15.75" hidden="1" thickBot="1">
      <c r="F8188" s="425">
        <v>512</v>
      </c>
      <c r="G8188" s="423" t="s">
        <v>4201</v>
      </c>
      <c r="J8188" s="635">
        <f t="shared" si="261"/>
        <v>0</v>
      </c>
    </row>
    <row r="8189" spans="6:10" ht="15.75" hidden="1" thickBot="1">
      <c r="F8189" s="425">
        <v>513</v>
      </c>
      <c r="G8189" s="423" t="s">
        <v>4202</v>
      </c>
      <c r="J8189" s="635">
        <f t="shared" si="261"/>
        <v>0</v>
      </c>
    </row>
    <row r="8190" spans="6:10" ht="15.75" hidden="1" thickBot="1">
      <c r="F8190" s="425">
        <v>514</v>
      </c>
      <c r="G8190" s="420" t="s">
        <v>4203</v>
      </c>
      <c r="J8190" s="635">
        <f t="shared" si="261"/>
        <v>0</v>
      </c>
    </row>
    <row r="8191" spans="6:10" ht="15.75" hidden="1" thickBot="1">
      <c r="F8191" s="425">
        <v>515</v>
      </c>
      <c r="G8191" s="420" t="s">
        <v>3838</v>
      </c>
      <c r="J8191" s="635">
        <f t="shared" si="261"/>
        <v>0</v>
      </c>
    </row>
    <row r="8192" spans="6:10" ht="15.75" hidden="1" thickBot="1">
      <c r="F8192" s="425">
        <v>521</v>
      </c>
      <c r="G8192" s="420" t="s">
        <v>4204</v>
      </c>
      <c r="J8192" s="635">
        <f t="shared" si="261"/>
        <v>0</v>
      </c>
    </row>
    <row r="8193" spans="5:10" ht="15.75" hidden="1" thickBot="1">
      <c r="F8193" s="425">
        <v>522</v>
      </c>
      <c r="G8193" s="420" t="s">
        <v>4205</v>
      </c>
      <c r="J8193" s="635">
        <f t="shared" si="261"/>
        <v>0</v>
      </c>
    </row>
    <row r="8194" spans="5:10" ht="15.75" hidden="1" thickBot="1">
      <c r="F8194" s="425">
        <v>523</v>
      </c>
      <c r="G8194" s="420" t="s">
        <v>3843</v>
      </c>
      <c r="J8194" s="635">
        <f t="shared" si="261"/>
        <v>0</v>
      </c>
    </row>
    <row r="8195" spans="5:10" ht="15.75" hidden="1" thickBot="1">
      <c r="F8195" s="425">
        <v>531</v>
      </c>
      <c r="G8195" s="418" t="s">
        <v>4181</v>
      </c>
      <c r="J8195" s="635">
        <f t="shared" si="261"/>
        <v>0</v>
      </c>
    </row>
    <row r="8196" spans="5:10" ht="15.75" hidden="1" thickBot="1">
      <c r="F8196" s="425">
        <v>541</v>
      </c>
      <c r="G8196" s="420" t="s">
        <v>4206</v>
      </c>
      <c r="J8196" s="635">
        <f t="shared" si="261"/>
        <v>0</v>
      </c>
    </row>
    <row r="8197" spans="5:10" ht="15.75" hidden="1" thickBot="1">
      <c r="F8197" s="425">
        <v>542</v>
      </c>
      <c r="G8197" s="420" t="s">
        <v>4207</v>
      </c>
      <c r="J8197" s="635">
        <f t="shared" si="261"/>
        <v>0</v>
      </c>
    </row>
    <row r="8198" spans="5:10" ht="15.75" hidden="1" thickBot="1">
      <c r="F8198" s="425">
        <v>543</v>
      </c>
      <c r="G8198" s="420" t="s">
        <v>3848</v>
      </c>
      <c r="J8198" s="635">
        <f t="shared" si="261"/>
        <v>0</v>
      </c>
    </row>
    <row r="8199" spans="5:10" ht="30.75" hidden="1" thickBot="1">
      <c r="F8199" s="425">
        <v>551</v>
      </c>
      <c r="G8199" s="420" t="s">
        <v>4182</v>
      </c>
      <c r="J8199" s="635">
        <f t="shared" si="261"/>
        <v>0</v>
      </c>
    </row>
    <row r="8200" spans="5:10" ht="15.75" hidden="1" thickBot="1">
      <c r="F8200" s="426">
        <v>611</v>
      </c>
      <c r="G8200" s="424" t="s">
        <v>3854</v>
      </c>
      <c r="J8200" s="635">
        <f t="shared" si="261"/>
        <v>0</v>
      </c>
    </row>
    <row r="8201" spans="5:10" ht="15.75" hidden="1" thickBot="1">
      <c r="F8201" s="426">
        <v>620</v>
      </c>
      <c r="G8201" s="424" t="s">
        <v>88</v>
      </c>
      <c r="J8201" s="635">
        <f t="shared" si="261"/>
        <v>0</v>
      </c>
    </row>
    <row r="8202" spans="5:10" hidden="1">
      <c r="E8202" s="419"/>
      <c r="F8202" s="426"/>
      <c r="G8202" s="372" t="s">
        <v>4367</v>
      </c>
      <c r="H8202" s="636"/>
      <c r="I8202" s="662"/>
      <c r="J8202" s="637"/>
    </row>
    <row r="8203" spans="5:10" ht="15.75" hidden="1" thickBot="1">
      <c r="E8203" s="267"/>
      <c r="F8203" s="294" t="s">
        <v>234</v>
      </c>
      <c r="G8203" s="297" t="s">
        <v>235</v>
      </c>
      <c r="H8203" s="638">
        <f>SUM(H8142:H8201)</f>
        <v>0</v>
      </c>
      <c r="I8203" s="639"/>
      <c r="J8203" s="639">
        <f t="shared" ref="J8203:J8218" si="262">SUM(H8203:I8203)</f>
        <v>0</v>
      </c>
    </row>
    <row r="8204" spans="5:10" ht="15.75" hidden="1" thickBot="1">
      <c r="F8204" s="294" t="s">
        <v>236</v>
      </c>
      <c r="G8204" s="297" t="s">
        <v>237</v>
      </c>
      <c r="J8204" s="639">
        <f t="shared" si="262"/>
        <v>0</v>
      </c>
    </row>
    <row r="8205" spans="5:10" ht="15.75" hidden="1" thickBot="1">
      <c r="F8205" s="294" t="s">
        <v>238</v>
      </c>
      <c r="G8205" s="297" t="s">
        <v>239</v>
      </c>
      <c r="J8205" s="639">
        <f t="shared" si="262"/>
        <v>0</v>
      </c>
    </row>
    <row r="8206" spans="5:10" ht="15.75" hidden="1" thickBot="1">
      <c r="F8206" s="294" t="s">
        <v>240</v>
      </c>
      <c r="G8206" s="297" t="s">
        <v>241</v>
      </c>
      <c r="J8206" s="639">
        <f t="shared" si="262"/>
        <v>0</v>
      </c>
    </row>
    <row r="8207" spans="5:10" ht="15.75" hidden="1" thickBot="1">
      <c r="F8207" s="294" t="s">
        <v>242</v>
      </c>
      <c r="G8207" s="297" t="s">
        <v>243</v>
      </c>
      <c r="J8207" s="639">
        <f t="shared" si="262"/>
        <v>0</v>
      </c>
    </row>
    <row r="8208" spans="5:10" ht="15.75" hidden="1" thickBot="1">
      <c r="F8208" s="294" t="s">
        <v>244</v>
      </c>
      <c r="G8208" s="297" t="s">
        <v>245</v>
      </c>
      <c r="J8208" s="639">
        <f t="shared" si="262"/>
        <v>0</v>
      </c>
    </row>
    <row r="8209" spans="5:10" ht="15.75" hidden="1" thickBot="1">
      <c r="F8209" s="294" t="s">
        <v>246</v>
      </c>
      <c r="G8209" s="683" t="s">
        <v>5121</v>
      </c>
      <c r="J8209" s="639">
        <f t="shared" si="262"/>
        <v>0</v>
      </c>
    </row>
    <row r="8210" spans="5:10" ht="15.75" hidden="1" thickBot="1">
      <c r="F8210" s="294" t="s">
        <v>247</v>
      </c>
      <c r="G8210" s="683" t="s">
        <v>5120</v>
      </c>
      <c r="J8210" s="639">
        <f t="shared" si="262"/>
        <v>0</v>
      </c>
    </row>
    <row r="8211" spans="5:10" ht="15.75" hidden="1" thickBot="1">
      <c r="F8211" s="294" t="s">
        <v>248</v>
      </c>
      <c r="G8211" s="297" t="s">
        <v>57</v>
      </c>
      <c r="J8211" s="639">
        <f t="shared" si="262"/>
        <v>0</v>
      </c>
    </row>
    <row r="8212" spans="5:10" ht="15.75" hidden="1" thickBot="1">
      <c r="F8212" s="294" t="s">
        <v>249</v>
      </c>
      <c r="G8212" s="297" t="s">
        <v>250</v>
      </c>
      <c r="J8212" s="639">
        <f t="shared" si="262"/>
        <v>0</v>
      </c>
    </row>
    <row r="8213" spans="5:10" ht="15.75" hidden="1" thickBot="1">
      <c r="F8213" s="294" t="s">
        <v>251</v>
      </c>
      <c r="G8213" s="297" t="s">
        <v>252</v>
      </c>
      <c r="J8213" s="639">
        <f t="shared" si="262"/>
        <v>0</v>
      </c>
    </row>
    <row r="8214" spans="5:10" ht="15.75" hidden="1" thickBot="1">
      <c r="F8214" s="294" t="s">
        <v>253</v>
      </c>
      <c r="G8214" s="297" t="s">
        <v>254</v>
      </c>
      <c r="J8214" s="639">
        <f t="shared" si="262"/>
        <v>0</v>
      </c>
    </row>
    <row r="8215" spans="5:10" ht="15.75" hidden="1" thickBot="1">
      <c r="F8215" s="294" t="s">
        <v>255</v>
      </c>
      <c r="G8215" s="297" t="s">
        <v>256</v>
      </c>
      <c r="J8215" s="639">
        <f t="shared" si="262"/>
        <v>0</v>
      </c>
    </row>
    <row r="8216" spans="5:10" ht="15.75" hidden="1" thickBot="1">
      <c r="F8216" s="294" t="s">
        <v>257</v>
      </c>
      <c r="G8216" s="297" t="s">
        <v>258</v>
      </c>
      <c r="J8216" s="639">
        <f t="shared" si="262"/>
        <v>0</v>
      </c>
    </row>
    <row r="8217" spans="5:10" ht="15.75" hidden="1" thickBot="1">
      <c r="F8217" s="294" t="s">
        <v>259</v>
      </c>
      <c r="G8217" s="297" t="s">
        <v>260</v>
      </c>
      <c r="J8217" s="639">
        <f t="shared" si="262"/>
        <v>0</v>
      </c>
    </row>
    <row r="8218" spans="5:10" ht="15.75" hidden="1" thickBot="1">
      <c r="F8218" s="294" t="s">
        <v>261</v>
      </c>
      <c r="G8218" s="297" t="s">
        <v>262</v>
      </c>
      <c r="H8218" s="638"/>
      <c r="I8218" s="639"/>
      <c r="J8218" s="639">
        <f t="shared" si="262"/>
        <v>0</v>
      </c>
    </row>
    <row r="8219" spans="5:10" ht="15.75" hidden="1" thickBot="1">
      <c r="G8219" s="274" t="s">
        <v>4366</v>
      </c>
      <c r="H8219" s="640">
        <f>SUM(H8203:H8218)</f>
        <v>0</v>
      </c>
      <c r="I8219" s="641">
        <f>SUM(I8204:I8218)</f>
        <v>0</v>
      </c>
      <c r="J8219" s="641">
        <f>SUM(J8203:J8218)</f>
        <v>0</v>
      </c>
    </row>
    <row r="8220" spans="5:10" hidden="1" collapsed="1">
      <c r="E8220" s="419"/>
      <c r="F8220" s="426"/>
      <c r="G8220" s="276" t="s">
        <v>4417</v>
      </c>
      <c r="H8220" s="642"/>
      <c r="I8220" s="663"/>
      <c r="J8220" s="643"/>
    </row>
    <row r="8221" spans="5:10" ht="15.75" hidden="1" thickBot="1">
      <c r="E8221" s="267"/>
      <c r="F8221" s="294" t="s">
        <v>234</v>
      </c>
      <c r="G8221" s="297" t="s">
        <v>235</v>
      </c>
      <c r="H8221" s="638">
        <f>SUM(H8142:H8201)</f>
        <v>0</v>
      </c>
      <c r="I8221" s="639"/>
      <c r="J8221" s="639">
        <f>SUM(H8221:I8221)</f>
        <v>0</v>
      </c>
    </row>
    <row r="8222" spans="5:10" ht="15.75" hidden="1" thickBot="1">
      <c r="F8222" s="294" t="s">
        <v>236</v>
      </c>
      <c r="G8222" s="297" t="s">
        <v>237</v>
      </c>
      <c r="J8222" s="639">
        <f t="shared" ref="J8222:J8236" si="263">SUM(H8222:I8222)</f>
        <v>0</v>
      </c>
    </row>
    <row r="8223" spans="5:10" ht="15.75" hidden="1" thickBot="1">
      <c r="F8223" s="294" t="s">
        <v>238</v>
      </c>
      <c r="G8223" s="297" t="s">
        <v>239</v>
      </c>
      <c r="J8223" s="639">
        <f t="shared" si="263"/>
        <v>0</v>
      </c>
    </row>
    <row r="8224" spans="5:10" ht="15.75" hidden="1" thickBot="1">
      <c r="F8224" s="294" t="s">
        <v>240</v>
      </c>
      <c r="G8224" s="297" t="s">
        <v>241</v>
      </c>
      <c r="J8224" s="639">
        <f t="shared" si="263"/>
        <v>0</v>
      </c>
    </row>
    <row r="8225" spans="1:25" ht="15.75" hidden="1" thickBot="1">
      <c r="F8225" s="294" t="s">
        <v>242</v>
      </c>
      <c r="G8225" s="297" t="s">
        <v>243</v>
      </c>
      <c r="J8225" s="639">
        <f t="shared" si="263"/>
        <v>0</v>
      </c>
    </row>
    <row r="8226" spans="1:25" ht="15.75" hidden="1" thickBot="1">
      <c r="F8226" s="294" t="s">
        <v>244</v>
      </c>
      <c r="G8226" s="297" t="s">
        <v>245</v>
      </c>
      <c r="J8226" s="639">
        <f t="shared" si="263"/>
        <v>0</v>
      </c>
    </row>
    <row r="8227" spans="1:25" ht="15.75" hidden="1" thickBot="1">
      <c r="F8227" s="294" t="s">
        <v>246</v>
      </c>
      <c r="G8227" s="683" t="s">
        <v>5121</v>
      </c>
      <c r="J8227" s="639">
        <f t="shared" si="263"/>
        <v>0</v>
      </c>
    </row>
    <row r="8228" spans="1:25" ht="15.75" hidden="1" thickBot="1">
      <c r="F8228" s="294" t="s">
        <v>247</v>
      </c>
      <c r="G8228" s="683" t="s">
        <v>5120</v>
      </c>
      <c r="J8228" s="639">
        <f t="shared" si="263"/>
        <v>0</v>
      </c>
    </row>
    <row r="8229" spans="1:25" ht="15.75" hidden="1" thickBot="1">
      <c r="F8229" s="294" t="s">
        <v>248</v>
      </c>
      <c r="G8229" s="297" t="s">
        <v>57</v>
      </c>
      <c r="J8229" s="639">
        <f t="shared" si="263"/>
        <v>0</v>
      </c>
    </row>
    <row r="8230" spans="1:25" ht="15.75" hidden="1" thickBot="1">
      <c r="F8230" s="294" t="s">
        <v>249</v>
      </c>
      <c r="G8230" s="297" t="s">
        <v>250</v>
      </c>
      <c r="J8230" s="639">
        <f t="shared" si="263"/>
        <v>0</v>
      </c>
    </row>
    <row r="8231" spans="1:25" ht="15.75" hidden="1" thickBot="1">
      <c r="F8231" s="294" t="s">
        <v>251</v>
      </c>
      <c r="G8231" s="297" t="s">
        <v>252</v>
      </c>
      <c r="J8231" s="639">
        <f t="shared" si="263"/>
        <v>0</v>
      </c>
    </row>
    <row r="8232" spans="1:25" ht="15.75" hidden="1" thickBot="1">
      <c r="F8232" s="294" t="s">
        <v>253</v>
      </c>
      <c r="G8232" s="297" t="s">
        <v>254</v>
      </c>
      <c r="J8232" s="639">
        <f t="shared" si="263"/>
        <v>0</v>
      </c>
    </row>
    <row r="8233" spans="1:25" ht="15.75" hidden="1" thickBot="1">
      <c r="F8233" s="294" t="s">
        <v>255</v>
      </c>
      <c r="G8233" s="297" t="s">
        <v>256</v>
      </c>
      <c r="J8233" s="639">
        <f t="shared" si="263"/>
        <v>0</v>
      </c>
    </row>
    <row r="8234" spans="1:25" ht="15.75" hidden="1" thickBot="1">
      <c r="F8234" s="294" t="s">
        <v>257</v>
      </c>
      <c r="G8234" s="297" t="s">
        <v>258</v>
      </c>
      <c r="J8234" s="639">
        <f t="shared" si="263"/>
        <v>0</v>
      </c>
    </row>
    <row r="8235" spans="1:25" ht="15.75" hidden="1" thickBot="1">
      <c r="F8235" s="294" t="s">
        <v>259</v>
      </c>
      <c r="G8235" s="297" t="s">
        <v>260</v>
      </c>
      <c r="J8235" s="639">
        <f t="shared" si="263"/>
        <v>0</v>
      </c>
    </row>
    <row r="8236" spans="1:25" ht="15.75" hidden="1" thickBot="1">
      <c r="F8236" s="294" t="s">
        <v>261</v>
      </c>
      <c r="G8236" s="297" t="s">
        <v>262</v>
      </c>
      <c r="H8236" s="638"/>
      <c r="I8236" s="639"/>
      <c r="J8236" s="639">
        <f t="shared" si="263"/>
        <v>0</v>
      </c>
    </row>
    <row r="8237" spans="1:25" ht="15.75" hidden="1" collapsed="1" thickBot="1">
      <c r="G8237" s="274" t="s">
        <v>4418</v>
      </c>
      <c r="H8237" s="640">
        <f>SUM(H8221:H8236)</f>
        <v>0</v>
      </c>
      <c r="I8237" s="641">
        <f>SUM(I8222:I8236)</f>
        <v>0</v>
      </c>
      <c r="J8237" s="641">
        <f>SUM(J8221:J8236)</f>
        <v>0</v>
      </c>
    </row>
    <row r="8238" spans="1:25" hidden="1"/>
    <row r="8239" spans="1:25" s="88" customFormat="1" hidden="1">
      <c r="A8239" s="422"/>
      <c r="B8239" s="301"/>
      <c r="C8239" s="321" t="s">
        <v>4419</v>
      </c>
      <c r="D8239" s="264"/>
      <c r="E8239" s="264"/>
      <c r="F8239" s="322"/>
      <c r="G8239" s="323" t="s">
        <v>4310</v>
      </c>
      <c r="H8239" s="667"/>
      <c r="I8239" s="650"/>
      <c r="J8239" s="668"/>
      <c r="K8239" s="575"/>
      <c r="L8239" s="575"/>
      <c r="M8239" s="575"/>
      <c r="N8239" s="575"/>
      <c r="O8239" s="575"/>
      <c r="P8239" s="575"/>
      <c r="Q8239" s="575"/>
      <c r="R8239" s="575"/>
      <c r="S8239" s="575"/>
      <c r="T8239" s="575"/>
      <c r="U8239" s="575"/>
      <c r="V8239" s="575"/>
      <c r="W8239" s="575"/>
      <c r="X8239" s="575"/>
      <c r="Y8239" s="575"/>
    </row>
    <row r="8240" spans="1:25" ht="30" hidden="1">
      <c r="C8240" s="273"/>
      <c r="D8240" s="357">
        <v>660</v>
      </c>
      <c r="E8240" s="357"/>
      <c r="F8240" s="357"/>
      <c r="G8240" s="358" t="s">
        <v>186</v>
      </c>
    </row>
    <row r="8241" spans="6:10" hidden="1">
      <c r="F8241" s="425">
        <v>411</v>
      </c>
      <c r="G8241" s="420" t="s">
        <v>4173</v>
      </c>
      <c r="J8241" s="635">
        <f>SUM(H8241:I8241)</f>
        <v>0</v>
      </c>
    </row>
    <row r="8242" spans="6:10" hidden="1">
      <c r="F8242" s="425">
        <v>412</v>
      </c>
      <c r="G8242" s="418" t="s">
        <v>3770</v>
      </c>
      <c r="J8242" s="635">
        <f t="shared" ref="J8242:J8300" si="264">SUM(H8242:I8242)</f>
        <v>0</v>
      </c>
    </row>
    <row r="8243" spans="6:10" hidden="1">
      <c r="F8243" s="425">
        <v>413</v>
      </c>
      <c r="G8243" s="420" t="s">
        <v>4174</v>
      </c>
      <c r="J8243" s="635">
        <f t="shared" si="264"/>
        <v>0</v>
      </c>
    </row>
    <row r="8244" spans="6:10" hidden="1">
      <c r="F8244" s="425">
        <v>414</v>
      </c>
      <c r="G8244" s="420" t="s">
        <v>3773</v>
      </c>
      <c r="J8244" s="635">
        <f t="shared" si="264"/>
        <v>0</v>
      </c>
    </row>
    <row r="8245" spans="6:10" hidden="1">
      <c r="F8245" s="425">
        <v>415</v>
      </c>
      <c r="G8245" s="420" t="s">
        <v>4183</v>
      </c>
      <c r="J8245" s="635">
        <f t="shared" si="264"/>
        <v>0</v>
      </c>
    </row>
    <row r="8246" spans="6:10" hidden="1">
      <c r="F8246" s="425">
        <v>416</v>
      </c>
      <c r="G8246" s="420" t="s">
        <v>4184</v>
      </c>
      <c r="J8246" s="635">
        <f t="shared" si="264"/>
        <v>0</v>
      </c>
    </row>
    <row r="8247" spans="6:10" hidden="1">
      <c r="F8247" s="425">
        <v>417</v>
      </c>
      <c r="G8247" s="420" t="s">
        <v>4185</v>
      </c>
      <c r="J8247" s="635">
        <f t="shared" si="264"/>
        <v>0</v>
      </c>
    </row>
    <row r="8248" spans="6:10" hidden="1">
      <c r="F8248" s="425">
        <v>418</v>
      </c>
      <c r="G8248" s="420" t="s">
        <v>3779</v>
      </c>
      <c r="J8248" s="635">
        <f t="shared" si="264"/>
        <v>0</v>
      </c>
    </row>
    <row r="8249" spans="6:10" hidden="1">
      <c r="F8249" s="425">
        <v>421</v>
      </c>
      <c r="G8249" s="420" t="s">
        <v>3783</v>
      </c>
      <c r="J8249" s="635">
        <f t="shared" si="264"/>
        <v>0</v>
      </c>
    </row>
    <row r="8250" spans="6:10" hidden="1">
      <c r="F8250" s="425">
        <v>422</v>
      </c>
      <c r="G8250" s="420" t="s">
        <v>3784</v>
      </c>
      <c r="J8250" s="635">
        <f t="shared" si="264"/>
        <v>0</v>
      </c>
    </row>
    <row r="8251" spans="6:10" hidden="1">
      <c r="F8251" s="425">
        <v>423</v>
      </c>
      <c r="G8251" s="420" t="s">
        <v>3785</v>
      </c>
      <c r="J8251" s="635">
        <f t="shared" si="264"/>
        <v>0</v>
      </c>
    </row>
    <row r="8252" spans="6:10" hidden="1">
      <c r="F8252" s="425">
        <v>424</v>
      </c>
      <c r="G8252" s="420" t="s">
        <v>3787</v>
      </c>
      <c r="J8252" s="635">
        <f t="shared" si="264"/>
        <v>0</v>
      </c>
    </row>
    <row r="8253" spans="6:10" hidden="1">
      <c r="F8253" s="425">
        <v>425</v>
      </c>
      <c r="G8253" s="420" t="s">
        <v>4186</v>
      </c>
      <c r="J8253" s="635">
        <f t="shared" si="264"/>
        <v>0</v>
      </c>
    </row>
    <row r="8254" spans="6:10" hidden="1">
      <c r="F8254" s="425">
        <v>426</v>
      </c>
      <c r="G8254" s="420" t="s">
        <v>3791</v>
      </c>
      <c r="J8254" s="635">
        <f t="shared" si="264"/>
        <v>0</v>
      </c>
    </row>
    <row r="8255" spans="6:10" hidden="1">
      <c r="F8255" s="425">
        <v>431</v>
      </c>
      <c r="G8255" s="420" t="s">
        <v>4187</v>
      </c>
      <c r="J8255" s="635">
        <f t="shared" si="264"/>
        <v>0</v>
      </c>
    </row>
    <row r="8256" spans="6:10" hidden="1">
      <c r="F8256" s="425">
        <v>432</v>
      </c>
      <c r="G8256" s="420" t="s">
        <v>4188</v>
      </c>
      <c r="J8256" s="635">
        <f t="shared" si="264"/>
        <v>0</v>
      </c>
    </row>
    <row r="8257" spans="6:10" hidden="1">
      <c r="F8257" s="425">
        <v>433</v>
      </c>
      <c r="G8257" s="420" t="s">
        <v>4189</v>
      </c>
      <c r="J8257" s="635">
        <f t="shared" si="264"/>
        <v>0</v>
      </c>
    </row>
    <row r="8258" spans="6:10" hidden="1">
      <c r="F8258" s="425">
        <v>434</v>
      </c>
      <c r="G8258" s="420" t="s">
        <v>4190</v>
      </c>
      <c r="J8258" s="635">
        <f t="shared" si="264"/>
        <v>0</v>
      </c>
    </row>
    <row r="8259" spans="6:10" hidden="1">
      <c r="F8259" s="425">
        <v>435</v>
      </c>
      <c r="G8259" s="420" t="s">
        <v>3798</v>
      </c>
      <c r="J8259" s="635">
        <f t="shared" si="264"/>
        <v>0</v>
      </c>
    </row>
    <row r="8260" spans="6:10" hidden="1">
      <c r="F8260" s="425">
        <v>441</v>
      </c>
      <c r="G8260" s="420" t="s">
        <v>4191</v>
      </c>
      <c r="J8260" s="635">
        <f t="shared" si="264"/>
        <v>0</v>
      </c>
    </row>
    <row r="8261" spans="6:10" hidden="1">
      <c r="F8261" s="425">
        <v>442</v>
      </c>
      <c r="G8261" s="420" t="s">
        <v>4192</v>
      </c>
      <c r="J8261" s="635">
        <f t="shared" si="264"/>
        <v>0</v>
      </c>
    </row>
    <row r="8262" spans="6:10" hidden="1">
      <c r="F8262" s="425">
        <v>443</v>
      </c>
      <c r="G8262" s="420" t="s">
        <v>3803</v>
      </c>
      <c r="J8262" s="635">
        <f t="shared" si="264"/>
        <v>0</v>
      </c>
    </row>
    <row r="8263" spans="6:10" hidden="1">
      <c r="F8263" s="425">
        <v>444</v>
      </c>
      <c r="G8263" s="420" t="s">
        <v>3804</v>
      </c>
      <c r="J8263" s="635">
        <f t="shared" si="264"/>
        <v>0</v>
      </c>
    </row>
    <row r="8264" spans="6:10" ht="30" hidden="1">
      <c r="F8264" s="425">
        <v>4511</v>
      </c>
      <c r="G8264" s="268" t="s">
        <v>1690</v>
      </c>
      <c r="J8264" s="635">
        <f t="shared" si="264"/>
        <v>0</v>
      </c>
    </row>
    <row r="8265" spans="6:10" ht="19.5" hidden="1" customHeight="1">
      <c r="F8265" s="425">
        <v>4512</v>
      </c>
      <c r="G8265" s="268" t="s">
        <v>1699</v>
      </c>
      <c r="J8265" s="635">
        <f t="shared" si="264"/>
        <v>0</v>
      </c>
    </row>
    <row r="8266" spans="6:10" hidden="1">
      <c r="F8266" s="425">
        <v>452</v>
      </c>
      <c r="G8266" s="420" t="s">
        <v>4193</v>
      </c>
      <c r="J8266" s="635">
        <f t="shared" si="264"/>
        <v>0</v>
      </c>
    </row>
    <row r="8267" spans="6:10" hidden="1">
      <c r="F8267" s="425">
        <v>453</v>
      </c>
      <c r="G8267" s="420" t="s">
        <v>4194</v>
      </c>
      <c r="J8267" s="635">
        <f t="shared" si="264"/>
        <v>0</v>
      </c>
    </row>
    <row r="8268" spans="6:10" hidden="1">
      <c r="F8268" s="425">
        <v>454</v>
      </c>
      <c r="G8268" s="420" t="s">
        <v>3809</v>
      </c>
      <c r="J8268" s="635">
        <f t="shared" si="264"/>
        <v>0</v>
      </c>
    </row>
    <row r="8269" spans="6:10" hidden="1">
      <c r="F8269" s="425">
        <v>461</v>
      </c>
      <c r="G8269" s="420" t="s">
        <v>4175</v>
      </c>
      <c r="J8269" s="635">
        <f t="shared" si="264"/>
        <v>0</v>
      </c>
    </row>
    <row r="8270" spans="6:10" hidden="1">
      <c r="F8270" s="425">
        <v>462</v>
      </c>
      <c r="G8270" s="420" t="s">
        <v>3812</v>
      </c>
      <c r="J8270" s="635">
        <f t="shared" si="264"/>
        <v>0</v>
      </c>
    </row>
    <row r="8271" spans="6:10" hidden="1">
      <c r="F8271" s="425">
        <v>4631</v>
      </c>
      <c r="G8271" s="420" t="s">
        <v>3813</v>
      </c>
      <c r="J8271" s="635">
        <f t="shared" si="264"/>
        <v>0</v>
      </c>
    </row>
    <row r="8272" spans="6:10" hidden="1">
      <c r="F8272" s="425">
        <v>4632</v>
      </c>
      <c r="G8272" s="420" t="s">
        <v>3814</v>
      </c>
      <c r="J8272" s="635">
        <f t="shared" si="264"/>
        <v>0</v>
      </c>
    </row>
    <row r="8273" spans="6:10" hidden="1">
      <c r="F8273" s="425">
        <v>464</v>
      </c>
      <c r="G8273" s="420" t="s">
        <v>3815</v>
      </c>
      <c r="J8273" s="635">
        <f t="shared" si="264"/>
        <v>0</v>
      </c>
    </row>
    <row r="8274" spans="6:10" hidden="1">
      <c r="F8274" s="425">
        <v>465</v>
      </c>
      <c r="G8274" s="420" t="s">
        <v>4176</v>
      </c>
      <c r="J8274" s="635">
        <f t="shared" si="264"/>
        <v>0</v>
      </c>
    </row>
    <row r="8275" spans="6:10" hidden="1">
      <c r="F8275" s="425">
        <v>472</v>
      </c>
      <c r="G8275" s="420" t="s">
        <v>3819</v>
      </c>
      <c r="J8275" s="635">
        <f t="shared" si="264"/>
        <v>0</v>
      </c>
    </row>
    <row r="8276" spans="6:10" hidden="1">
      <c r="F8276" s="425">
        <v>481</v>
      </c>
      <c r="G8276" s="420" t="s">
        <v>4195</v>
      </c>
      <c r="J8276" s="635">
        <f t="shared" si="264"/>
        <v>0</v>
      </c>
    </row>
    <row r="8277" spans="6:10" hidden="1">
      <c r="F8277" s="425">
        <v>482</v>
      </c>
      <c r="G8277" s="420" t="s">
        <v>4196</v>
      </c>
      <c r="J8277" s="635">
        <f t="shared" si="264"/>
        <v>0</v>
      </c>
    </row>
    <row r="8278" spans="6:10" hidden="1">
      <c r="F8278" s="425">
        <v>483</v>
      </c>
      <c r="G8278" s="423" t="s">
        <v>4197</v>
      </c>
      <c r="J8278" s="635">
        <f t="shared" si="264"/>
        <v>0</v>
      </c>
    </row>
    <row r="8279" spans="6:10" ht="30" hidden="1">
      <c r="F8279" s="425">
        <v>484</v>
      </c>
      <c r="G8279" s="420" t="s">
        <v>4198</v>
      </c>
      <c r="J8279" s="635">
        <f t="shared" si="264"/>
        <v>0</v>
      </c>
    </row>
    <row r="8280" spans="6:10" ht="30" hidden="1">
      <c r="F8280" s="425">
        <v>485</v>
      </c>
      <c r="G8280" s="420" t="s">
        <v>4199</v>
      </c>
      <c r="J8280" s="635">
        <f t="shared" si="264"/>
        <v>0</v>
      </c>
    </row>
    <row r="8281" spans="6:10" ht="30" hidden="1">
      <c r="F8281" s="425">
        <v>489</v>
      </c>
      <c r="G8281" s="420" t="s">
        <v>3827</v>
      </c>
      <c r="J8281" s="635">
        <f t="shared" si="264"/>
        <v>0</v>
      </c>
    </row>
    <row r="8282" spans="6:10" hidden="1">
      <c r="F8282" s="425">
        <v>494</v>
      </c>
      <c r="G8282" s="420" t="s">
        <v>4177</v>
      </c>
      <c r="J8282" s="635">
        <f t="shared" si="264"/>
        <v>0</v>
      </c>
    </row>
    <row r="8283" spans="6:10" ht="30" hidden="1">
      <c r="F8283" s="425">
        <v>495</v>
      </c>
      <c r="G8283" s="420" t="s">
        <v>4178</v>
      </c>
      <c r="J8283" s="635">
        <f t="shared" si="264"/>
        <v>0</v>
      </c>
    </row>
    <row r="8284" spans="6:10" ht="30" hidden="1">
      <c r="F8284" s="425">
        <v>496</v>
      </c>
      <c r="G8284" s="420" t="s">
        <v>4179</v>
      </c>
      <c r="J8284" s="635">
        <f t="shared" si="264"/>
        <v>0</v>
      </c>
    </row>
    <row r="8285" spans="6:10" hidden="1">
      <c r="F8285" s="425">
        <v>499</v>
      </c>
      <c r="G8285" s="420" t="s">
        <v>4180</v>
      </c>
      <c r="J8285" s="635">
        <f t="shared" si="264"/>
        <v>0</v>
      </c>
    </row>
    <row r="8286" spans="6:10" hidden="1">
      <c r="F8286" s="425">
        <v>511</v>
      </c>
      <c r="G8286" s="423" t="s">
        <v>4200</v>
      </c>
      <c r="J8286" s="635">
        <f t="shared" si="264"/>
        <v>0</v>
      </c>
    </row>
    <row r="8287" spans="6:10" hidden="1">
      <c r="F8287" s="425">
        <v>512</v>
      </c>
      <c r="G8287" s="423" t="s">
        <v>4201</v>
      </c>
      <c r="J8287" s="635">
        <f t="shared" si="264"/>
        <v>0</v>
      </c>
    </row>
    <row r="8288" spans="6:10" hidden="1">
      <c r="F8288" s="425">
        <v>513</v>
      </c>
      <c r="G8288" s="423" t="s">
        <v>4202</v>
      </c>
      <c r="J8288" s="635">
        <f t="shared" si="264"/>
        <v>0</v>
      </c>
    </row>
    <row r="8289" spans="5:10" hidden="1">
      <c r="F8289" s="425">
        <v>514</v>
      </c>
      <c r="G8289" s="420" t="s">
        <v>4203</v>
      </c>
      <c r="J8289" s="635">
        <f t="shared" si="264"/>
        <v>0</v>
      </c>
    </row>
    <row r="8290" spans="5:10" hidden="1">
      <c r="F8290" s="425">
        <v>515</v>
      </c>
      <c r="G8290" s="420" t="s">
        <v>3838</v>
      </c>
      <c r="J8290" s="635">
        <f t="shared" si="264"/>
        <v>0</v>
      </c>
    </row>
    <row r="8291" spans="5:10" hidden="1">
      <c r="F8291" s="425">
        <v>521</v>
      </c>
      <c r="G8291" s="420" t="s">
        <v>4204</v>
      </c>
      <c r="J8291" s="635">
        <f t="shared" si="264"/>
        <v>0</v>
      </c>
    </row>
    <row r="8292" spans="5:10" hidden="1">
      <c r="F8292" s="425">
        <v>522</v>
      </c>
      <c r="G8292" s="420" t="s">
        <v>4205</v>
      </c>
      <c r="J8292" s="635">
        <f t="shared" si="264"/>
        <v>0</v>
      </c>
    </row>
    <row r="8293" spans="5:10" hidden="1">
      <c r="F8293" s="425">
        <v>523</v>
      </c>
      <c r="G8293" s="420" t="s">
        <v>3843</v>
      </c>
      <c r="J8293" s="635">
        <f t="shared" si="264"/>
        <v>0</v>
      </c>
    </row>
    <row r="8294" spans="5:10" hidden="1">
      <c r="F8294" s="425">
        <v>531</v>
      </c>
      <c r="G8294" s="418" t="s">
        <v>4181</v>
      </c>
      <c r="J8294" s="635">
        <f t="shared" si="264"/>
        <v>0</v>
      </c>
    </row>
    <row r="8295" spans="5:10" hidden="1">
      <c r="F8295" s="425">
        <v>541</v>
      </c>
      <c r="G8295" s="420" t="s">
        <v>4206</v>
      </c>
      <c r="J8295" s="635">
        <f t="shared" si="264"/>
        <v>0</v>
      </c>
    </row>
    <row r="8296" spans="5:10" hidden="1">
      <c r="F8296" s="425">
        <v>542</v>
      </c>
      <c r="G8296" s="420" t="s">
        <v>4207</v>
      </c>
      <c r="J8296" s="635">
        <f t="shared" si="264"/>
        <v>0</v>
      </c>
    </row>
    <row r="8297" spans="5:10" hidden="1">
      <c r="F8297" s="425">
        <v>543</v>
      </c>
      <c r="G8297" s="420" t="s">
        <v>3848</v>
      </c>
      <c r="J8297" s="635">
        <f t="shared" si="264"/>
        <v>0</v>
      </c>
    </row>
    <row r="8298" spans="5:10" ht="30" hidden="1">
      <c r="F8298" s="425">
        <v>551</v>
      </c>
      <c r="G8298" s="420" t="s">
        <v>4182</v>
      </c>
      <c r="J8298" s="635">
        <f t="shared" si="264"/>
        <v>0</v>
      </c>
    </row>
    <row r="8299" spans="5:10" hidden="1">
      <c r="F8299" s="426">
        <v>611</v>
      </c>
      <c r="G8299" s="424" t="s">
        <v>3854</v>
      </c>
      <c r="J8299" s="635">
        <f t="shared" si="264"/>
        <v>0</v>
      </c>
    </row>
    <row r="8300" spans="5:10" hidden="1">
      <c r="F8300" s="426">
        <v>620</v>
      </c>
      <c r="G8300" s="424" t="s">
        <v>88</v>
      </c>
      <c r="J8300" s="635">
        <f t="shared" si="264"/>
        <v>0</v>
      </c>
    </row>
    <row r="8301" spans="5:10" hidden="1">
      <c r="E8301" s="419"/>
      <c r="F8301" s="426"/>
      <c r="G8301" s="372" t="s">
        <v>4406</v>
      </c>
      <c r="H8301" s="636"/>
      <c r="I8301" s="662"/>
      <c r="J8301" s="637"/>
    </row>
    <row r="8302" spans="5:10" hidden="1">
      <c r="E8302" s="267"/>
      <c r="F8302" s="294" t="s">
        <v>234</v>
      </c>
      <c r="G8302" s="297" t="s">
        <v>235</v>
      </c>
      <c r="H8302" s="638">
        <f>SUM(H8241:H8300)</f>
        <v>0</v>
      </c>
      <c r="I8302" s="639"/>
      <c r="J8302" s="639">
        <f t="shared" ref="J8302:J8317" si="265">SUM(H8302:I8302)</f>
        <v>0</v>
      </c>
    </row>
    <row r="8303" spans="5:10" hidden="1">
      <c r="F8303" s="294" t="s">
        <v>236</v>
      </c>
      <c r="G8303" s="297" t="s">
        <v>237</v>
      </c>
      <c r="J8303" s="639">
        <f t="shared" si="265"/>
        <v>0</v>
      </c>
    </row>
    <row r="8304" spans="5:10" hidden="1">
      <c r="F8304" s="294" t="s">
        <v>238</v>
      </c>
      <c r="G8304" s="297" t="s">
        <v>239</v>
      </c>
      <c r="J8304" s="639">
        <f t="shared" si="265"/>
        <v>0</v>
      </c>
    </row>
    <row r="8305" spans="5:10" hidden="1">
      <c r="F8305" s="294" t="s">
        <v>240</v>
      </c>
      <c r="G8305" s="297" t="s">
        <v>241</v>
      </c>
      <c r="J8305" s="639">
        <f t="shared" si="265"/>
        <v>0</v>
      </c>
    </row>
    <row r="8306" spans="5:10" hidden="1">
      <c r="F8306" s="294" t="s">
        <v>242</v>
      </c>
      <c r="G8306" s="297" t="s">
        <v>243</v>
      </c>
      <c r="J8306" s="639">
        <f t="shared" si="265"/>
        <v>0</v>
      </c>
    </row>
    <row r="8307" spans="5:10" hidden="1">
      <c r="F8307" s="294" t="s">
        <v>244</v>
      </c>
      <c r="G8307" s="297" t="s">
        <v>245</v>
      </c>
      <c r="J8307" s="639">
        <f t="shared" si="265"/>
        <v>0</v>
      </c>
    </row>
    <row r="8308" spans="5:10" hidden="1">
      <c r="F8308" s="294" t="s">
        <v>246</v>
      </c>
      <c r="G8308" s="683" t="s">
        <v>5121</v>
      </c>
      <c r="J8308" s="639">
        <f t="shared" si="265"/>
        <v>0</v>
      </c>
    </row>
    <row r="8309" spans="5:10" hidden="1">
      <c r="F8309" s="294" t="s">
        <v>247</v>
      </c>
      <c r="G8309" s="683" t="s">
        <v>5120</v>
      </c>
      <c r="J8309" s="639">
        <f t="shared" si="265"/>
        <v>0</v>
      </c>
    </row>
    <row r="8310" spans="5:10" hidden="1">
      <c r="F8310" s="294" t="s">
        <v>248</v>
      </c>
      <c r="G8310" s="297" t="s">
        <v>57</v>
      </c>
      <c r="J8310" s="639">
        <f t="shared" si="265"/>
        <v>0</v>
      </c>
    </row>
    <row r="8311" spans="5:10" hidden="1">
      <c r="F8311" s="294" t="s">
        <v>249</v>
      </c>
      <c r="G8311" s="297" t="s">
        <v>250</v>
      </c>
      <c r="J8311" s="639">
        <f t="shared" si="265"/>
        <v>0</v>
      </c>
    </row>
    <row r="8312" spans="5:10" hidden="1">
      <c r="F8312" s="294" t="s">
        <v>251</v>
      </c>
      <c r="G8312" s="297" t="s">
        <v>252</v>
      </c>
      <c r="J8312" s="639">
        <f t="shared" si="265"/>
        <v>0</v>
      </c>
    </row>
    <row r="8313" spans="5:10" hidden="1">
      <c r="F8313" s="294" t="s">
        <v>253</v>
      </c>
      <c r="G8313" s="297" t="s">
        <v>254</v>
      </c>
      <c r="J8313" s="639">
        <f t="shared" si="265"/>
        <v>0</v>
      </c>
    </row>
    <row r="8314" spans="5:10" hidden="1">
      <c r="F8314" s="294" t="s">
        <v>255</v>
      </c>
      <c r="G8314" s="297" t="s">
        <v>256</v>
      </c>
      <c r="J8314" s="639">
        <f t="shared" si="265"/>
        <v>0</v>
      </c>
    </row>
    <row r="8315" spans="5:10" hidden="1">
      <c r="F8315" s="294" t="s">
        <v>257</v>
      </c>
      <c r="G8315" s="297" t="s">
        <v>258</v>
      </c>
      <c r="J8315" s="639">
        <f t="shared" si="265"/>
        <v>0</v>
      </c>
    </row>
    <row r="8316" spans="5:10" hidden="1">
      <c r="F8316" s="294" t="s">
        <v>259</v>
      </c>
      <c r="G8316" s="297" t="s">
        <v>260</v>
      </c>
      <c r="J8316" s="639">
        <f t="shared" si="265"/>
        <v>0</v>
      </c>
    </row>
    <row r="8317" spans="5:10" hidden="1">
      <c r="F8317" s="294" t="s">
        <v>261</v>
      </c>
      <c r="G8317" s="297" t="s">
        <v>262</v>
      </c>
      <c r="H8317" s="638"/>
      <c r="I8317" s="639"/>
      <c r="J8317" s="639">
        <f t="shared" si="265"/>
        <v>0</v>
      </c>
    </row>
    <row r="8318" spans="5:10" ht="15.75" hidden="1" thickBot="1">
      <c r="G8318" s="274" t="s">
        <v>4407</v>
      </c>
      <c r="H8318" s="640">
        <f>SUM(H8302:H8317)</f>
        <v>0</v>
      </c>
      <c r="I8318" s="641">
        <f>SUM(I8303:I8317)</f>
        <v>0</v>
      </c>
      <c r="J8318" s="641">
        <f>SUM(J8302:J8317)</f>
        <v>0</v>
      </c>
    </row>
    <row r="8319" spans="5:10" hidden="1" collapsed="1">
      <c r="E8319" s="419"/>
      <c r="F8319" s="426"/>
      <c r="G8319" s="276" t="s">
        <v>4423</v>
      </c>
      <c r="H8319" s="642"/>
      <c r="I8319" s="663"/>
      <c r="J8319" s="643"/>
    </row>
    <row r="8320" spans="5:10" hidden="1">
      <c r="E8320" s="267"/>
      <c r="F8320" s="294" t="s">
        <v>234</v>
      </c>
      <c r="G8320" s="297" t="s">
        <v>235</v>
      </c>
      <c r="H8320" s="638">
        <f>SUM(H8241:H8300)</f>
        <v>0</v>
      </c>
      <c r="I8320" s="639"/>
      <c r="J8320" s="639">
        <f>SUM(H8320:I8320)</f>
        <v>0</v>
      </c>
    </row>
    <row r="8321" spans="6:10" hidden="1">
      <c r="F8321" s="294" t="s">
        <v>236</v>
      </c>
      <c r="G8321" s="297" t="s">
        <v>237</v>
      </c>
      <c r="J8321" s="639">
        <f t="shared" ref="J8321:J8335" si="266">SUM(H8321:I8321)</f>
        <v>0</v>
      </c>
    </row>
    <row r="8322" spans="6:10" hidden="1">
      <c r="F8322" s="294" t="s">
        <v>238</v>
      </c>
      <c r="G8322" s="297" t="s">
        <v>239</v>
      </c>
      <c r="J8322" s="639">
        <f t="shared" si="266"/>
        <v>0</v>
      </c>
    </row>
    <row r="8323" spans="6:10" hidden="1">
      <c r="F8323" s="294" t="s">
        <v>240</v>
      </c>
      <c r="G8323" s="297" t="s">
        <v>241</v>
      </c>
      <c r="J8323" s="639">
        <f t="shared" si="266"/>
        <v>0</v>
      </c>
    </row>
    <row r="8324" spans="6:10" hidden="1">
      <c r="F8324" s="294" t="s">
        <v>242</v>
      </c>
      <c r="G8324" s="297" t="s">
        <v>243</v>
      </c>
      <c r="J8324" s="639">
        <f t="shared" si="266"/>
        <v>0</v>
      </c>
    </row>
    <row r="8325" spans="6:10" hidden="1">
      <c r="F8325" s="294" t="s">
        <v>244</v>
      </c>
      <c r="G8325" s="297" t="s">
        <v>245</v>
      </c>
      <c r="J8325" s="639">
        <f t="shared" si="266"/>
        <v>0</v>
      </c>
    </row>
    <row r="8326" spans="6:10" hidden="1">
      <c r="F8326" s="294" t="s">
        <v>246</v>
      </c>
      <c r="G8326" s="683" t="s">
        <v>5121</v>
      </c>
      <c r="J8326" s="639">
        <f t="shared" si="266"/>
        <v>0</v>
      </c>
    </row>
    <row r="8327" spans="6:10" hidden="1">
      <c r="F8327" s="294" t="s">
        <v>247</v>
      </c>
      <c r="G8327" s="683" t="s">
        <v>5120</v>
      </c>
      <c r="J8327" s="639">
        <f t="shared" si="266"/>
        <v>0</v>
      </c>
    </row>
    <row r="8328" spans="6:10" hidden="1">
      <c r="F8328" s="294" t="s">
        <v>248</v>
      </c>
      <c r="G8328" s="297" t="s">
        <v>57</v>
      </c>
      <c r="J8328" s="639">
        <f t="shared" si="266"/>
        <v>0</v>
      </c>
    </row>
    <row r="8329" spans="6:10" hidden="1">
      <c r="F8329" s="294" t="s">
        <v>249</v>
      </c>
      <c r="G8329" s="297" t="s">
        <v>250</v>
      </c>
      <c r="J8329" s="639">
        <f t="shared" si="266"/>
        <v>0</v>
      </c>
    </row>
    <row r="8330" spans="6:10" hidden="1">
      <c r="F8330" s="294" t="s">
        <v>251</v>
      </c>
      <c r="G8330" s="297" t="s">
        <v>252</v>
      </c>
      <c r="J8330" s="639">
        <f t="shared" si="266"/>
        <v>0</v>
      </c>
    </row>
    <row r="8331" spans="6:10" hidden="1">
      <c r="F8331" s="294" t="s">
        <v>253</v>
      </c>
      <c r="G8331" s="297" t="s">
        <v>254</v>
      </c>
      <c r="J8331" s="639">
        <f t="shared" si="266"/>
        <v>0</v>
      </c>
    </row>
    <row r="8332" spans="6:10" hidden="1">
      <c r="F8332" s="294" t="s">
        <v>255</v>
      </c>
      <c r="G8332" s="297" t="s">
        <v>256</v>
      </c>
      <c r="J8332" s="639">
        <f t="shared" si="266"/>
        <v>0</v>
      </c>
    </row>
    <row r="8333" spans="6:10" hidden="1">
      <c r="F8333" s="294" t="s">
        <v>257</v>
      </c>
      <c r="G8333" s="297" t="s">
        <v>258</v>
      </c>
      <c r="J8333" s="639">
        <f t="shared" si="266"/>
        <v>0</v>
      </c>
    </row>
    <row r="8334" spans="6:10" hidden="1">
      <c r="F8334" s="294" t="s">
        <v>259</v>
      </c>
      <c r="G8334" s="297" t="s">
        <v>260</v>
      </c>
      <c r="J8334" s="639">
        <f t="shared" si="266"/>
        <v>0</v>
      </c>
    </row>
    <row r="8335" spans="6:10" hidden="1">
      <c r="F8335" s="294" t="s">
        <v>261</v>
      </c>
      <c r="G8335" s="297" t="s">
        <v>262</v>
      </c>
      <c r="H8335" s="638"/>
      <c r="I8335" s="639"/>
      <c r="J8335" s="639">
        <f t="shared" si="266"/>
        <v>0</v>
      </c>
    </row>
    <row r="8336" spans="6:10" ht="15.75" hidden="1" collapsed="1" thickBot="1">
      <c r="G8336" s="274" t="s">
        <v>4424</v>
      </c>
      <c r="H8336" s="640">
        <f>SUM(H8320:H8335)</f>
        <v>0</v>
      </c>
      <c r="I8336" s="641">
        <f>SUM(I8321:I8335)</f>
        <v>0</v>
      </c>
      <c r="J8336" s="641">
        <f>SUM(J8320:J8335)</f>
        <v>0</v>
      </c>
    </row>
    <row r="8337" spans="1:25" hidden="1"/>
    <row r="8338" spans="1:25" s="88" customFormat="1" hidden="1">
      <c r="K8338" s="575"/>
      <c r="L8338" s="575"/>
      <c r="M8338" s="575"/>
      <c r="N8338" s="575"/>
      <c r="O8338" s="575"/>
      <c r="P8338" s="575"/>
      <c r="Q8338" s="575"/>
      <c r="R8338" s="575"/>
      <c r="S8338" s="575"/>
      <c r="T8338" s="575"/>
      <c r="U8338" s="575"/>
      <c r="V8338" s="575"/>
      <c r="W8338" s="575"/>
      <c r="X8338" s="575"/>
      <c r="Y8338" s="575"/>
    </row>
    <row r="8339" spans="1:25" hidden="1">
      <c r="A8339" s="84"/>
      <c r="B8339" s="84"/>
      <c r="C8339" s="84"/>
      <c r="D8339" s="84"/>
      <c r="E8339" s="84"/>
      <c r="F8339" s="84"/>
      <c r="G8339" s="84"/>
      <c r="H8339" s="84"/>
      <c r="I8339" s="84"/>
      <c r="J8339" s="84"/>
    </row>
    <row r="8340" spans="1:25" hidden="1">
      <c r="A8340" s="84"/>
      <c r="B8340" s="84"/>
      <c r="C8340" s="84"/>
      <c r="D8340" s="84"/>
      <c r="E8340" s="84"/>
      <c r="F8340" s="84"/>
      <c r="G8340" s="84"/>
      <c r="H8340" s="84"/>
      <c r="I8340" s="84"/>
      <c r="J8340" s="84"/>
    </row>
    <row r="8341" spans="1:25" hidden="1">
      <c r="A8341" s="84"/>
      <c r="B8341" s="84"/>
      <c r="C8341" s="84"/>
      <c r="D8341" s="84"/>
      <c r="E8341" s="84"/>
      <c r="F8341" s="84"/>
      <c r="G8341" s="84"/>
      <c r="H8341" s="84"/>
      <c r="I8341" s="84"/>
      <c r="J8341" s="84"/>
    </row>
    <row r="8342" spans="1:25" hidden="1">
      <c r="A8342" s="84"/>
      <c r="B8342" s="84"/>
      <c r="C8342" s="84"/>
      <c r="D8342" s="84"/>
      <c r="E8342" s="84"/>
      <c r="F8342" s="84"/>
      <c r="G8342" s="84"/>
      <c r="H8342" s="84"/>
      <c r="I8342" s="84"/>
      <c r="J8342" s="84"/>
    </row>
    <row r="8343" spans="1:25" hidden="1">
      <c r="A8343" s="84"/>
      <c r="B8343" s="84"/>
      <c r="C8343" s="84"/>
      <c r="D8343" s="84"/>
      <c r="E8343" s="84"/>
      <c r="F8343" s="84"/>
      <c r="G8343" s="84"/>
      <c r="H8343" s="84"/>
      <c r="I8343" s="84"/>
      <c r="J8343" s="84"/>
    </row>
    <row r="8344" spans="1:25" hidden="1">
      <c r="A8344" s="84"/>
      <c r="B8344" s="84"/>
      <c r="C8344" s="84"/>
      <c r="D8344" s="84"/>
      <c r="E8344" s="84"/>
      <c r="F8344" s="84"/>
      <c r="G8344" s="84"/>
      <c r="H8344" s="84"/>
      <c r="I8344" s="84"/>
      <c r="J8344" s="84"/>
    </row>
    <row r="8345" spans="1:25" hidden="1">
      <c r="A8345" s="84"/>
      <c r="B8345" s="84"/>
      <c r="C8345" s="84"/>
      <c r="D8345" s="84"/>
      <c r="E8345" s="84"/>
      <c r="F8345" s="84"/>
      <c r="G8345" s="84"/>
      <c r="H8345" s="84"/>
      <c r="I8345" s="84"/>
      <c r="J8345" s="84"/>
    </row>
    <row r="8346" spans="1:25" hidden="1">
      <c r="A8346" s="84"/>
      <c r="B8346" s="84"/>
      <c r="C8346" s="84"/>
      <c r="D8346" s="84"/>
      <c r="E8346" s="84"/>
      <c r="F8346" s="84"/>
      <c r="G8346" s="84"/>
      <c r="H8346" s="84"/>
      <c r="I8346" s="84"/>
      <c r="J8346" s="84"/>
    </row>
    <row r="8347" spans="1:25" hidden="1">
      <c r="A8347" s="84"/>
      <c r="B8347" s="84"/>
      <c r="C8347" s="84"/>
      <c r="D8347" s="84"/>
      <c r="E8347" s="84"/>
      <c r="F8347" s="84"/>
      <c r="G8347" s="84"/>
      <c r="H8347" s="84"/>
      <c r="I8347" s="84"/>
      <c r="J8347" s="84"/>
    </row>
    <row r="8348" spans="1:25" hidden="1">
      <c r="A8348" s="84"/>
      <c r="B8348" s="84"/>
      <c r="C8348" s="84"/>
      <c r="D8348" s="84"/>
      <c r="E8348" s="84"/>
      <c r="F8348" s="84"/>
      <c r="G8348" s="84"/>
      <c r="H8348" s="84"/>
      <c r="I8348" s="84"/>
      <c r="J8348" s="84"/>
    </row>
    <row r="8349" spans="1:25" hidden="1">
      <c r="A8349" s="84"/>
      <c r="B8349" s="84"/>
      <c r="C8349" s="84"/>
      <c r="D8349" s="84"/>
      <c r="E8349" s="84"/>
      <c r="F8349" s="84"/>
      <c r="G8349" s="84"/>
      <c r="H8349" s="84"/>
      <c r="I8349" s="84"/>
      <c r="J8349" s="84"/>
    </row>
    <row r="8350" spans="1:25" hidden="1">
      <c r="A8350" s="84"/>
      <c r="B8350" s="84"/>
      <c r="C8350" s="84"/>
      <c r="D8350" s="84"/>
      <c r="E8350" s="84"/>
      <c r="F8350" s="84"/>
      <c r="G8350" s="84"/>
      <c r="H8350" s="84"/>
      <c r="I8350" s="84"/>
      <c r="J8350" s="84"/>
    </row>
    <row r="8351" spans="1:25" hidden="1">
      <c r="A8351" s="84"/>
      <c r="B8351" s="84"/>
      <c r="C8351" s="84"/>
      <c r="D8351" s="84"/>
      <c r="E8351" s="84"/>
      <c r="F8351" s="84"/>
      <c r="G8351" s="84"/>
      <c r="H8351" s="84"/>
      <c r="I8351" s="84"/>
      <c r="J8351" s="84"/>
    </row>
    <row r="8352" spans="1:25" hidden="1">
      <c r="A8352" s="84"/>
      <c r="B8352" s="84"/>
      <c r="C8352" s="84"/>
      <c r="D8352" s="84"/>
      <c r="E8352" s="84"/>
      <c r="F8352" s="84"/>
      <c r="G8352" s="84"/>
      <c r="H8352" s="84"/>
      <c r="I8352" s="84"/>
      <c r="J8352" s="84"/>
    </row>
    <row r="8353" spans="1:10" hidden="1">
      <c r="A8353" s="84"/>
      <c r="B8353" s="84"/>
      <c r="C8353" s="84"/>
      <c r="D8353" s="84"/>
      <c r="E8353" s="84"/>
      <c r="F8353" s="84"/>
      <c r="G8353" s="84"/>
      <c r="H8353" s="84"/>
      <c r="I8353" s="84"/>
      <c r="J8353" s="84"/>
    </row>
    <row r="8354" spans="1:10" hidden="1">
      <c r="A8354" s="84"/>
      <c r="B8354" s="84"/>
      <c r="C8354" s="84"/>
      <c r="D8354" s="84"/>
      <c r="E8354" s="84"/>
      <c r="F8354" s="84"/>
      <c r="G8354" s="84"/>
      <c r="H8354" s="84"/>
      <c r="I8354" s="84"/>
      <c r="J8354" s="84"/>
    </row>
    <row r="8355" spans="1:10" hidden="1">
      <c r="A8355" s="84"/>
      <c r="B8355" s="84"/>
      <c r="C8355" s="84"/>
      <c r="D8355" s="84"/>
      <c r="E8355" s="84"/>
      <c r="F8355" s="84"/>
      <c r="G8355" s="84"/>
      <c r="H8355" s="84"/>
      <c r="I8355" s="84"/>
      <c r="J8355" s="84"/>
    </row>
    <row r="8356" spans="1:10" hidden="1">
      <c r="A8356" s="84"/>
      <c r="B8356" s="84"/>
      <c r="C8356" s="84"/>
      <c r="D8356" s="84"/>
      <c r="E8356" s="84"/>
      <c r="F8356" s="84"/>
      <c r="G8356" s="84"/>
      <c r="H8356" s="84"/>
      <c r="I8356" s="84"/>
      <c r="J8356" s="84"/>
    </row>
    <row r="8357" spans="1:10" hidden="1">
      <c r="A8357" s="84"/>
      <c r="B8357" s="84"/>
      <c r="C8357" s="84"/>
      <c r="D8357" s="84"/>
      <c r="E8357" s="84"/>
      <c r="F8357" s="84"/>
      <c r="G8357" s="84"/>
      <c r="H8357" s="84"/>
      <c r="I8357" s="84"/>
      <c r="J8357" s="84"/>
    </row>
    <row r="8358" spans="1:10" hidden="1">
      <c r="A8358" s="84"/>
      <c r="B8358" s="84"/>
      <c r="C8358" s="84"/>
      <c r="D8358" s="84"/>
      <c r="E8358" s="84"/>
      <c r="F8358" s="84"/>
      <c r="G8358" s="84"/>
      <c r="H8358" s="84"/>
      <c r="I8358" s="84"/>
      <c r="J8358" s="84"/>
    </row>
    <row r="8359" spans="1:10" hidden="1">
      <c r="A8359" s="84"/>
      <c r="B8359" s="84"/>
      <c r="C8359" s="84"/>
      <c r="D8359" s="84"/>
      <c r="E8359" s="84"/>
      <c r="F8359" s="84"/>
      <c r="G8359" s="84"/>
      <c r="H8359" s="84"/>
      <c r="I8359" s="84"/>
      <c r="J8359" s="84"/>
    </row>
    <row r="8360" spans="1:10" hidden="1">
      <c r="A8360" s="84"/>
      <c r="B8360" s="84"/>
      <c r="C8360" s="84"/>
      <c r="D8360" s="84"/>
      <c r="E8360" s="84"/>
      <c r="F8360" s="84"/>
      <c r="G8360" s="84"/>
      <c r="H8360" s="84"/>
      <c r="I8360" s="84"/>
      <c r="J8360" s="84"/>
    </row>
    <row r="8361" spans="1:10" hidden="1">
      <c r="A8361" s="84"/>
      <c r="B8361" s="84"/>
      <c r="C8361" s="84"/>
      <c r="D8361" s="84"/>
      <c r="E8361" s="84"/>
      <c r="F8361" s="84"/>
      <c r="G8361" s="84"/>
      <c r="H8361" s="84"/>
      <c r="I8361" s="84"/>
      <c r="J8361" s="84"/>
    </row>
    <row r="8362" spans="1:10" hidden="1">
      <c r="A8362" s="84"/>
      <c r="B8362" s="84"/>
      <c r="C8362" s="84"/>
      <c r="D8362" s="84"/>
      <c r="E8362" s="84"/>
      <c r="F8362" s="84"/>
      <c r="G8362" s="84"/>
      <c r="H8362" s="84"/>
      <c r="I8362" s="84"/>
      <c r="J8362" s="84"/>
    </row>
    <row r="8363" spans="1:10" hidden="1">
      <c r="A8363" s="84"/>
      <c r="B8363" s="84"/>
      <c r="C8363" s="84"/>
      <c r="D8363" s="84"/>
      <c r="E8363" s="84"/>
      <c r="F8363" s="84"/>
      <c r="G8363" s="84"/>
      <c r="H8363" s="84"/>
      <c r="I8363" s="84"/>
      <c r="J8363" s="84"/>
    </row>
    <row r="8364" spans="1:10" ht="19.5" hidden="1" customHeight="1">
      <c r="A8364" s="84"/>
      <c r="B8364" s="84"/>
      <c r="C8364" s="84"/>
      <c r="D8364" s="84"/>
      <c r="E8364" s="84"/>
      <c r="F8364" s="84"/>
      <c r="G8364" s="84"/>
      <c r="H8364" s="84"/>
      <c r="I8364" s="84"/>
      <c r="J8364" s="84"/>
    </row>
    <row r="8365" spans="1:10" hidden="1">
      <c r="A8365" s="84"/>
      <c r="B8365" s="84"/>
      <c r="C8365" s="84"/>
      <c r="D8365" s="84"/>
      <c r="E8365" s="84"/>
      <c r="F8365" s="84"/>
      <c r="G8365" s="84"/>
      <c r="H8365" s="84"/>
      <c r="I8365" s="84"/>
      <c r="J8365" s="84"/>
    </row>
    <row r="8366" spans="1:10" hidden="1">
      <c r="A8366" s="84"/>
      <c r="B8366" s="84"/>
      <c r="C8366" s="84"/>
      <c r="D8366" s="84"/>
      <c r="E8366" s="84"/>
      <c r="F8366" s="84"/>
      <c r="G8366" s="84"/>
      <c r="H8366" s="84"/>
      <c r="I8366" s="84"/>
      <c r="J8366" s="84"/>
    </row>
    <row r="8367" spans="1:10" hidden="1">
      <c r="A8367" s="84"/>
      <c r="B8367" s="84"/>
      <c r="C8367" s="84"/>
      <c r="D8367" s="84"/>
      <c r="E8367" s="84"/>
      <c r="F8367" s="84"/>
      <c r="G8367" s="84"/>
      <c r="H8367" s="84"/>
      <c r="I8367" s="84"/>
      <c r="J8367" s="84"/>
    </row>
    <row r="8368" spans="1:10" hidden="1">
      <c r="A8368" s="84"/>
      <c r="B8368" s="84"/>
      <c r="C8368" s="84"/>
      <c r="D8368" s="84"/>
      <c r="E8368" s="84"/>
      <c r="F8368" s="84"/>
      <c r="G8368" s="84"/>
      <c r="H8368" s="84"/>
      <c r="I8368" s="84"/>
      <c r="J8368" s="84"/>
    </row>
    <row r="8369" spans="1:10" hidden="1">
      <c r="A8369" s="84"/>
      <c r="B8369" s="84"/>
      <c r="C8369" s="84"/>
      <c r="D8369" s="84"/>
      <c r="E8369" s="84"/>
      <c r="F8369" s="84"/>
      <c r="G8369" s="84"/>
      <c r="H8369" s="84"/>
      <c r="I8369" s="84"/>
      <c r="J8369" s="84"/>
    </row>
    <row r="8370" spans="1:10" hidden="1">
      <c r="A8370" s="84"/>
      <c r="B8370" s="84"/>
      <c r="C8370" s="84"/>
      <c r="D8370" s="84"/>
      <c r="E8370" s="84"/>
      <c r="F8370" s="84"/>
      <c r="G8370" s="84"/>
      <c r="H8370" s="84"/>
      <c r="I8370" s="84"/>
      <c r="J8370" s="84"/>
    </row>
    <row r="8371" spans="1:10" hidden="1">
      <c r="A8371" s="84"/>
      <c r="B8371" s="84"/>
      <c r="C8371" s="84"/>
      <c r="D8371" s="84"/>
      <c r="E8371" s="84"/>
      <c r="F8371" s="84"/>
      <c r="G8371" s="84"/>
      <c r="H8371" s="84"/>
      <c r="I8371" s="84"/>
      <c r="J8371" s="84"/>
    </row>
    <row r="8372" spans="1:10" hidden="1">
      <c r="A8372" s="84"/>
      <c r="B8372" s="84"/>
      <c r="C8372" s="84"/>
      <c r="D8372" s="84"/>
      <c r="E8372" s="84"/>
      <c r="F8372" s="84"/>
      <c r="G8372" s="84"/>
      <c r="H8372" s="84"/>
      <c r="I8372" s="84"/>
      <c r="J8372" s="84"/>
    </row>
    <row r="8373" spans="1:10" hidden="1">
      <c r="A8373" s="84"/>
      <c r="B8373" s="84"/>
      <c r="C8373" s="84"/>
      <c r="D8373" s="84"/>
      <c r="E8373" s="84"/>
      <c r="F8373" s="84"/>
      <c r="G8373" s="84"/>
      <c r="H8373" s="84"/>
      <c r="I8373" s="84"/>
      <c r="J8373" s="84"/>
    </row>
    <row r="8374" spans="1:10" hidden="1">
      <c r="A8374" s="84"/>
      <c r="B8374" s="84"/>
      <c r="C8374" s="84"/>
      <c r="D8374" s="84"/>
      <c r="E8374" s="84"/>
      <c r="F8374" s="84"/>
      <c r="G8374" s="84"/>
      <c r="H8374" s="84"/>
      <c r="I8374" s="84"/>
      <c r="J8374" s="84"/>
    </row>
    <row r="8375" spans="1:10" hidden="1">
      <c r="A8375" s="84"/>
      <c r="B8375" s="84"/>
      <c r="C8375" s="84"/>
      <c r="D8375" s="84"/>
      <c r="E8375" s="84"/>
      <c r="F8375" s="84"/>
      <c r="G8375" s="84"/>
      <c r="H8375" s="84"/>
      <c r="I8375" s="84"/>
      <c r="J8375" s="84"/>
    </row>
    <row r="8376" spans="1:10" hidden="1">
      <c r="A8376" s="84"/>
      <c r="B8376" s="84"/>
      <c r="C8376" s="84"/>
      <c r="D8376" s="84"/>
      <c r="E8376" s="84"/>
      <c r="F8376" s="84"/>
      <c r="G8376" s="84"/>
      <c r="H8376" s="84"/>
      <c r="I8376" s="84"/>
      <c r="J8376" s="84"/>
    </row>
    <row r="8377" spans="1:10" hidden="1">
      <c r="A8377" s="84"/>
      <c r="B8377" s="84"/>
      <c r="C8377" s="84"/>
      <c r="D8377" s="84"/>
      <c r="E8377" s="84"/>
      <c r="F8377" s="84"/>
      <c r="G8377" s="84"/>
      <c r="H8377" s="84"/>
      <c r="I8377" s="84"/>
      <c r="J8377" s="84"/>
    </row>
    <row r="8378" spans="1:10" hidden="1">
      <c r="A8378" s="84"/>
      <c r="B8378" s="84"/>
      <c r="C8378" s="84"/>
      <c r="D8378" s="84"/>
      <c r="E8378" s="84"/>
      <c r="F8378" s="84"/>
      <c r="G8378" s="84"/>
      <c r="H8378" s="84"/>
      <c r="I8378" s="84"/>
      <c r="J8378" s="84"/>
    </row>
    <row r="8379" spans="1:10" hidden="1">
      <c r="A8379" s="84"/>
      <c r="B8379" s="84"/>
      <c r="C8379" s="84"/>
      <c r="D8379" s="84"/>
      <c r="E8379" s="84"/>
      <c r="F8379" s="84"/>
      <c r="G8379" s="84"/>
      <c r="H8379" s="84"/>
      <c r="I8379" s="84"/>
      <c r="J8379" s="84"/>
    </row>
    <row r="8380" spans="1:10" hidden="1">
      <c r="A8380" s="84"/>
      <c r="B8380" s="84"/>
      <c r="C8380" s="84"/>
      <c r="D8380" s="84"/>
      <c r="E8380" s="84"/>
      <c r="F8380" s="84"/>
      <c r="G8380" s="84"/>
      <c r="H8380" s="84"/>
      <c r="I8380" s="84"/>
      <c r="J8380" s="84"/>
    </row>
    <row r="8381" spans="1:10" hidden="1">
      <c r="A8381" s="84"/>
      <c r="B8381" s="84"/>
      <c r="C8381" s="84"/>
      <c r="D8381" s="84"/>
      <c r="E8381" s="84"/>
      <c r="F8381" s="84"/>
      <c r="G8381" s="84"/>
      <c r="H8381" s="84"/>
      <c r="I8381" s="84"/>
      <c r="J8381" s="84"/>
    </row>
    <row r="8382" spans="1:10" hidden="1">
      <c r="A8382" s="84"/>
      <c r="B8382" s="84"/>
      <c r="C8382" s="84"/>
      <c r="D8382" s="84"/>
      <c r="E8382" s="84"/>
      <c r="F8382" s="84"/>
      <c r="G8382" s="84"/>
      <c r="H8382" s="84"/>
      <c r="I8382" s="84"/>
      <c r="J8382" s="84"/>
    </row>
    <row r="8383" spans="1:10" hidden="1">
      <c r="A8383" s="84"/>
      <c r="B8383" s="84"/>
      <c r="C8383" s="84"/>
      <c r="D8383" s="84"/>
      <c r="E8383" s="84"/>
      <c r="F8383" s="84"/>
      <c r="G8383" s="84"/>
      <c r="H8383" s="84"/>
      <c r="I8383" s="84"/>
      <c r="J8383" s="84"/>
    </row>
    <row r="8384" spans="1:10" hidden="1">
      <c r="A8384" s="84"/>
      <c r="B8384" s="84"/>
      <c r="C8384" s="84"/>
      <c r="D8384" s="84"/>
      <c r="E8384" s="84"/>
      <c r="F8384" s="84"/>
      <c r="G8384" s="84"/>
      <c r="H8384" s="84"/>
      <c r="I8384" s="84"/>
      <c r="J8384" s="84"/>
    </row>
    <row r="8385" spans="1:10" hidden="1">
      <c r="A8385" s="84"/>
      <c r="B8385" s="84"/>
      <c r="C8385" s="84"/>
      <c r="D8385" s="84"/>
      <c r="E8385" s="84"/>
      <c r="F8385" s="84"/>
      <c r="G8385" s="84"/>
      <c r="H8385" s="84"/>
      <c r="I8385" s="84"/>
      <c r="J8385" s="84"/>
    </row>
    <row r="8386" spans="1:10" hidden="1">
      <c r="A8386" s="84"/>
      <c r="B8386" s="84"/>
      <c r="C8386" s="84"/>
      <c r="D8386" s="84"/>
      <c r="E8386" s="84"/>
      <c r="F8386" s="84"/>
      <c r="G8386" s="84"/>
      <c r="H8386" s="84"/>
      <c r="I8386" s="84"/>
      <c r="J8386" s="84"/>
    </row>
    <row r="8387" spans="1:10" hidden="1">
      <c r="A8387" s="84"/>
      <c r="B8387" s="84"/>
      <c r="C8387" s="84"/>
      <c r="D8387" s="84"/>
      <c r="E8387" s="84"/>
      <c r="F8387" s="84"/>
      <c r="G8387" s="84"/>
      <c r="H8387" s="84"/>
      <c r="I8387" s="84"/>
      <c r="J8387" s="84"/>
    </row>
    <row r="8388" spans="1:10" hidden="1">
      <c r="A8388" s="84"/>
      <c r="B8388" s="84"/>
      <c r="C8388" s="84"/>
      <c r="D8388" s="84"/>
      <c r="E8388" s="84"/>
      <c r="F8388" s="84"/>
      <c r="G8388" s="84"/>
      <c r="H8388" s="84"/>
      <c r="I8388" s="84"/>
      <c r="J8388" s="84"/>
    </row>
    <row r="8389" spans="1:10" hidden="1">
      <c r="A8389" s="84"/>
      <c r="B8389" s="84"/>
      <c r="C8389" s="84"/>
      <c r="D8389" s="84"/>
      <c r="E8389" s="84"/>
      <c r="F8389" s="84"/>
      <c r="G8389" s="84"/>
      <c r="H8389" s="84"/>
      <c r="I8389" s="84"/>
      <c r="J8389" s="84"/>
    </row>
    <row r="8390" spans="1:10" hidden="1">
      <c r="A8390" s="84"/>
      <c r="B8390" s="84"/>
      <c r="C8390" s="84"/>
      <c r="D8390" s="84"/>
      <c r="E8390" s="84"/>
      <c r="F8390" s="84"/>
      <c r="G8390" s="84"/>
      <c r="H8390" s="84"/>
      <c r="I8390" s="84"/>
      <c r="J8390" s="84"/>
    </row>
    <row r="8391" spans="1:10" hidden="1">
      <c r="A8391" s="84"/>
      <c r="B8391" s="84"/>
      <c r="C8391" s="84"/>
      <c r="D8391" s="84"/>
      <c r="E8391" s="84"/>
      <c r="F8391" s="84"/>
      <c r="G8391" s="84"/>
      <c r="H8391" s="84"/>
      <c r="I8391" s="84"/>
      <c r="J8391" s="84"/>
    </row>
    <row r="8392" spans="1:10" hidden="1">
      <c r="A8392" s="84"/>
      <c r="B8392" s="84"/>
      <c r="C8392" s="84"/>
      <c r="D8392" s="84"/>
      <c r="E8392" s="84"/>
      <c r="F8392" s="84"/>
      <c r="G8392" s="84"/>
      <c r="H8392" s="84"/>
      <c r="I8392" s="84"/>
      <c r="J8392" s="84"/>
    </row>
    <row r="8393" spans="1:10" hidden="1">
      <c r="A8393" s="84"/>
      <c r="B8393" s="84"/>
      <c r="C8393" s="84"/>
      <c r="D8393" s="84"/>
      <c r="E8393" s="84"/>
      <c r="F8393" s="84"/>
      <c r="G8393" s="84"/>
      <c r="H8393" s="84"/>
      <c r="I8393" s="84"/>
      <c r="J8393" s="84"/>
    </row>
    <row r="8394" spans="1:10" hidden="1">
      <c r="A8394" s="84"/>
      <c r="B8394" s="84"/>
      <c r="C8394" s="84"/>
      <c r="D8394" s="84"/>
      <c r="E8394" s="84"/>
      <c r="F8394" s="84"/>
      <c r="G8394" s="84"/>
      <c r="H8394" s="84"/>
      <c r="I8394" s="84"/>
      <c r="J8394" s="84"/>
    </row>
    <row r="8395" spans="1:10" hidden="1">
      <c r="A8395" s="84"/>
      <c r="B8395" s="84"/>
      <c r="C8395" s="84"/>
      <c r="D8395" s="84"/>
      <c r="E8395" s="84"/>
      <c r="F8395" s="84"/>
      <c r="G8395" s="84"/>
      <c r="H8395" s="84"/>
      <c r="I8395" s="84"/>
      <c r="J8395" s="84"/>
    </row>
    <row r="8396" spans="1:10" hidden="1">
      <c r="A8396" s="84"/>
      <c r="B8396" s="84"/>
      <c r="C8396" s="84"/>
      <c r="D8396" s="84"/>
      <c r="E8396" s="84"/>
      <c r="F8396" s="84"/>
      <c r="G8396" s="84"/>
      <c r="H8396" s="84"/>
      <c r="I8396" s="84"/>
      <c r="J8396" s="84"/>
    </row>
    <row r="8397" spans="1:10" hidden="1">
      <c r="A8397" s="84"/>
      <c r="B8397" s="84"/>
      <c r="C8397" s="84"/>
      <c r="D8397" s="84"/>
      <c r="E8397" s="84"/>
      <c r="F8397" s="84"/>
      <c r="G8397" s="84"/>
      <c r="H8397" s="84"/>
      <c r="I8397" s="84"/>
      <c r="J8397" s="84"/>
    </row>
    <row r="8398" spans="1:10" hidden="1">
      <c r="A8398" s="84"/>
      <c r="B8398" s="84"/>
      <c r="C8398" s="84"/>
      <c r="D8398" s="84"/>
      <c r="E8398" s="84"/>
      <c r="F8398" s="84"/>
      <c r="G8398" s="84"/>
      <c r="H8398" s="84"/>
      <c r="I8398" s="84"/>
      <c r="J8398" s="84"/>
    </row>
    <row r="8399" spans="1:10" hidden="1">
      <c r="A8399" s="84"/>
      <c r="B8399" s="84"/>
      <c r="C8399" s="84"/>
      <c r="D8399" s="84"/>
      <c r="E8399" s="84"/>
      <c r="F8399" s="84"/>
      <c r="G8399" s="84"/>
      <c r="H8399" s="84"/>
      <c r="I8399" s="84"/>
      <c r="J8399" s="84"/>
    </row>
    <row r="8400" spans="1:10" hidden="1">
      <c r="A8400" s="84"/>
      <c r="B8400" s="84"/>
      <c r="C8400" s="84"/>
      <c r="D8400" s="84"/>
      <c r="E8400" s="84"/>
      <c r="F8400" s="84"/>
      <c r="G8400" s="84"/>
      <c r="H8400" s="84"/>
      <c r="I8400" s="84"/>
      <c r="J8400" s="84"/>
    </row>
    <row r="8401" spans="1:10" hidden="1">
      <c r="A8401" s="84"/>
      <c r="B8401" s="84"/>
      <c r="C8401" s="84"/>
      <c r="D8401" s="84"/>
      <c r="E8401" s="84"/>
      <c r="F8401" s="84"/>
      <c r="G8401" s="84"/>
      <c r="H8401" s="84"/>
      <c r="I8401" s="84"/>
      <c r="J8401" s="84"/>
    </row>
    <row r="8402" spans="1:10" hidden="1">
      <c r="A8402" s="84"/>
      <c r="B8402" s="84"/>
      <c r="C8402" s="84"/>
      <c r="D8402" s="84"/>
      <c r="E8402" s="84"/>
      <c r="F8402" s="84"/>
      <c r="G8402" s="84"/>
      <c r="H8402" s="84"/>
      <c r="I8402" s="84"/>
      <c r="J8402" s="84"/>
    </row>
    <row r="8403" spans="1:10" hidden="1">
      <c r="A8403" s="84"/>
      <c r="B8403" s="84"/>
      <c r="C8403" s="84"/>
      <c r="D8403" s="84"/>
      <c r="E8403" s="84"/>
      <c r="F8403" s="84"/>
      <c r="G8403" s="84"/>
      <c r="H8403" s="84"/>
      <c r="I8403" s="84"/>
      <c r="J8403" s="84"/>
    </row>
    <row r="8404" spans="1:10" hidden="1">
      <c r="A8404" s="84"/>
      <c r="B8404" s="84"/>
      <c r="C8404" s="84"/>
      <c r="D8404" s="84"/>
      <c r="E8404" s="84"/>
      <c r="F8404" s="84"/>
      <c r="G8404" s="84"/>
      <c r="H8404" s="84"/>
      <c r="I8404" s="84"/>
      <c r="J8404" s="84"/>
    </row>
    <row r="8405" spans="1:10" hidden="1">
      <c r="A8405" s="84"/>
      <c r="B8405" s="84"/>
      <c r="C8405" s="84"/>
      <c r="D8405" s="84"/>
      <c r="E8405" s="84"/>
      <c r="F8405" s="84"/>
      <c r="G8405" s="84"/>
      <c r="H8405" s="84"/>
      <c r="I8405" s="84"/>
      <c r="J8405" s="84"/>
    </row>
    <row r="8406" spans="1:10" hidden="1">
      <c r="A8406" s="84"/>
      <c r="B8406" s="84"/>
      <c r="C8406" s="84"/>
      <c r="D8406" s="84"/>
      <c r="E8406" s="84"/>
      <c r="F8406" s="84"/>
      <c r="G8406" s="84"/>
      <c r="H8406" s="84"/>
      <c r="I8406" s="84"/>
      <c r="J8406" s="84"/>
    </row>
    <row r="8407" spans="1:10" hidden="1">
      <c r="A8407" s="84"/>
      <c r="B8407" s="84"/>
      <c r="C8407" s="84"/>
      <c r="D8407" s="84"/>
      <c r="E8407" s="84"/>
      <c r="F8407" s="84"/>
      <c r="G8407" s="84"/>
      <c r="H8407" s="84"/>
      <c r="I8407" s="84"/>
      <c r="J8407" s="84"/>
    </row>
    <row r="8408" spans="1:10" hidden="1">
      <c r="A8408" s="84"/>
      <c r="B8408" s="84"/>
      <c r="C8408" s="84"/>
      <c r="D8408" s="84"/>
      <c r="E8408" s="84"/>
      <c r="F8408" s="84"/>
      <c r="G8408" s="84"/>
      <c r="H8408" s="84"/>
      <c r="I8408" s="84"/>
      <c r="J8408" s="84"/>
    </row>
    <row r="8409" spans="1:10" hidden="1">
      <c r="A8409" s="84"/>
      <c r="B8409" s="84"/>
      <c r="C8409" s="84"/>
      <c r="D8409" s="84"/>
      <c r="E8409" s="84"/>
      <c r="F8409" s="84"/>
      <c r="G8409" s="84"/>
      <c r="H8409" s="84"/>
      <c r="I8409" s="84"/>
      <c r="J8409" s="84"/>
    </row>
    <row r="8410" spans="1:10" hidden="1">
      <c r="A8410" s="84"/>
      <c r="B8410" s="84"/>
      <c r="C8410" s="84"/>
      <c r="D8410" s="84"/>
      <c r="E8410" s="84"/>
      <c r="F8410" s="84"/>
      <c r="G8410" s="84"/>
      <c r="H8410" s="84"/>
      <c r="I8410" s="84"/>
      <c r="J8410" s="84"/>
    </row>
    <row r="8411" spans="1:10" hidden="1">
      <c r="A8411" s="84"/>
      <c r="B8411" s="84"/>
      <c r="C8411" s="84"/>
      <c r="D8411" s="84"/>
      <c r="E8411" s="84"/>
      <c r="F8411" s="84"/>
      <c r="G8411" s="84"/>
      <c r="H8411" s="84"/>
      <c r="I8411" s="84"/>
      <c r="J8411" s="84"/>
    </row>
    <row r="8412" spans="1:10" hidden="1">
      <c r="A8412" s="84"/>
      <c r="B8412" s="84"/>
      <c r="C8412" s="84"/>
      <c r="D8412" s="84"/>
      <c r="E8412" s="84"/>
      <c r="F8412" s="84"/>
      <c r="G8412" s="84"/>
      <c r="H8412" s="84"/>
      <c r="I8412" s="84"/>
      <c r="J8412" s="84"/>
    </row>
    <row r="8413" spans="1:10" hidden="1">
      <c r="A8413" s="84"/>
      <c r="B8413" s="84"/>
      <c r="C8413" s="84"/>
      <c r="D8413" s="84"/>
      <c r="E8413" s="84"/>
      <c r="F8413" s="84"/>
      <c r="G8413" s="84"/>
      <c r="H8413" s="84"/>
      <c r="I8413" s="84"/>
      <c r="J8413" s="84"/>
    </row>
    <row r="8414" spans="1:10" hidden="1">
      <c r="A8414" s="84"/>
      <c r="B8414" s="84"/>
      <c r="C8414" s="84"/>
      <c r="D8414" s="84"/>
      <c r="E8414" s="84"/>
      <c r="F8414" s="84"/>
      <c r="G8414" s="84"/>
      <c r="H8414" s="84"/>
      <c r="I8414" s="84"/>
      <c r="J8414" s="84"/>
    </row>
    <row r="8415" spans="1:10" hidden="1">
      <c r="A8415" s="84"/>
      <c r="B8415" s="84"/>
      <c r="C8415" s="84"/>
      <c r="D8415" s="84"/>
      <c r="E8415" s="84"/>
      <c r="F8415" s="84"/>
      <c r="G8415" s="84"/>
      <c r="H8415" s="84"/>
      <c r="I8415" s="84"/>
      <c r="J8415" s="84"/>
    </row>
    <row r="8416" spans="1:10" hidden="1">
      <c r="A8416" s="84"/>
      <c r="B8416" s="84"/>
      <c r="C8416" s="84"/>
      <c r="D8416" s="84"/>
      <c r="E8416" s="84"/>
      <c r="F8416" s="84"/>
      <c r="G8416" s="84"/>
      <c r="H8416" s="84"/>
      <c r="I8416" s="84"/>
      <c r="J8416" s="84"/>
    </row>
    <row r="8417" spans="1:10" hidden="1">
      <c r="A8417" s="84"/>
      <c r="B8417" s="84"/>
      <c r="C8417" s="84"/>
      <c r="D8417" s="84"/>
      <c r="E8417" s="84"/>
      <c r="F8417" s="84"/>
      <c r="G8417" s="84"/>
      <c r="H8417" s="84"/>
      <c r="I8417" s="84"/>
      <c r="J8417" s="84"/>
    </row>
    <row r="8418" spans="1:10" hidden="1" collapsed="1">
      <c r="A8418" s="84"/>
      <c r="B8418" s="84"/>
      <c r="C8418" s="84"/>
      <c r="D8418" s="84"/>
      <c r="E8418" s="84"/>
      <c r="F8418" s="84"/>
      <c r="G8418" s="84"/>
      <c r="H8418" s="84"/>
      <c r="I8418" s="84"/>
      <c r="J8418" s="84"/>
    </row>
    <row r="8419" spans="1:10" hidden="1">
      <c r="A8419" s="84"/>
      <c r="B8419" s="84"/>
      <c r="C8419" s="84"/>
      <c r="D8419" s="84"/>
      <c r="E8419" s="84"/>
      <c r="F8419" s="84"/>
      <c r="G8419" s="84"/>
      <c r="H8419" s="84"/>
      <c r="I8419" s="84"/>
      <c r="J8419" s="84"/>
    </row>
    <row r="8420" spans="1:10" hidden="1">
      <c r="A8420" s="84"/>
      <c r="B8420" s="84"/>
      <c r="C8420" s="84"/>
      <c r="D8420" s="84"/>
      <c r="E8420" s="84"/>
      <c r="F8420" s="84"/>
      <c r="G8420" s="84"/>
      <c r="H8420" s="84"/>
      <c r="I8420" s="84"/>
      <c r="J8420" s="84"/>
    </row>
    <row r="8421" spans="1:10" hidden="1">
      <c r="A8421" s="84"/>
      <c r="B8421" s="84"/>
      <c r="C8421" s="84"/>
      <c r="D8421" s="84"/>
      <c r="E8421" s="84"/>
      <c r="F8421" s="84"/>
      <c r="G8421" s="84"/>
      <c r="H8421" s="84"/>
      <c r="I8421" s="84"/>
      <c r="J8421" s="84"/>
    </row>
    <row r="8422" spans="1:10" hidden="1">
      <c r="A8422" s="84"/>
      <c r="B8422" s="84"/>
      <c r="C8422" s="84"/>
      <c r="D8422" s="84"/>
      <c r="E8422" s="84"/>
      <c r="F8422" s="84"/>
      <c r="G8422" s="84"/>
      <c r="H8422" s="84"/>
      <c r="I8422" s="84"/>
      <c r="J8422" s="84"/>
    </row>
    <row r="8423" spans="1:10" hidden="1">
      <c r="A8423" s="84"/>
      <c r="B8423" s="84"/>
      <c r="C8423" s="84"/>
      <c r="D8423" s="84"/>
      <c r="E8423" s="84"/>
      <c r="F8423" s="84"/>
      <c r="G8423" s="84"/>
      <c r="H8423" s="84"/>
      <c r="I8423" s="84"/>
      <c r="J8423" s="84"/>
    </row>
    <row r="8424" spans="1:10" hidden="1">
      <c r="A8424" s="84"/>
      <c r="B8424" s="84"/>
      <c r="C8424" s="84"/>
      <c r="D8424" s="84"/>
      <c r="E8424" s="84"/>
      <c r="F8424" s="84"/>
      <c r="G8424" s="84"/>
      <c r="H8424" s="84"/>
      <c r="I8424" s="84"/>
      <c r="J8424" s="84"/>
    </row>
    <row r="8425" spans="1:10" hidden="1">
      <c r="A8425" s="84"/>
      <c r="B8425" s="84"/>
      <c r="C8425" s="84"/>
      <c r="D8425" s="84"/>
      <c r="E8425" s="84"/>
      <c r="F8425" s="84"/>
      <c r="G8425" s="84"/>
      <c r="H8425" s="84"/>
      <c r="I8425" s="84"/>
      <c r="J8425" s="84"/>
    </row>
    <row r="8426" spans="1:10" hidden="1">
      <c r="A8426" s="84"/>
      <c r="B8426" s="84"/>
      <c r="C8426" s="84"/>
      <c r="D8426" s="84"/>
      <c r="E8426" s="84"/>
      <c r="F8426" s="84"/>
      <c r="G8426" s="84"/>
      <c r="H8426" s="84"/>
      <c r="I8426" s="84"/>
      <c r="J8426" s="84"/>
    </row>
    <row r="8427" spans="1:10" hidden="1">
      <c r="A8427" s="84"/>
      <c r="B8427" s="84"/>
      <c r="C8427" s="84"/>
      <c r="D8427" s="84"/>
      <c r="E8427" s="84"/>
      <c r="F8427" s="84"/>
      <c r="G8427" s="84"/>
      <c r="H8427" s="84"/>
      <c r="I8427" s="84"/>
      <c r="J8427" s="84"/>
    </row>
    <row r="8428" spans="1:10" hidden="1">
      <c r="A8428" s="84"/>
      <c r="B8428" s="84"/>
      <c r="C8428" s="84"/>
      <c r="D8428" s="84"/>
      <c r="E8428" s="84"/>
      <c r="F8428" s="84"/>
      <c r="G8428" s="84"/>
      <c r="H8428" s="84"/>
      <c r="I8428" s="84"/>
      <c r="J8428" s="84"/>
    </row>
    <row r="8429" spans="1:10" hidden="1">
      <c r="A8429" s="84"/>
      <c r="B8429" s="84"/>
      <c r="C8429" s="84"/>
      <c r="D8429" s="84"/>
      <c r="E8429" s="84"/>
      <c r="F8429" s="84"/>
      <c r="G8429" s="84"/>
      <c r="H8429" s="84"/>
      <c r="I8429" s="84"/>
      <c r="J8429" s="84"/>
    </row>
    <row r="8430" spans="1:10" hidden="1">
      <c r="A8430" s="84"/>
      <c r="B8430" s="84"/>
      <c r="C8430" s="84"/>
      <c r="D8430" s="84"/>
      <c r="E8430" s="84"/>
      <c r="F8430" s="84"/>
      <c r="G8430" s="84"/>
      <c r="H8430" s="84"/>
      <c r="I8430" s="84"/>
      <c r="J8430" s="84"/>
    </row>
    <row r="8431" spans="1:10" hidden="1">
      <c r="A8431" s="84"/>
      <c r="B8431" s="84"/>
      <c r="C8431" s="84"/>
      <c r="D8431" s="84"/>
      <c r="E8431" s="84"/>
      <c r="F8431" s="84"/>
      <c r="G8431" s="84"/>
      <c r="H8431" s="84"/>
      <c r="I8431" s="84"/>
      <c r="J8431" s="84"/>
    </row>
    <row r="8432" spans="1:10" hidden="1">
      <c r="A8432" s="84"/>
      <c r="B8432" s="84"/>
      <c r="C8432" s="84"/>
      <c r="D8432" s="84"/>
      <c r="E8432" s="84"/>
      <c r="F8432" s="84"/>
      <c r="G8432" s="84"/>
      <c r="H8432" s="84"/>
      <c r="I8432" s="84"/>
      <c r="J8432" s="84"/>
    </row>
    <row r="8433" spans="1:25" hidden="1">
      <c r="A8433" s="84"/>
      <c r="B8433" s="84"/>
      <c r="C8433" s="84"/>
      <c r="D8433" s="84"/>
      <c r="E8433" s="84"/>
      <c r="F8433" s="84"/>
      <c r="G8433" s="84"/>
      <c r="H8433" s="84"/>
      <c r="I8433" s="84"/>
      <c r="J8433" s="84"/>
    </row>
    <row r="8434" spans="1:25" hidden="1">
      <c r="A8434" s="84"/>
      <c r="B8434" s="84"/>
      <c r="C8434" s="84"/>
      <c r="D8434" s="84"/>
      <c r="E8434" s="84"/>
      <c r="F8434" s="84"/>
      <c r="G8434" s="84"/>
      <c r="H8434" s="84"/>
      <c r="I8434" s="84"/>
      <c r="J8434" s="84"/>
    </row>
    <row r="8435" spans="1:25" hidden="1" collapsed="1">
      <c r="A8435" s="84"/>
      <c r="B8435" s="84"/>
      <c r="C8435" s="84"/>
      <c r="D8435" s="84"/>
      <c r="E8435" s="84"/>
      <c r="F8435" s="84"/>
      <c r="G8435" s="84"/>
      <c r="H8435" s="84"/>
      <c r="I8435" s="84"/>
      <c r="J8435" s="84"/>
    </row>
    <row r="8436" spans="1:25" hidden="1"/>
    <row r="8437" spans="1:25" s="88" customFormat="1" hidden="1">
      <c r="K8437" s="575"/>
      <c r="L8437" s="575"/>
      <c r="M8437" s="575"/>
      <c r="N8437" s="575"/>
      <c r="O8437" s="575"/>
      <c r="P8437" s="575"/>
      <c r="Q8437" s="575"/>
      <c r="R8437" s="575"/>
      <c r="S8437" s="575"/>
      <c r="T8437" s="575"/>
      <c r="U8437" s="575"/>
      <c r="V8437" s="575"/>
      <c r="W8437" s="575"/>
      <c r="X8437" s="575"/>
      <c r="Y8437" s="575"/>
    </row>
    <row r="8438" spans="1:25" hidden="1">
      <c r="A8438" s="84"/>
      <c r="B8438" s="84"/>
      <c r="C8438" s="84"/>
      <c r="D8438" s="84"/>
      <c r="E8438" s="84"/>
      <c r="F8438" s="84"/>
      <c r="G8438" s="84"/>
      <c r="H8438" s="84"/>
      <c r="I8438" s="84"/>
      <c r="J8438" s="84"/>
    </row>
    <row r="8439" spans="1:25" hidden="1">
      <c r="A8439" s="84"/>
      <c r="B8439" s="84"/>
      <c r="C8439" s="84"/>
      <c r="D8439" s="84"/>
      <c r="E8439" s="84"/>
      <c r="F8439" s="84"/>
      <c r="G8439" s="84"/>
      <c r="H8439" s="84"/>
      <c r="I8439" s="84"/>
      <c r="J8439" s="84"/>
    </row>
    <row r="8440" spans="1:25" hidden="1">
      <c r="A8440" s="84"/>
      <c r="B8440" s="84"/>
      <c r="C8440" s="84"/>
      <c r="D8440" s="84"/>
      <c r="E8440" s="84"/>
      <c r="F8440" s="84"/>
      <c r="G8440" s="84"/>
      <c r="H8440" s="84"/>
      <c r="I8440" s="84"/>
      <c r="J8440" s="84"/>
    </row>
    <row r="8441" spans="1:25" hidden="1">
      <c r="A8441" s="84"/>
      <c r="B8441" s="84"/>
      <c r="C8441" s="84"/>
      <c r="D8441" s="84"/>
      <c r="E8441" s="84"/>
      <c r="F8441" s="84"/>
      <c r="G8441" s="84"/>
      <c r="H8441" s="84"/>
      <c r="I8441" s="84"/>
      <c r="J8441" s="84"/>
    </row>
    <row r="8442" spans="1:25" hidden="1">
      <c r="A8442" s="84"/>
      <c r="B8442" s="84"/>
      <c r="C8442" s="84"/>
      <c r="D8442" s="84"/>
      <c r="E8442" s="84"/>
      <c r="F8442" s="84"/>
      <c r="G8442" s="84"/>
      <c r="H8442" s="84"/>
      <c r="I8442" s="84"/>
      <c r="J8442" s="84"/>
    </row>
    <row r="8443" spans="1:25" hidden="1">
      <c r="A8443" s="84"/>
      <c r="B8443" s="84"/>
      <c r="C8443" s="84"/>
      <c r="D8443" s="84"/>
      <c r="E8443" s="84"/>
      <c r="F8443" s="84"/>
      <c r="G8443" s="84"/>
      <c r="H8443" s="84"/>
      <c r="I8443" s="84"/>
      <c r="J8443" s="84"/>
    </row>
    <row r="8444" spans="1:25" hidden="1">
      <c r="A8444" s="84"/>
      <c r="B8444" s="84"/>
      <c r="C8444" s="84"/>
      <c r="D8444" s="84"/>
      <c r="E8444" s="84"/>
      <c r="F8444" s="84"/>
      <c r="G8444" s="84"/>
      <c r="H8444" s="84"/>
      <c r="I8444" s="84"/>
      <c r="J8444" s="84"/>
    </row>
    <row r="8445" spans="1:25" hidden="1">
      <c r="A8445" s="84"/>
      <c r="B8445" s="84"/>
      <c r="C8445" s="84"/>
      <c r="D8445" s="84"/>
      <c r="E8445" s="84"/>
      <c r="F8445" s="84"/>
      <c r="G8445" s="84"/>
      <c r="H8445" s="84"/>
      <c r="I8445" s="84"/>
      <c r="J8445" s="84"/>
    </row>
    <row r="8446" spans="1:25" hidden="1">
      <c r="A8446" s="84"/>
      <c r="B8446" s="84"/>
      <c r="C8446" s="84"/>
      <c r="D8446" s="84"/>
      <c r="E8446" s="84"/>
      <c r="F8446" s="84"/>
      <c r="G8446" s="84"/>
      <c r="H8446" s="84"/>
      <c r="I8446" s="84"/>
      <c r="J8446" s="84"/>
    </row>
    <row r="8447" spans="1:25" hidden="1">
      <c r="A8447" s="84"/>
      <c r="B8447" s="84"/>
      <c r="C8447" s="84"/>
      <c r="D8447" s="84"/>
      <c r="E8447" s="84"/>
      <c r="F8447" s="84"/>
      <c r="G8447" s="84"/>
      <c r="H8447" s="84"/>
      <c r="I8447" s="84"/>
      <c r="J8447" s="84"/>
    </row>
    <row r="8448" spans="1:25" hidden="1">
      <c r="A8448" s="84"/>
      <c r="B8448" s="84"/>
      <c r="C8448" s="84"/>
      <c r="D8448" s="84"/>
      <c r="E8448" s="84"/>
      <c r="F8448" s="84"/>
      <c r="G8448" s="84"/>
      <c r="H8448" s="84"/>
      <c r="I8448" s="84"/>
      <c r="J8448" s="84"/>
    </row>
    <row r="8449" spans="1:10" hidden="1">
      <c r="A8449" s="84"/>
      <c r="B8449" s="84"/>
      <c r="C8449" s="84"/>
      <c r="D8449" s="84"/>
      <c r="E8449" s="84"/>
      <c r="F8449" s="84"/>
      <c r="G8449" s="84"/>
      <c r="H8449" s="84"/>
      <c r="I8449" s="84"/>
      <c r="J8449" s="84"/>
    </row>
    <row r="8450" spans="1:10" hidden="1">
      <c r="A8450" s="84"/>
      <c r="B8450" s="84"/>
      <c r="C8450" s="84"/>
      <c r="D8450" s="84"/>
      <c r="E8450" s="84"/>
      <c r="F8450" s="84"/>
      <c r="G8450" s="84"/>
      <c r="H8450" s="84"/>
      <c r="I8450" s="84"/>
      <c r="J8450" s="84"/>
    </row>
    <row r="8451" spans="1:10" hidden="1">
      <c r="A8451" s="84"/>
      <c r="B8451" s="84"/>
      <c r="C8451" s="84"/>
      <c r="D8451" s="84"/>
      <c r="E8451" s="84"/>
      <c r="F8451" s="84"/>
      <c r="G8451" s="84"/>
      <c r="H8451" s="84"/>
      <c r="I8451" s="84"/>
      <c r="J8451" s="84"/>
    </row>
    <row r="8452" spans="1:10" hidden="1">
      <c r="A8452" s="84"/>
      <c r="B8452" s="84"/>
      <c r="C8452" s="84"/>
      <c r="D8452" s="84"/>
      <c r="E8452" s="84"/>
      <c r="F8452" s="84"/>
      <c r="G8452" s="84"/>
      <c r="H8452" s="84"/>
      <c r="I8452" s="84"/>
      <c r="J8452" s="84"/>
    </row>
    <row r="8453" spans="1:10" hidden="1">
      <c r="A8453" s="84"/>
      <c r="B8453" s="84"/>
      <c r="C8453" s="84"/>
      <c r="D8453" s="84"/>
      <c r="E8453" s="84"/>
      <c r="F8453" s="84"/>
      <c r="G8453" s="84"/>
      <c r="H8453" s="84"/>
      <c r="I8453" s="84"/>
      <c r="J8453" s="84"/>
    </row>
    <row r="8454" spans="1:10" hidden="1">
      <c r="A8454" s="84"/>
      <c r="B8454" s="84"/>
      <c r="C8454" s="84"/>
      <c r="D8454" s="84"/>
      <c r="E8454" s="84"/>
      <c r="F8454" s="84"/>
      <c r="G8454" s="84"/>
      <c r="H8454" s="84"/>
      <c r="I8454" s="84"/>
      <c r="J8454" s="84"/>
    </row>
    <row r="8455" spans="1:10" hidden="1">
      <c r="A8455" s="84"/>
      <c r="B8455" s="84"/>
      <c r="C8455" s="84"/>
      <c r="D8455" s="84"/>
      <c r="E8455" s="84"/>
      <c r="F8455" s="84"/>
      <c r="G8455" s="84"/>
      <c r="H8455" s="84"/>
      <c r="I8455" s="84"/>
      <c r="J8455" s="84"/>
    </row>
    <row r="8456" spans="1:10" hidden="1">
      <c r="A8456" s="84"/>
      <c r="B8456" s="84"/>
      <c r="C8456" s="84"/>
      <c r="D8456" s="84"/>
      <c r="E8456" s="84"/>
      <c r="F8456" s="84"/>
      <c r="G8456" s="84"/>
      <c r="H8456" s="84"/>
      <c r="I8456" s="84"/>
      <c r="J8456" s="84"/>
    </row>
    <row r="8457" spans="1:10" hidden="1">
      <c r="A8457" s="84"/>
      <c r="B8457" s="84"/>
      <c r="C8457" s="84"/>
      <c r="D8457" s="84"/>
      <c r="E8457" s="84"/>
      <c r="F8457" s="84"/>
      <c r="G8457" s="84"/>
      <c r="H8457" s="84"/>
      <c r="I8457" s="84"/>
      <c r="J8457" s="84"/>
    </row>
    <row r="8458" spans="1:10" hidden="1">
      <c r="A8458" s="84"/>
      <c r="B8458" s="84"/>
      <c r="C8458" s="84"/>
      <c r="D8458" s="84"/>
      <c r="E8458" s="84"/>
      <c r="F8458" s="84"/>
      <c r="G8458" s="84"/>
      <c r="H8458" s="84"/>
      <c r="I8458" s="84"/>
      <c r="J8458" s="84"/>
    </row>
    <row r="8459" spans="1:10" hidden="1">
      <c r="A8459" s="84"/>
      <c r="B8459" s="84"/>
      <c r="C8459" s="84"/>
      <c r="D8459" s="84"/>
      <c r="E8459" s="84"/>
      <c r="F8459" s="84"/>
      <c r="G8459" s="84"/>
      <c r="H8459" s="84"/>
      <c r="I8459" s="84"/>
      <c r="J8459" s="84"/>
    </row>
    <row r="8460" spans="1:10" hidden="1">
      <c r="A8460" s="84"/>
      <c r="B8460" s="84"/>
      <c r="C8460" s="84"/>
      <c r="D8460" s="84"/>
      <c r="E8460" s="84"/>
      <c r="F8460" s="84"/>
      <c r="G8460" s="84"/>
      <c r="H8460" s="84"/>
      <c r="I8460" s="84"/>
      <c r="J8460" s="84"/>
    </row>
    <row r="8461" spans="1:10" hidden="1">
      <c r="A8461" s="84"/>
      <c r="B8461" s="84"/>
      <c r="C8461" s="84"/>
      <c r="D8461" s="84"/>
      <c r="E8461" s="84"/>
      <c r="F8461" s="84"/>
      <c r="G8461" s="84"/>
      <c r="H8461" s="84"/>
      <c r="I8461" s="84"/>
      <c r="J8461" s="84"/>
    </row>
    <row r="8462" spans="1:10" hidden="1">
      <c r="A8462" s="84"/>
      <c r="B8462" s="84"/>
      <c r="C8462" s="84"/>
      <c r="D8462" s="84"/>
      <c r="E8462" s="84"/>
      <c r="F8462" s="84"/>
      <c r="G8462" s="84"/>
      <c r="H8462" s="84"/>
      <c r="I8462" s="84"/>
      <c r="J8462" s="84"/>
    </row>
    <row r="8463" spans="1:10" ht="19.5" hidden="1" customHeight="1">
      <c r="A8463" s="84"/>
      <c r="B8463" s="84"/>
      <c r="C8463" s="84"/>
      <c r="D8463" s="84"/>
      <c r="E8463" s="84"/>
      <c r="F8463" s="84"/>
      <c r="G8463" s="84"/>
      <c r="H8463" s="84"/>
      <c r="I8463" s="84"/>
      <c r="J8463" s="84"/>
    </row>
    <row r="8464" spans="1:10" hidden="1">
      <c r="A8464" s="84"/>
      <c r="B8464" s="84"/>
      <c r="C8464" s="84"/>
      <c r="D8464" s="84"/>
      <c r="E8464" s="84"/>
      <c r="F8464" s="84"/>
      <c r="G8464" s="84"/>
      <c r="H8464" s="84"/>
      <c r="I8464" s="84"/>
      <c r="J8464" s="84"/>
    </row>
    <row r="8465" spans="1:10" hidden="1">
      <c r="A8465" s="84"/>
      <c r="B8465" s="84"/>
      <c r="C8465" s="84"/>
      <c r="D8465" s="84"/>
      <c r="E8465" s="84"/>
      <c r="F8465" s="84"/>
      <c r="G8465" s="84"/>
      <c r="H8465" s="84"/>
      <c r="I8465" s="84"/>
      <c r="J8465" s="84"/>
    </row>
    <row r="8466" spans="1:10" hidden="1">
      <c r="A8466" s="84"/>
      <c r="B8466" s="84"/>
      <c r="C8466" s="84"/>
      <c r="D8466" s="84"/>
      <c r="E8466" s="84"/>
      <c r="F8466" s="84"/>
      <c r="G8466" s="84"/>
      <c r="H8466" s="84"/>
      <c r="I8466" s="84"/>
      <c r="J8466" s="84"/>
    </row>
    <row r="8467" spans="1:10" hidden="1">
      <c r="A8467" s="84"/>
      <c r="B8467" s="84"/>
      <c r="C8467" s="84"/>
      <c r="D8467" s="84"/>
      <c r="E8467" s="84"/>
      <c r="F8467" s="84"/>
      <c r="G8467" s="84"/>
      <c r="H8467" s="84"/>
      <c r="I8467" s="84"/>
      <c r="J8467" s="84"/>
    </row>
    <row r="8468" spans="1:10" hidden="1">
      <c r="A8468" s="84"/>
      <c r="B8468" s="84"/>
      <c r="C8468" s="84"/>
      <c r="D8468" s="84"/>
      <c r="E8468" s="84"/>
      <c r="F8468" s="84"/>
      <c r="G8468" s="84"/>
      <c r="H8468" s="84"/>
      <c r="I8468" s="84"/>
      <c r="J8468" s="84"/>
    </row>
    <row r="8469" spans="1:10" hidden="1">
      <c r="A8469" s="84"/>
      <c r="B8469" s="84"/>
      <c r="C8469" s="84"/>
      <c r="D8469" s="84"/>
      <c r="E8469" s="84"/>
      <c r="F8469" s="84"/>
      <c r="G8469" s="84"/>
      <c r="H8469" s="84"/>
      <c r="I8469" s="84"/>
      <c r="J8469" s="84"/>
    </row>
    <row r="8470" spans="1:10" hidden="1">
      <c r="A8470" s="84"/>
      <c r="B8470" s="84"/>
      <c r="C8470" s="84"/>
      <c r="D8470" s="84"/>
      <c r="E8470" s="84"/>
      <c r="F8470" s="84"/>
      <c r="G8470" s="84"/>
      <c r="H8470" s="84"/>
      <c r="I8470" s="84"/>
      <c r="J8470" s="84"/>
    </row>
    <row r="8471" spans="1:10" hidden="1">
      <c r="A8471" s="84"/>
      <c r="B8471" s="84"/>
      <c r="C8471" s="84"/>
      <c r="D8471" s="84"/>
      <c r="E8471" s="84"/>
      <c r="F8471" s="84"/>
      <c r="G8471" s="84"/>
      <c r="H8471" s="84"/>
      <c r="I8471" s="84"/>
      <c r="J8471" s="84"/>
    </row>
    <row r="8472" spans="1:10" hidden="1">
      <c r="A8472" s="84"/>
      <c r="B8472" s="84"/>
      <c r="C8472" s="84"/>
      <c r="D8472" s="84"/>
      <c r="E8472" s="84"/>
      <c r="F8472" s="84"/>
      <c r="G8472" s="84"/>
      <c r="H8472" s="84"/>
      <c r="I8472" s="84"/>
      <c r="J8472" s="84"/>
    </row>
    <row r="8473" spans="1:10" hidden="1">
      <c r="A8473" s="84"/>
      <c r="B8473" s="84"/>
      <c r="C8473" s="84"/>
      <c r="D8473" s="84"/>
      <c r="E8473" s="84"/>
      <c r="F8473" s="84"/>
      <c r="G8473" s="84"/>
      <c r="H8473" s="84"/>
      <c r="I8473" s="84"/>
      <c r="J8473" s="84"/>
    </row>
    <row r="8474" spans="1:10" hidden="1">
      <c r="A8474" s="84"/>
      <c r="B8474" s="84"/>
      <c r="C8474" s="84"/>
      <c r="D8474" s="84"/>
      <c r="E8474" s="84"/>
      <c r="F8474" s="84"/>
      <c r="G8474" s="84"/>
      <c r="H8474" s="84"/>
      <c r="I8474" s="84"/>
      <c r="J8474" s="84"/>
    </row>
    <row r="8475" spans="1:10" hidden="1">
      <c r="A8475" s="84"/>
      <c r="B8475" s="84"/>
      <c r="C8475" s="84"/>
      <c r="D8475" s="84"/>
      <c r="E8475" s="84"/>
      <c r="F8475" s="84"/>
      <c r="G8475" s="84"/>
      <c r="H8475" s="84"/>
      <c r="I8475" s="84"/>
      <c r="J8475" s="84"/>
    </row>
    <row r="8476" spans="1:10" hidden="1">
      <c r="A8476" s="84"/>
      <c r="B8476" s="84"/>
      <c r="C8476" s="84"/>
      <c r="D8476" s="84"/>
      <c r="E8476" s="84"/>
      <c r="F8476" s="84"/>
      <c r="G8476" s="84"/>
      <c r="H8476" s="84"/>
      <c r="I8476" s="84"/>
      <c r="J8476" s="84"/>
    </row>
    <row r="8477" spans="1:10" hidden="1">
      <c r="A8477" s="84"/>
      <c r="B8477" s="84"/>
      <c r="C8477" s="84"/>
      <c r="D8477" s="84"/>
      <c r="E8477" s="84"/>
      <c r="F8477" s="84"/>
      <c r="G8477" s="84"/>
      <c r="H8477" s="84"/>
      <c r="I8477" s="84"/>
      <c r="J8477" s="84"/>
    </row>
    <row r="8478" spans="1:10" hidden="1">
      <c r="A8478" s="84"/>
      <c r="B8478" s="84"/>
      <c r="C8478" s="84"/>
      <c r="D8478" s="84"/>
      <c r="E8478" s="84"/>
      <c r="F8478" s="84"/>
      <c r="G8478" s="84"/>
      <c r="H8478" s="84"/>
      <c r="I8478" s="84"/>
      <c r="J8478" s="84"/>
    </row>
    <row r="8479" spans="1:10" hidden="1">
      <c r="A8479" s="84"/>
      <c r="B8479" s="84"/>
      <c r="C8479" s="84"/>
      <c r="D8479" s="84"/>
      <c r="E8479" s="84"/>
      <c r="F8479" s="84"/>
      <c r="G8479" s="84"/>
      <c r="H8479" s="84"/>
      <c r="I8479" s="84"/>
      <c r="J8479" s="84"/>
    </row>
    <row r="8480" spans="1:10" hidden="1">
      <c r="A8480" s="84"/>
      <c r="B8480" s="84"/>
      <c r="C8480" s="84"/>
      <c r="D8480" s="84"/>
      <c r="E8480" s="84"/>
      <c r="F8480" s="84"/>
      <c r="G8480" s="84"/>
      <c r="H8480" s="84"/>
      <c r="I8480" s="84"/>
      <c r="J8480" s="84"/>
    </row>
    <row r="8481" spans="1:10" hidden="1">
      <c r="A8481" s="84"/>
      <c r="B8481" s="84"/>
      <c r="C8481" s="84"/>
      <c r="D8481" s="84"/>
      <c r="E8481" s="84"/>
      <c r="F8481" s="84"/>
      <c r="G8481" s="84"/>
      <c r="H8481" s="84"/>
      <c r="I8481" s="84"/>
      <c r="J8481" s="84"/>
    </row>
    <row r="8482" spans="1:10" hidden="1">
      <c r="A8482" s="84"/>
      <c r="B8482" s="84"/>
      <c r="C8482" s="84"/>
      <c r="D8482" s="84"/>
      <c r="E8482" s="84"/>
      <c r="F8482" s="84"/>
      <c r="G8482" s="84"/>
      <c r="H8482" s="84"/>
      <c r="I8482" s="84"/>
      <c r="J8482" s="84"/>
    </row>
    <row r="8483" spans="1:10" hidden="1">
      <c r="A8483" s="84"/>
      <c r="B8483" s="84"/>
      <c r="C8483" s="84"/>
      <c r="D8483" s="84"/>
      <c r="E8483" s="84"/>
      <c r="F8483" s="84"/>
      <c r="G8483" s="84"/>
      <c r="H8483" s="84"/>
      <c r="I8483" s="84"/>
      <c r="J8483" s="84"/>
    </row>
    <row r="8484" spans="1:10" hidden="1">
      <c r="A8484" s="84"/>
      <c r="B8484" s="84"/>
      <c r="C8484" s="84"/>
      <c r="D8484" s="84"/>
      <c r="E8484" s="84"/>
      <c r="F8484" s="84"/>
      <c r="G8484" s="84"/>
      <c r="H8484" s="84"/>
      <c r="I8484" s="84"/>
      <c r="J8484" s="84"/>
    </row>
    <row r="8485" spans="1:10" hidden="1">
      <c r="A8485" s="84"/>
      <c r="B8485" s="84"/>
      <c r="C8485" s="84"/>
      <c r="D8485" s="84"/>
      <c r="E8485" s="84"/>
      <c r="F8485" s="84"/>
      <c r="G8485" s="84"/>
      <c r="H8485" s="84"/>
      <c r="I8485" s="84"/>
      <c r="J8485" s="84"/>
    </row>
    <row r="8486" spans="1:10" hidden="1">
      <c r="A8486" s="84"/>
      <c r="B8486" s="84"/>
      <c r="C8486" s="84"/>
      <c r="D8486" s="84"/>
      <c r="E8486" s="84"/>
      <c r="F8486" s="84"/>
      <c r="G8486" s="84"/>
      <c r="H8486" s="84"/>
      <c r="I8486" s="84"/>
      <c r="J8486" s="84"/>
    </row>
    <row r="8487" spans="1:10" hidden="1">
      <c r="A8487" s="84"/>
      <c r="B8487" s="84"/>
      <c r="C8487" s="84"/>
      <c r="D8487" s="84"/>
      <c r="E8487" s="84"/>
      <c r="F8487" s="84"/>
      <c r="G8487" s="84"/>
      <c r="H8487" s="84"/>
      <c r="I8487" s="84"/>
      <c r="J8487" s="84"/>
    </row>
    <row r="8488" spans="1:10" hidden="1">
      <c r="A8488" s="84"/>
      <c r="B8488" s="84"/>
      <c r="C8488" s="84"/>
      <c r="D8488" s="84"/>
      <c r="E8488" s="84"/>
      <c r="F8488" s="84"/>
      <c r="G8488" s="84"/>
      <c r="H8488" s="84"/>
      <c r="I8488" s="84"/>
      <c r="J8488" s="84"/>
    </row>
    <row r="8489" spans="1:10" hidden="1">
      <c r="A8489" s="84"/>
      <c r="B8489" s="84"/>
      <c r="C8489" s="84"/>
      <c r="D8489" s="84"/>
      <c r="E8489" s="84"/>
      <c r="F8489" s="84"/>
      <c r="G8489" s="84"/>
      <c r="H8489" s="84"/>
      <c r="I8489" s="84"/>
      <c r="J8489" s="84"/>
    </row>
    <row r="8490" spans="1:10" hidden="1">
      <c r="A8490" s="84"/>
      <c r="B8490" s="84"/>
      <c r="C8490" s="84"/>
      <c r="D8490" s="84"/>
      <c r="E8490" s="84"/>
      <c r="F8490" s="84"/>
      <c r="G8490" s="84"/>
      <c r="H8490" s="84"/>
      <c r="I8490" s="84"/>
      <c r="J8490" s="84"/>
    </row>
    <row r="8491" spans="1:10" hidden="1">
      <c r="A8491" s="84"/>
      <c r="B8491" s="84"/>
      <c r="C8491" s="84"/>
      <c r="D8491" s="84"/>
      <c r="E8491" s="84"/>
      <c r="F8491" s="84"/>
      <c r="G8491" s="84"/>
      <c r="H8491" s="84"/>
      <c r="I8491" s="84"/>
      <c r="J8491" s="84"/>
    </row>
    <row r="8492" spans="1:10" hidden="1">
      <c r="A8492" s="84"/>
      <c r="B8492" s="84"/>
      <c r="C8492" s="84"/>
      <c r="D8492" s="84"/>
      <c r="E8492" s="84"/>
      <c r="F8492" s="84"/>
      <c r="G8492" s="84"/>
      <c r="H8492" s="84"/>
      <c r="I8492" s="84"/>
      <c r="J8492" s="84"/>
    </row>
    <row r="8493" spans="1:10" hidden="1">
      <c r="A8493" s="84"/>
      <c r="B8493" s="84"/>
      <c r="C8493" s="84"/>
      <c r="D8493" s="84"/>
      <c r="E8493" s="84"/>
      <c r="F8493" s="84"/>
      <c r="G8493" s="84"/>
      <c r="H8493" s="84"/>
      <c r="I8493" s="84"/>
      <c r="J8493" s="84"/>
    </row>
    <row r="8494" spans="1:10" hidden="1">
      <c r="A8494" s="84"/>
      <c r="B8494" s="84"/>
      <c r="C8494" s="84"/>
      <c r="D8494" s="84"/>
      <c r="E8494" s="84"/>
      <c r="F8494" s="84"/>
      <c r="G8494" s="84"/>
      <c r="H8494" s="84"/>
      <c r="I8494" s="84"/>
      <c r="J8494" s="84"/>
    </row>
    <row r="8495" spans="1:10" hidden="1">
      <c r="A8495" s="84"/>
      <c r="B8495" s="84"/>
      <c r="C8495" s="84"/>
      <c r="D8495" s="84"/>
      <c r="E8495" s="84"/>
      <c r="F8495" s="84"/>
      <c r="G8495" s="84"/>
      <c r="H8495" s="84"/>
      <c r="I8495" s="84"/>
      <c r="J8495" s="84"/>
    </row>
    <row r="8496" spans="1:10" hidden="1">
      <c r="A8496" s="84"/>
      <c r="B8496" s="84"/>
      <c r="C8496" s="84"/>
      <c r="D8496" s="84"/>
      <c r="E8496" s="84"/>
      <c r="F8496" s="84"/>
      <c r="G8496" s="84"/>
      <c r="H8496" s="84"/>
      <c r="I8496" s="84"/>
      <c r="J8496" s="84"/>
    </row>
    <row r="8497" spans="1:10" hidden="1">
      <c r="A8497" s="84"/>
      <c r="B8497" s="84"/>
      <c r="C8497" s="84"/>
      <c r="D8497" s="84"/>
      <c r="E8497" s="84"/>
      <c r="F8497" s="84"/>
      <c r="G8497" s="84"/>
      <c r="H8497" s="84"/>
      <c r="I8497" s="84"/>
      <c r="J8497" s="84"/>
    </row>
    <row r="8498" spans="1:10" hidden="1">
      <c r="A8498" s="84"/>
      <c r="B8498" s="84"/>
      <c r="C8498" s="84"/>
      <c r="D8498" s="84"/>
      <c r="E8498" s="84"/>
      <c r="F8498" s="84"/>
      <c r="G8498" s="84"/>
      <c r="H8498" s="84"/>
      <c r="I8498" s="84"/>
      <c r="J8498" s="84"/>
    </row>
    <row r="8499" spans="1:10" hidden="1">
      <c r="A8499" s="84"/>
      <c r="B8499" s="84"/>
      <c r="C8499" s="84"/>
      <c r="D8499" s="84"/>
      <c r="E8499" s="84"/>
      <c r="F8499" s="84"/>
      <c r="G8499" s="84"/>
      <c r="H8499" s="84"/>
      <c r="I8499" s="84"/>
      <c r="J8499" s="84"/>
    </row>
    <row r="8500" spans="1:10" hidden="1">
      <c r="A8500" s="84"/>
      <c r="B8500" s="84"/>
      <c r="C8500" s="84"/>
      <c r="D8500" s="84"/>
      <c r="E8500" s="84"/>
      <c r="F8500" s="84"/>
      <c r="G8500" s="84"/>
      <c r="H8500" s="84"/>
      <c r="I8500" s="84"/>
      <c r="J8500" s="84"/>
    </row>
    <row r="8501" spans="1:10" hidden="1">
      <c r="A8501" s="84"/>
      <c r="B8501" s="84"/>
      <c r="C8501" s="84"/>
      <c r="D8501" s="84"/>
      <c r="E8501" s="84"/>
      <c r="F8501" s="84"/>
      <c r="G8501" s="84"/>
      <c r="H8501" s="84"/>
      <c r="I8501" s="84"/>
      <c r="J8501" s="84"/>
    </row>
    <row r="8502" spans="1:10" hidden="1">
      <c r="A8502" s="84"/>
      <c r="B8502" s="84"/>
      <c r="C8502" s="84"/>
      <c r="D8502" s="84"/>
      <c r="E8502" s="84"/>
      <c r="F8502" s="84"/>
      <c r="G8502" s="84"/>
      <c r="H8502" s="84"/>
      <c r="I8502" s="84"/>
      <c r="J8502" s="84"/>
    </row>
    <row r="8503" spans="1:10" hidden="1">
      <c r="A8503" s="84"/>
      <c r="B8503" s="84"/>
      <c r="C8503" s="84"/>
      <c r="D8503" s="84"/>
      <c r="E8503" s="84"/>
      <c r="F8503" s="84"/>
      <c r="G8503" s="84"/>
      <c r="H8503" s="84"/>
      <c r="I8503" s="84"/>
      <c r="J8503" s="84"/>
    </row>
    <row r="8504" spans="1:10" hidden="1">
      <c r="A8504" s="84"/>
      <c r="B8504" s="84"/>
      <c r="C8504" s="84"/>
      <c r="D8504" s="84"/>
      <c r="E8504" s="84"/>
      <c r="F8504" s="84"/>
      <c r="G8504" s="84"/>
      <c r="H8504" s="84"/>
      <c r="I8504" s="84"/>
      <c r="J8504" s="84"/>
    </row>
    <row r="8505" spans="1:10" hidden="1">
      <c r="A8505" s="84"/>
      <c r="B8505" s="84"/>
      <c r="C8505" s="84"/>
      <c r="D8505" s="84"/>
      <c r="E8505" s="84"/>
      <c r="F8505" s="84"/>
      <c r="G8505" s="84"/>
      <c r="H8505" s="84"/>
      <c r="I8505" s="84"/>
      <c r="J8505" s="84"/>
    </row>
    <row r="8506" spans="1:10" hidden="1">
      <c r="A8506" s="84"/>
      <c r="B8506" s="84"/>
      <c r="C8506" s="84"/>
      <c r="D8506" s="84"/>
      <c r="E8506" s="84"/>
      <c r="F8506" s="84"/>
      <c r="G8506" s="84"/>
      <c r="H8506" s="84"/>
      <c r="I8506" s="84"/>
      <c r="J8506" s="84"/>
    </row>
    <row r="8507" spans="1:10" hidden="1">
      <c r="A8507" s="84"/>
      <c r="B8507" s="84"/>
      <c r="C8507" s="84"/>
      <c r="D8507" s="84"/>
      <c r="E8507" s="84"/>
      <c r="F8507" s="84"/>
      <c r="G8507" s="84"/>
      <c r="H8507" s="84"/>
      <c r="I8507" s="84"/>
      <c r="J8507" s="84"/>
    </row>
    <row r="8508" spans="1:10" hidden="1">
      <c r="A8508" s="84"/>
      <c r="B8508" s="84"/>
      <c r="C8508" s="84"/>
      <c r="D8508" s="84"/>
      <c r="E8508" s="84"/>
      <c r="F8508" s="84"/>
      <c r="G8508" s="84"/>
      <c r="H8508" s="84"/>
      <c r="I8508" s="84"/>
      <c r="J8508" s="84"/>
    </row>
    <row r="8509" spans="1:10" hidden="1">
      <c r="A8509" s="84"/>
      <c r="B8509" s="84"/>
      <c r="C8509" s="84"/>
      <c r="D8509" s="84"/>
      <c r="E8509" s="84"/>
      <c r="F8509" s="84"/>
      <c r="G8509" s="84"/>
      <c r="H8509" s="84"/>
      <c r="I8509" s="84"/>
      <c r="J8509" s="84"/>
    </row>
    <row r="8510" spans="1:10" hidden="1">
      <c r="A8510" s="84"/>
      <c r="B8510" s="84"/>
      <c r="C8510" s="84"/>
      <c r="D8510" s="84"/>
      <c r="E8510" s="84"/>
      <c r="F8510" s="84"/>
      <c r="G8510" s="84"/>
      <c r="H8510" s="84"/>
      <c r="I8510" s="84"/>
      <c r="J8510" s="84"/>
    </row>
    <row r="8511" spans="1:10" hidden="1">
      <c r="A8511" s="84"/>
      <c r="B8511" s="84"/>
      <c r="C8511" s="84"/>
      <c r="D8511" s="84"/>
      <c r="E8511" s="84"/>
      <c r="F8511" s="84"/>
      <c r="G8511" s="84"/>
      <c r="H8511" s="84"/>
      <c r="I8511" s="84"/>
      <c r="J8511" s="84"/>
    </row>
    <row r="8512" spans="1:10" hidden="1">
      <c r="A8512" s="84"/>
      <c r="B8512" s="84"/>
      <c r="C8512" s="84"/>
      <c r="D8512" s="84"/>
      <c r="E8512" s="84"/>
      <c r="F8512" s="84"/>
      <c r="G8512" s="84"/>
      <c r="H8512" s="84"/>
      <c r="I8512" s="84"/>
      <c r="J8512" s="84"/>
    </row>
    <row r="8513" spans="1:10" hidden="1">
      <c r="A8513" s="84"/>
      <c r="B8513" s="84"/>
      <c r="C8513" s="84"/>
      <c r="D8513" s="84"/>
      <c r="E8513" s="84"/>
      <c r="F8513" s="84"/>
      <c r="G8513" s="84"/>
      <c r="H8513" s="84"/>
      <c r="I8513" s="84"/>
      <c r="J8513" s="84"/>
    </row>
    <row r="8514" spans="1:10" hidden="1">
      <c r="A8514" s="84"/>
      <c r="B8514" s="84"/>
      <c r="C8514" s="84"/>
      <c r="D8514" s="84"/>
      <c r="E8514" s="84"/>
      <c r="F8514" s="84"/>
      <c r="G8514" s="84"/>
      <c r="H8514" s="84"/>
      <c r="I8514" s="84"/>
      <c r="J8514" s="84"/>
    </row>
    <row r="8515" spans="1:10" hidden="1">
      <c r="A8515" s="84"/>
      <c r="B8515" s="84"/>
      <c r="C8515" s="84"/>
      <c r="D8515" s="84"/>
      <c r="E8515" s="84"/>
      <c r="F8515" s="84"/>
      <c r="G8515" s="84"/>
      <c r="H8515" s="84"/>
      <c r="I8515" s="84"/>
      <c r="J8515" s="84"/>
    </row>
    <row r="8516" spans="1:10" hidden="1">
      <c r="A8516" s="84"/>
      <c r="B8516" s="84"/>
      <c r="C8516" s="84"/>
      <c r="D8516" s="84"/>
      <c r="E8516" s="84"/>
      <c r="F8516" s="84"/>
      <c r="G8516" s="84"/>
      <c r="H8516" s="84"/>
      <c r="I8516" s="84"/>
      <c r="J8516" s="84"/>
    </row>
    <row r="8517" spans="1:10" hidden="1" collapsed="1">
      <c r="A8517" s="84"/>
      <c r="B8517" s="84"/>
      <c r="C8517" s="84"/>
      <c r="D8517" s="84"/>
      <c r="E8517" s="84"/>
      <c r="F8517" s="84"/>
      <c r="G8517" s="84"/>
      <c r="H8517" s="84"/>
      <c r="I8517" s="84"/>
      <c r="J8517" s="84"/>
    </row>
    <row r="8518" spans="1:10" hidden="1">
      <c r="A8518" s="84"/>
      <c r="B8518" s="84"/>
      <c r="C8518" s="84"/>
      <c r="D8518" s="84"/>
      <c r="E8518" s="84"/>
      <c r="F8518" s="84"/>
      <c r="G8518" s="84"/>
      <c r="H8518" s="84"/>
      <c r="I8518" s="84"/>
      <c r="J8518" s="84"/>
    </row>
    <row r="8519" spans="1:10" hidden="1">
      <c r="A8519" s="84"/>
      <c r="B8519" s="84"/>
      <c r="C8519" s="84"/>
      <c r="D8519" s="84"/>
      <c r="E8519" s="84"/>
      <c r="F8519" s="84"/>
      <c r="G8519" s="84"/>
      <c r="H8519" s="84"/>
      <c r="I8519" s="84"/>
      <c r="J8519" s="84"/>
    </row>
    <row r="8520" spans="1:10" hidden="1">
      <c r="A8520" s="84"/>
      <c r="B8520" s="84"/>
      <c r="C8520" s="84"/>
      <c r="D8520" s="84"/>
      <c r="E8520" s="84"/>
      <c r="F8520" s="84"/>
      <c r="G8520" s="84"/>
      <c r="H8520" s="84"/>
      <c r="I8520" s="84"/>
      <c r="J8520" s="84"/>
    </row>
    <row r="8521" spans="1:10" hidden="1">
      <c r="A8521" s="84"/>
      <c r="B8521" s="84"/>
      <c r="C8521" s="84"/>
      <c r="D8521" s="84"/>
      <c r="E8521" s="84"/>
      <c r="F8521" s="84"/>
      <c r="G8521" s="84"/>
      <c r="H8521" s="84"/>
      <c r="I8521" s="84"/>
      <c r="J8521" s="84"/>
    </row>
    <row r="8522" spans="1:10" hidden="1">
      <c r="A8522" s="84"/>
      <c r="B8522" s="84"/>
      <c r="C8522" s="84"/>
      <c r="D8522" s="84"/>
      <c r="E8522" s="84"/>
      <c r="F8522" s="84"/>
      <c r="G8522" s="84"/>
      <c r="H8522" s="84"/>
      <c r="I8522" s="84"/>
      <c r="J8522" s="84"/>
    </row>
    <row r="8523" spans="1:10" hidden="1">
      <c r="A8523" s="84"/>
      <c r="B8523" s="84"/>
      <c r="C8523" s="84"/>
      <c r="D8523" s="84"/>
      <c r="E8523" s="84"/>
      <c r="F8523" s="84"/>
      <c r="G8523" s="84"/>
      <c r="H8523" s="84"/>
      <c r="I8523" s="84"/>
      <c r="J8523" s="84"/>
    </row>
    <row r="8524" spans="1:10" hidden="1">
      <c r="A8524" s="84"/>
      <c r="B8524" s="84"/>
      <c r="C8524" s="84"/>
      <c r="D8524" s="84"/>
      <c r="E8524" s="84"/>
      <c r="F8524" s="84"/>
      <c r="G8524" s="84"/>
      <c r="H8524" s="84"/>
      <c r="I8524" s="84"/>
      <c r="J8524" s="84"/>
    </row>
    <row r="8525" spans="1:10" hidden="1">
      <c r="A8525" s="84"/>
      <c r="B8525" s="84"/>
      <c r="C8525" s="84"/>
      <c r="D8525" s="84"/>
      <c r="E8525" s="84"/>
      <c r="F8525" s="84"/>
      <c r="G8525" s="84"/>
      <c r="H8525" s="84"/>
      <c r="I8525" s="84"/>
      <c r="J8525" s="84"/>
    </row>
    <row r="8526" spans="1:10" hidden="1">
      <c r="A8526" s="84"/>
      <c r="B8526" s="84"/>
      <c r="C8526" s="84"/>
      <c r="D8526" s="84"/>
      <c r="E8526" s="84"/>
      <c r="F8526" s="84"/>
      <c r="G8526" s="84"/>
      <c r="H8526" s="84"/>
      <c r="I8526" s="84"/>
      <c r="J8526" s="84"/>
    </row>
    <row r="8527" spans="1:10" hidden="1">
      <c r="A8527" s="84"/>
      <c r="B8527" s="84"/>
      <c r="C8527" s="84"/>
      <c r="D8527" s="84"/>
      <c r="E8527" s="84"/>
      <c r="F8527" s="84"/>
      <c r="G8527" s="84"/>
      <c r="H8527" s="84"/>
      <c r="I8527" s="84"/>
      <c r="J8527" s="84"/>
    </row>
    <row r="8528" spans="1:10" hidden="1">
      <c r="A8528" s="84"/>
      <c r="B8528" s="84"/>
      <c r="C8528" s="84"/>
      <c r="D8528" s="84"/>
      <c r="E8528" s="84"/>
      <c r="F8528" s="84"/>
      <c r="G8528" s="84"/>
      <c r="H8528" s="84"/>
      <c r="I8528" s="84"/>
      <c r="J8528" s="84"/>
    </row>
    <row r="8529" spans="1:25" hidden="1">
      <c r="A8529" s="84"/>
      <c r="B8529" s="84"/>
      <c r="C8529" s="84"/>
      <c r="D8529" s="84"/>
      <c r="E8529" s="84"/>
      <c r="F8529" s="84"/>
      <c r="G8529" s="84"/>
      <c r="H8529" s="84"/>
      <c r="I8529" s="84"/>
      <c r="J8529" s="84"/>
    </row>
    <row r="8530" spans="1:25" hidden="1">
      <c r="A8530" s="84"/>
      <c r="B8530" s="84"/>
      <c r="C8530" s="84"/>
      <c r="D8530" s="84"/>
      <c r="E8530" s="84"/>
      <c r="F8530" s="84"/>
      <c r="G8530" s="84"/>
      <c r="H8530" s="84"/>
      <c r="I8530" s="84"/>
      <c r="J8530" s="84"/>
    </row>
    <row r="8531" spans="1:25" hidden="1">
      <c r="A8531" s="84"/>
      <c r="B8531" s="84"/>
      <c r="C8531" s="84"/>
      <c r="D8531" s="84"/>
      <c r="E8531" s="84"/>
      <c r="F8531" s="84"/>
      <c r="G8531" s="84"/>
      <c r="H8531" s="84"/>
      <c r="I8531" s="84"/>
      <c r="J8531" s="84"/>
    </row>
    <row r="8532" spans="1:25" hidden="1">
      <c r="A8532" s="84"/>
      <c r="B8532" s="84"/>
      <c r="C8532" s="84"/>
      <c r="D8532" s="84"/>
      <c r="E8532" s="84"/>
      <c r="F8532" s="84"/>
      <c r="G8532" s="84"/>
      <c r="H8532" s="84"/>
      <c r="I8532" s="84"/>
      <c r="J8532" s="84"/>
    </row>
    <row r="8533" spans="1:25" hidden="1">
      <c r="A8533" s="84"/>
      <c r="B8533" s="84"/>
      <c r="C8533" s="84"/>
      <c r="D8533" s="84"/>
      <c r="E8533" s="84"/>
      <c r="F8533" s="84"/>
      <c r="G8533" s="84"/>
      <c r="H8533" s="84"/>
      <c r="I8533" s="84"/>
      <c r="J8533" s="84"/>
    </row>
    <row r="8534" spans="1:25" hidden="1" collapsed="1">
      <c r="A8534" s="84"/>
      <c r="B8534" s="84"/>
      <c r="C8534" s="84"/>
      <c r="D8534" s="84"/>
      <c r="E8534" s="84"/>
      <c r="F8534" s="84"/>
      <c r="G8534" s="84"/>
      <c r="H8534" s="84"/>
      <c r="I8534" s="84"/>
      <c r="J8534" s="84"/>
    </row>
    <row r="8535" spans="1:25" hidden="1"/>
    <row r="8536" spans="1:25" s="88" customFormat="1" hidden="1">
      <c r="A8536" s="422"/>
      <c r="B8536" s="301"/>
      <c r="C8536" s="321" t="s">
        <v>4077</v>
      </c>
      <c r="D8536" s="264"/>
      <c r="E8536" s="264"/>
      <c r="F8536" s="322"/>
      <c r="G8536" s="323" t="s">
        <v>4311</v>
      </c>
      <c r="H8536" s="667"/>
      <c r="I8536" s="650"/>
      <c r="J8536" s="668"/>
      <c r="K8536" s="575"/>
      <c r="L8536" s="575"/>
      <c r="M8536" s="575"/>
      <c r="N8536" s="575"/>
      <c r="O8536" s="575"/>
      <c r="P8536" s="575"/>
      <c r="Q8536" s="575"/>
      <c r="R8536" s="575"/>
      <c r="S8536" s="575"/>
      <c r="T8536" s="575"/>
      <c r="U8536" s="575"/>
      <c r="V8536" s="575"/>
      <c r="W8536" s="575"/>
      <c r="X8536" s="575"/>
      <c r="Y8536" s="575"/>
    </row>
    <row r="8537" spans="1:25" ht="30" hidden="1">
      <c r="C8537" s="273"/>
      <c r="D8537" s="357">
        <v>660</v>
      </c>
      <c r="E8537" s="357"/>
      <c r="F8537" s="357"/>
      <c r="G8537" s="358" t="s">
        <v>186</v>
      </c>
    </row>
    <row r="8538" spans="1:25" hidden="1">
      <c r="F8538" s="425">
        <v>411</v>
      </c>
      <c r="G8538" s="420" t="s">
        <v>4173</v>
      </c>
      <c r="J8538" s="635">
        <f>SUM(H8538:I8538)</f>
        <v>0</v>
      </c>
    </row>
    <row r="8539" spans="1:25" hidden="1">
      <c r="F8539" s="425">
        <v>412</v>
      </c>
      <c r="G8539" s="418" t="s">
        <v>3770</v>
      </c>
      <c r="J8539" s="635">
        <f t="shared" ref="J8539:J8597" si="267">SUM(H8539:I8539)</f>
        <v>0</v>
      </c>
    </row>
    <row r="8540" spans="1:25" hidden="1">
      <c r="F8540" s="425">
        <v>413</v>
      </c>
      <c r="G8540" s="420" t="s">
        <v>4174</v>
      </c>
      <c r="J8540" s="635">
        <f t="shared" si="267"/>
        <v>0</v>
      </c>
    </row>
    <row r="8541" spans="1:25" hidden="1">
      <c r="F8541" s="425">
        <v>414</v>
      </c>
      <c r="G8541" s="420" t="s">
        <v>3773</v>
      </c>
      <c r="J8541" s="635">
        <f t="shared" si="267"/>
        <v>0</v>
      </c>
    </row>
    <row r="8542" spans="1:25" hidden="1">
      <c r="F8542" s="425">
        <v>415</v>
      </c>
      <c r="G8542" s="420" t="s">
        <v>4183</v>
      </c>
      <c r="J8542" s="635">
        <f t="shared" si="267"/>
        <v>0</v>
      </c>
    </row>
    <row r="8543" spans="1:25" hidden="1">
      <c r="F8543" s="425">
        <v>416</v>
      </c>
      <c r="G8543" s="420" t="s">
        <v>4184</v>
      </c>
      <c r="J8543" s="635">
        <f t="shared" si="267"/>
        <v>0</v>
      </c>
    </row>
    <row r="8544" spans="1:25" hidden="1">
      <c r="F8544" s="425">
        <v>417</v>
      </c>
      <c r="G8544" s="420" t="s">
        <v>4185</v>
      </c>
      <c r="J8544" s="635">
        <f t="shared" si="267"/>
        <v>0</v>
      </c>
    </row>
    <row r="8545" spans="6:10" hidden="1">
      <c r="F8545" s="425">
        <v>418</v>
      </c>
      <c r="G8545" s="420" t="s">
        <v>3779</v>
      </c>
      <c r="J8545" s="635">
        <f t="shared" si="267"/>
        <v>0</v>
      </c>
    </row>
    <row r="8546" spans="6:10" hidden="1">
      <c r="F8546" s="425">
        <v>421</v>
      </c>
      <c r="G8546" s="420" t="s">
        <v>3783</v>
      </c>
      <c r="J8546" s="635">
        <f t="shared" si="267"/>
        <v>0</v>
      </c>
    </row>
    <row r="8547" spans="6:10" hidden="1">
      <c r="F8547" s="425">
        <v>422</v>
      </c>
      <c r="G8547" s="420" t="s">
        <v>3784</v>
      </c>
      <c r="J8547" s="635">
        <f t="shared" si="267"/>
        <v>0</v>
      </c>
    </row>
    <row r="8548" spans="6:10" hidden="1">
      <c r="F8548" s="425">
        <v>423</v>
      </c>
      <c r="G8548" s="420" t="s">
        <v>3785</v>
      </c>
      <c r="J8548" s="635">
        <f t="shared" si="267"/>
        <v>0</v>
      </c>
    </row>
    <row r="8549" spans="6:10" ht="15.75" hidden="1" thickBot="1">
      <c r="F8549" s="425">
        <v>424</v>
      </c>
      <c r="G8549" s="420" t="s">
        <v>3787</v>
      </c>
      <c r="J8549" s="635">
        <f t="shared" si="267"/>
        <v>0</v>
      </c>
    </row>
    <row r="8550" spans="6:10" ht="15.75" hidden="1" thickBot="1">
      <c r="F8550" s="425">
        <v>425</v>
      </c>
      <c r="G8550" s="420" t="s">
        <v>4186</v>
      </c>
      <c r="J8550" s="635">
        <f t="shared" si="267"/>
        <v>0</v>
      </c>
    </row>
    <row r="8551" spans="6:10" ht="15.75" hidden="1" thickBot="1">
      <c r="F8551" s="425">
        <v>426</v>
      </c>
      <c r="G8551" s="420" t="s">
        <v>3791</v>
      </c>
      <c r="J8551" s="635">
        <f t="shared" si="267"/>
        <v>0</v>
      </c>
    </row>
    <row r="8552" spans="6:10" ht="15.75" hidden="1" thickBot="1">
      <c r="F8552" s="425">
        <v>431</v>
      </c>
      <c r="G8552" s="420" t="s">
        <v>4187</v>
      </c>
      <c r="J8552" s="635">
        <f t="shared" si="267"/>
        <v>0</v>
      </c>
    </row>
    <row r="8553" spans="6:10" ht="15.75" hidden="1" thickBot="1">
      <c r="F8553" s="425">
        <v>432</v>
      </c>
      <c r="G8553" s="420" t="s">
        <v>4188</v>
      </c>
      <c r="J8553" s="635">
        <f t="shared" si="267"/>
        <v>0</v>
      </c>
    </row>
    <row r="8554" spans="6:10" ht="15.75" hidden="1" thickBot="1">
      <c r="F8554" s="425">
        <v>433</v>
      </c>
      <c r="G8554" s="420" t="s">
        <v>4189</v>
      </c>
      <c r="J8554" s="635">
        <f t="shared" si="267"/>
        <v>0</v>
      </c>
    </row>
    <row r="8555" spans="6:10" ht="15.75" hidden="1" thickBot="1">
      <c r="F8555" s="425">
        <v>434</v>
      </c>
      <c r="G8555" s="420" t="s">
        <v>4190</v>
      </c>
      <c r="J8555" s="635">
        <f t="shared" si="267"/>
        <v>0</v>
      </c>
    </row>
    <row r="8556" spans="6:10" ht="15.75" hidden="1" thickBot="1">
      <c r="F8556" s="425">
        <v>435</v>
      </c>
      <c r="G8556" s="420" t="s">
        <v>3798</v>
      </c>
      <c r="J8556" s="635">
        <f t="shared" si="267"/>
        <v>0</v>
      </c>
    </row>
    <row r="8557" spans="6:10" ht="15.75" hidden="1" thickBot="1">
      <c r="F8557" s="425">
        <v>441</v>
      </c>
      <c r="G8557" s="420" t="s">
        <v>4191</v>
      </c>
      <c r="J8557" s="635">
        <f t="shared" si="267"/>
        <v>0</v>
      </c>
    </row>
    <row r="8558" spans="6:10" ht="15.75" hidden="1" thickBot="1">
      <c r="F8558" s="425">
        <v>442</v>
      </c>
      <c r="G8558" s="420" t="s">
        <v>4192</v>
      </c>
      <c r="J8558" s="635">
        <f t="shared" si="267"/>
        <v>0</v>
      </c>
    </row>
    <row r="8559" spans="6:10" ht="15.75" hidden="1" thickBot="1">
      <c r="F8559" s="425">
        <v>443</v>
      </c>
      <c r="G8559" s="420" t="s">
        <v>3803</v>
      </c>
      <c r="J8559" s="635">
        <f t="shared" si="267"/>
        <v>0</v>
      </c>
    </row>
    <row r="8560" spans="6:10" ht="15.75" hidden="1" thickBot="1">
      <c r="F8560" s="425">
        <v>444</v>
      </c>
      <c r="G8560" s="420" t="s">
        <v>3804</v>
      </c>
      <c r="J8560" s="635">
        <f t="shared" si="267"/>
        <v>0</v>
      </c>
    </row>
    <row r="8561" spans="6:10" ht="30.75" hidden="1" thickBot="1">
      <c r="F8561" s="425">
        <v>4511</v>
      </c>
      <c r="G8561" s="268" t="s">
        <v>1690</v>
      </c>
      <c r="J8561" s="635">
        <f t="shared" si="267"/>
        <v>0</v>
      </c>
    </row>
    <row r="8562" spans="6:10" ht="19.5" hidden="1" customHeight="1">
      <c r="F8562" s="425">
        <v>4512</v>
      </c>
      <c r="G8562" s="268" t="s">
        <v>1699</v>
      </c>
      <c r="J8562" s="635">
        <f t="shared" si="267"/>
        <v>0</v>
      </c>
    </row>
    <row r="8563" spans="6:10" ht="15.75" hidden="1" thickBot="1">
      <c r="F8563" s="425">
        <v>452</v>
      </c>
      <c r="G8563" s="420" t="s">
        <v>4193</v>
      </c>
      <c r="J8563" s="635">
        <f t="shared" si="267"/>
        <v>0</v>
      </c>
    </row>
    <row r="8564" spans="6:10" ht="15.75" hidden="1" thickBot="1">
      <c r="F8564" s="425">
        <v>453</v>
      </c>
      <c r="G8564" s="420" t="s">
        <v>4194</v>
      </c>
      <c r="J8564" s="635">
        <f t="shared" si="267"/>
        <v>0</v>
      </c>
    </row>
    <row r="8565" spans="6:10" ht="15.75" hidden="1" thickBot="1">
      <c r="F8565" s="425">
        <v>454</v>
      </c>
      <c r="G8565" s="420" t="s">
        <v>3809</v>
      </c>
      <c r="J8565" s="635">
        <f t="shared" si="267"/>
        <v>0</v>
      </c>
    </row>
    <row r="8566" spans="6:10" ht="15.75" hidden="1" thickBot="1">
      <c r="F8566" s="425">
        <v>461</v>
      </c>
      <c r="G8566" s="420" t="s">
        <v>4175</v>
      </c>
      <c r="J8566" s="635">
        <f t="shared" si="267"/>
        <v>0</v>
      </c>
    </row>
    <row r="8567" spans="6:10" ht="15.75" hidden="1" thickBot="1">
      <c r="F8567" s="425">
        <v>462</v>
      </c>
      <c r="G8567" s="420" t="s">
        <v>3812</v>
      </c>
      <c r="J8567" s="635">
        <f t="shared" si="267"/>
        <v>0</v>
      </c>
    </row>
    <row r="8568" spans="6:10" ht="15.75" hidden="1" thickBot="1">
      <c r="F8568" s="425">
        <v>4631</v>
      </c>
      <c r="G8568" s="420" t="s">
        <v>3813</v>
      </c>
      <c r="J8568" s="635">
        <f t="shared" si="267"/>
        <v>0</v>
      </c>
    </row>
    <row r="8569" spans="6:10" ht="15.75" hidden="1" thickBot="1">
      <c r="F8569" s="425">
        <v>4632</v>
      </c>
      <c r="G8569" s="420" t="s">
        <v>3814</v>
      </c>
      <c r="J8569" s="635">
        <f t="shared" si="267"/>
        <v>0</v>
      </c>
    </row>
    <row r="8570" spans="6:10" ht="15.75" hidden="1" thickBot="1">
      <c r="F8570" s="425">
        <v>464</v>
      </c>
      <c r="G8570" s="420" t="s">
        <v>3815</v>
      </c>
      <c r="J8570" s="635">
        <f t="shared" si="267"/>
        <v>0</v>
      </c>
    </row>
    <row r="8571" spans="6:10" ht="15.75" hidden="1" thickBot="1">
      <c r="F8571" s="425">
        <v>465</v>
      </c>
      <c r="G8571" s="420" t="s">
        <v>4176</v>
      </c>
      <c r="J8571" s="635">
        <f t="shared" si="267"/>
        <v>0</v>
      </c>
    </row>
    <row r="8572" spans="6:10" ht="15.75" hidden="1" thickBot="1">
      <c r="F8572" s="425">
        <v>472</v>
      </c>
      <c r="G8572" s="420" t="s">
        <v>3819</v>
      </c>
      <c r="J8572" s="635">
        <f t="shared" si="267"/>
        <v>0</v>
      </c>
    </row>
    <row r="8573" spans="6:10" ht="15.75" hidden="1" thickBot="1">
      <c r="F8573" s="425">
        <v>481</v>
      </c>
      <c r="G8573" s="420" t="s">
        <v>4195</v>
      </c>
      <c r="J8573" s="635">
        <f t="shared" si="267"/>
        <v>0</v>
      </c>
    </row>
    <row r="8574" spans="6:10" ht="15.75" hidden="1" thickBot="1">
      <c r="F8574" s="425">
        <v>482</v>
      </c>
      <c r="G8574" s="420" t="s">
        <v>4196</v>
      </c>
      <c r="J8574" s="635">
        <f t="shared" si="267"/>
        <v>0</v>
      </c>
    </row>
    <row r="8575" spans="6:10" ht="15.75" hidden="1" thickBot="1">
      <c r="F8575" s="425">
        <v>483</v>
      </c>
      <c r="G8575" s="423" t="s">
        <v>4197</v>
      </c>
      <c r="J8575" s="635">
        <f t="shared" si="267"/>
        <v>0</v>
      </c>
    </row>
    <row r="8576" spans="6:10" ht="30.75" hidden="1" thickBot="1">
      <c r="F8576" s="425">
        <v>484</v>
      </c>
      <c r="G8576" s="420" t="s">
        <v>4198</v>
      </c>
      <c r="J8576" s="635">
        <f t="shared" si="267"/>
        <v>0</v>
      </c>
    </row>
    <row r="8577" spans="6:10" ht="30.75" hidden="1" thickBot="1">
      <c r="F8577" s="425">
        <v>485</v>
      </c>
      <c r="G8577" s="420" t="s">
        <v>4199</v>
      </c>
      <c r="J8577" s="635">
        <f t="shared" si="267"/>
        <v>0</v>
      </c>
    </row>
    <row r="8578" spans="6:10" ht="30.75" hidden="1" thickBot="1">
      <c r="F8578" s="425">
        <v>489</v>
      </c>
      <c r="G8578" s="420" t="s">
        <v>3827</v>
      </c>
      <c r="J8578" s="635">
        <f t="shared" si="267"/>
        <v>0</v>
      </c>
    </row>
    <row r="8579" spans="6:10" ht="15.75" hidden="1" thickBot="1">
      <c r="F8579" s="425">
        <v>494</v>
      </c>
      <c r="G8579" s="420" t="s">
        <v>4177</v>
      </c>
      <c r="J8579" s="635">
        <f t="shared" si="267"/>
        <v>0</v>
      </c>
    </row>
    <row r="8580" spans="6:10" ht="30.75" hidden="1" thickBot="1">
      <c r="F8580" s="425">
        <v>495</v>
      </c>
      <c r="G8580" s="420" t="s">
        <v>4178</v>
      </c>
      <c r="J8580" s="635">
        <f t="shared" si="267"/>
        <v>0</v>
      </c>
    </row>
    <row r="8581" spans="6:10" ht="30.75" hidden="1" thickBot="1">
      <c r="F8581" s="425">
        <v>496</v>
      </c>
      <c r="G8581" s="420" t="s">
        <v>4179</v>
      </c>
      <c r="J8581" s="635">
        <f t="shared" si="267"/>
        <v>0</v>
      </c>
    </row>
    <row r="8582" spans="6:10" ht="15.75" hidden="1" thickBot="1">
      <c r="F8582" s="425">
        <v>499</v>
      </c>
      <c r="G8582" s="420" t="s">
        <v>4180</v>
      </c>
      <c r="J8582" s="635">
        <f t="shared" si="267"/>
        <v>0</v>
      </c>
    </row>
    <row r="8583" spans="6:10" ht="15.75" hidden="1" thickBot="1">
      <c r="F8583" s="425">
        <v>511</v>
      </c>
      <c r="G8583" s="423" t="s">
        <v>4200</v>
      </c>
      <c r="J8583" s="635">
        <f t="shared" si="267"/>
        <v>0</v>
      </c>
    </row>
    <row r="8584" spans="6:10" ht="15.75" hidden="1" thickBot="1">
      <c r="F8584" s="425">
        <v>512</v>
      </c>
      <c r="G8584" s="423" t="s">
        <v>4201</v>
      </c>
      <c r="J8584" s="635">
        <f t="shared" si="267"/>
        <v>0</v>
      </c>
    </row>
    <row r="8585" spans="6:10" ht="15.75" hidden="1" thickBot="1">
      <c r="F8585" s="425">
        <v>513</v>
      </c>
      <c r="G8585" s="423" t="s">
        <v>4202</v>
      </c>
      <c r="J8585" s="635">
        <f t="shared" si="267"/>
        <v>0</v>
      </c>
    </row>
    <row r="8586" spans="6:10" ht="15.75" hidden="1" thickBot="1">
      <c r="F8586" s="425">
        <v>514</v>
      </c>
      <c r="G8586" s="420" t="s">
        <v>4203</v>
      </c>
      <c r="J8586" s="635">
        <f t="shared" si="267"/>
        <v>0</v>
      </c>
    </row>
    <row r="8587" spans="6:10" ht="15.75" hidden="1" thickBot="1">
      <c r="F8587" s="425">
        <v>515</v>
      </c>
      <c r="G8587" s="420" t="s">
        <v>3838</v>
      </c>
      <c r="J8587" s="635">
        <f t="shared" si="267"/>
        <v>0</v>
      </c>
    </row>
    <row r="8588" spans="6:10" ht="15.75" hidden="1" thickBot="1">
      <c r="F8588" s="425">
        <v>521</v>
      </c>
      <c r="G8588" s="420" t="s">
        <v>4204</v>
      </c>
      <c r="J8588" s="635">
        <f t="shared" si="267"/>
        <v>0</v>
      </c>
    </row>
    <row r="8589" spans="6:10" ht="15.75" hidden="1" thickBot="1">
      <c r="F8589" s="425">
        <v>522</v>
      </c>
      <c r="G8589" s="420" t="s">
        <v>4205</v>
      </c>
      <c r="J8589" s="635">
        <f t="shared" si="267"/>
        <v>0</v>
      </c>
    </row>
    <row r="8590" spans="6:10" ht="15.75" hidden="1" thickBot="1">
      <c r="F8590" s="425">
        <v>523</v>
      </c>
      <c r="G8590" s="420" t="s">
        <v>3843</v>
      </c>
      <c r="J8590" s="635">
        <f t="shared" si="267"/>
        <v>0</v>
      </c>
    </row>
    <row r="8591" spans="6:10" ht="15.75" hidden="1" thickBot="1">
      <c r="F8591" s="425">
        <v>531</v>
      </c>
      <c r="G8591" s="418" t="s">
        <v>4181</v>
      </c>
      <c r="J8591" s="635">
        <f t="shared" si="267"/>
        <v>0</v>
      </c>
    </row>
    <row r="8592" spans="6:10" ht="15.75" hidden="1" thickBot="1">
      <c r="F8592" s="425">
        <v>541</v>
      </c>
      <c r="G8592" s="420" t="s">
        <v>4206</v>
      </c>
      <c r="J8592" s="635">
        <f t="shared" si="267"/>
        <v>0</v>
      </c>
    </row>
    <row r="8593" spans="5:10" ht="15.75" hidden="1" thickBot="1">
      <c r="F8593" s="425">
        <v>542</v>
      </c>
      <c r="G8593" s="420" t="s">
        <v>4207</v>
      </c>
      <c r="J8593" s="635">
        <f t="shared" si="267"/>
        <v>0</v>
      </c>
    </row>
    <row r="8594" spans="5:10" ht="15.75" hidden="1" thickBot="1">
      <c r="F8594" s="425">
        <v>543</v>
      </c>
      <c r="G8594" s="420" t="s">
        <v>3848</v>
      </c>
      <c r="J8594" s="635">
        <f t="shared" si="267"/>
        <v>0</v>
      </c>
    </row>
    <row r="8595" spans="5:10" ht="30.75" hidden="1" thickBot="1">
      <c r="F8595" s="425">
        <v>551</v>
      </c>
      <c r="G8595" s="420" t="s">
        <v>4182</v>
      </c>
      <c r="J8595" s="635">
        <f t="shared" si="267"/>
        <v>0</v>
      </c>
    </row>
    <row r="8596" spans="5:10" ht="15.75" hidden="1" thickBot="1">
      <c r="F8596" s="426">
        <v>611</v>
      </c>
      <c r="G8596" s="424" t="s">
        <v>3854</v>
      </c>
      <c r="J8596" s="635">
        <f t="shared" si="267"/>
        <v>0</v>
      </c>
    </row>
    <row r="8597" spans="5:10" ht="15.75" hidden="1" thickBot="1">
      <c r="F8597" s="426">
        <v>620</v>
      </c>
      <c r="G8597" s="424" t="s">
        <v>88</v>
      </c>
      <c r="J8597" s="635">
        <f t="shared" si="267"/>
        <v>0</v>
      </c>
    </row>
    <row r="8598" spans="5:10" hidden="1">
      <c r="E8598" s="419"/>
      <c r="F8598" s="426"/>
      <c r="G8598" s="372" t="s">
        <v>4406</v>
      </c>
      <c r="H8598" s="636"/>
      <c r="I8598" s="662"/>
      <c r="J8598" s="637"/>
    </row>
    <row r="8599" spans="5:10" ht="15.75" hidden="1" thickBot="1">
      <c r="E8599" s="267"/>
      <c r="F8599" s="294" t="s">
        <v>234</v>
      </c>
      <c r="G8599" s="297" t="s">
        <v>235</v>
      </c>
      <c r="H8599" s="638">
        <f>SUM(H8538:H8597)</f>
        <v>0</v>
      </c>
      <c r="I8599" s="639"/>
      <c r="J8599" s="639">
        <f t="shared" ref="J8599:J8614" si="268">SUM(H8599:I8599)</f>
        <v>0</v>
      </c>
    </row>
    <row r="8600" spans="5:10" ht="15.75" hidden="1" thickBot="1">
      <c r="F8600" s="294" t="s">
        <v>236</v>
      </c>
      <c r="G8600" s="297" t="s">
        <v>237</v>
      </c>
      <c r="J8600" s="639">
        <f t="shared" si="268"/>
        <v>0</v>
      </c>
    </row>
    <row r="8601" spans="5:10" ht="15.75" hidden="1" thickBot="1">
      <c r="F8601" s="294" t="s">
        <v>238</v>
      </c>
      <c r="G8601" s="297" t="s">
        <v>239</v>
      </c>
      <c r="J8601" s="639">
        <f t="shared" si="268"/>
        <v>0</v>
      </c>
    </row>
    <row r="8602" spans="5:10" ht="15.75" hidden="1" thickBot="1">
      <c r="F8602" s="294" t="s">
        <v>240</v>
      </c>
      <c r="G8602" s="297" t="s">
        <v>241</v>
      </c>
      <c r="J8602" s="639">
        <f t="shared" si="268"/>
        <v>0</v>
      </c>
    </row>
    <row r="8603" spans="5:10" ht="15.75" hidden="1" thickBot="1">
      <c r="F8603" s="294" t="s">
        <v>242</v>
      </c>
      <c r="G8603" s="297" t="s">
        <v>243</v>
      </c>
      <c r="J8603" s="639">
        <f t="shared" si="268"/>
        <v>0</v>
      </c>
    </row>
    <row r="8604" spans="5:10" ht="15.75" hidden="1" thickBot="1">
      <c r="F8604" s="294" t="s">
        <v>244</v>
      </c>
      <c r="G8604" s="297" t="s">
        <v>245</v>
      </c>
      <c r="J8604" s="639">
        <f t="shared" si="268"/>
        <v>0</v>
      </c>
    </row>
    <row r="8605" spans="5:10" ht="15.75" hidden="1" thickBot="1">
      <c r="F8605" s="294" t="s">
        <v>246</v>
      </c>
      <c r="G8605" s="683" t="s">
        <v>5121</v>
      </c>
      <c r="J8605" s="639">
        <f t="shared" si="268"/>
        <v>0</v>
      </c>
    </row>
    <row r="8606" spans="5:10" ht="15.75" hidden="1" thickBot="1">
      <c r="F8606" s="294" t="s">
        <v>247</v>
      </c>
      <c r="G8606" s="683" t="s">
        <v>5120</v>
      </c>
      <c r="J8606" s="639">
        <f t="shared" si="268"/>
        <v>0</v>
      </c>
    </row>
    <row r="8607" spans="5:10" ht="15.75" hidden="1" thickBot="1">
      <c r="F8607" s="294" t="s">
        <v>248</v>
      </c>
      <c r="G8607" s="297" t="s">
        <v>57</v>
      </c>
      <c r="J8607" s="639">
        <f t="shared" si="268"/>
        <v>0</v>
      </c>
    </row>
    <row r="8608" spans="5:10" ht="15.75" hidden="1" thickBot="1">
      <c r="F8608" s="294" t="s">
        <v>249</v>
      </c>
      <c r="G8608" s="297" t="s">
        <v>250</v>
      </c>
      <c r="J8608" s="639">
        <f t="shared" si="268"/>
        <v>0</v>
      </c>
    </row>
    <row r="8609" spans="5:10" ht="15.75" hidden="1" thickBot="1">
      <c r="F8609" s="294" t="s">
        <v>251</v>
      </c>
      <c r="G8609" s="297" t="s">
        <v>252</v>
      </c>
      <c r="J8609" s="639">
        <f t="shared" si="268"/>
        <v>0</v>
      </c>
    </row>
    <row r="8610" spans="5:10" ht="15.75" hidden="1" thickBot="1">
      <c r="F8610" s="294" t="s">
        <v>253</v>
      </c>
      <c r="G8610" s="297" t="s">
        <v>254</v>
      </c>
      <c r="J8610" s="639">
        <f t="shared" si="268"/>
        <v>0</v>
      </c>
    </row>
    <row r="8611" spans="5:10" ht="15.75" hidden="1" thickBot="1">
      <c r="F8611" s="294" t="s">
        <v>255</v>
      </c>
      <c r="G8611" s="297" t="s">
        <v>256</v>
      </c>
      <c r="J8611" s="639">
        <f t="shared" si="268"/>
        <v>0</v>
      </c>
    </row>
    <row r="8612" spans="5:10" ht="15.75" hidden="1" thickBot="1">
      <c r="F8612" s="294" t="s">
        <v>257</v>
      </c>
      <c r="G8612" s="297" t="s">
        <v>258</v>
      </c>
      <c r="J8612" s="639">
        <f t="shared" si="268"/>
        <v>0</v>
      </c>
    </row>
    <row r="8613" spans="5:10" ht="15.75" hidden="1" thickBot="1">
      <c r="F8613" s="294" t="s">
        <v>259</v>
      </c>
      <c r="G8613" s="297" t="s">
        <v>260</v>
      </c>
      <c r="J8613" s="639">
        <f t="shared" si="268"/>
        <v>0</v>
      </c>
    </row>
    <row r="8614" spans="5:10" ht="15.75" hidden="1" thickBot="1">
      <c r="F8614" s="294" t="s">
        <v>261</v>
      </c>
      <c r="G8614" s="297" t="s">
        <v>262</v>
      </c>
      <c r="H8614" s="638"/>
      <c r="I8614" s="639"/>
      <c r="J8614" s="639">
        <f t="shared" si="268"/>
        <v>0</v>
      </c>
    </row>
    <row r="8615" spans="5:10" ht="15.75" hidden="1" thickBot="1">
      <c r="G8615" s="274" t="s">
        <v>4407</v>
      </c>
      <c r="H8615" s="640">
        <f>SUM(H8599:H8614)</f>
        <v>0</v>
      </c>
      <c r="I8615" s="641">
        <f>SUM(I8600:I8614)</f>
        <v>0</v>
      </c>
      <c r="J8615" s="641">
        <f>SUM(J8599:J8614)</f>
        <v>0</v>
      </c>
    </row>
    <row r="8616" spans="5:10" hidden="1" collapsed="1">
      <c r="E8616" s="419"/>
      <c r="F8616" s="426"/>
      <c r="G8616" s="276" t="s">
        <v>4429</v>
      </c>
      <c r="H8616" s="642"/>
      <c r="I8616" s="663"/>
      <c r="J8616" s="643"/>
    </row>
    <row r="8617" spans="5:10" ht="15.75" hidden="1" thickBot="1">
      <c r="E8617" s="267"/>
      <c r="F8617" s="294" t="s">
        <v>234</v>
      </c>
      <c r="G8617" s="297" t="s">
        <v>235</v>
      </c>
      <c r="H8617" s="638">
        <f>SUM(H8538:H8597)</f>
        <v>0</v>
      </c>
      <c r="I8617" s="639"/>
      <c r="J8617" s="639">
        <f>SUM(H8617:I8617)</f>
        <v>0</v>
      </c>
    </row>
    <row r="8618" spans="5:10" ht="15.75" hidden="1" thickBot="1">
      <c r="F8618" s="294" t="s">
        <v>236</v>
      </c>
      <c r="G8618" s="297" t="s">
        <v>237</v>
      </c>
      <c r="J8618" s="639">
        <f t="shared" ref="J8618:J8632" si="269">SUM(H8618:I8618)</f>
        <v>0</v>
      </c>
    </row>
    <row r="8619" spans="5:10" ht="15.75" hidden="1" thickBot="1">
      <c r="F8619" s="294" t="s">
        <v>238</v>
      </c>
      <c r="G8619" s="297" t="s">
        <v>239</v>
      </c>
      <c r="J8619" s="639">
        <f t="shared" si="269"/>
        <v>0</v>
      </c>
    </row>
    <row r="8620" spans="5:10" ht="15.75" hidden="1" thickBot="1">
      <c r="F8620" s="294" t="s">
        <v>240</v>
      </c>
      <c r="G8620" s="297" t="s">
        <v>241</v>
      </c>
      <c r="J8620" s="639">
        <f t="shared" si="269"/>
        <v>0</v>
      </c>
    </row>
    <row r="8621" spans="5:10" ht="15.75" hidden="1" thickBot="1">
      <c r="F8621" s="294" t="s">
        <v>242</v>
      </c>
      <c r="G8621" s="297" t="s">
        <v>243</v>
      </c>
      <c r="J8621" s="639">
        <f t="shared" si="269"/>
        <v>0</v>
      </c>
    </row>
    <row r="8622" spans="5:10" ht="15.75" hidden="1" thickBot="1">
      <c r="F8622" s="294" t="s">
        <v>244</v>
      </c>
      <c r="G8622" s="297" t="s">
        <v>245</v>
      </c>
      <c r="J8622" s="639">
        <f t="shared" si="269"/>
        <v>0</v>
      </c>
    </row>
    <row r="8623" spans="5:10" ht="15.75" hidden="1" thickBot="1">
      <c r="F8623" s="294" t="s">
        <v>246</v>
      </c>
      <c r="G8623" s="683" t="s">
        <v>5121</v>
      </c>
      <c r="J8623" s="639">
        <f t="shared" si="269"/>
        <v>0</v>
      </c>
    </row>
    <row r="8624" spans="5:10" ht="15.75" hidden="1" thickBot="1">
      <c r="F8624" s="294" t="s">
        <v>247</v>
      </c>
      <c r="G8624" s="683" t="s">
        <v>5120</v>
      </c>
      <c r="J8624" s="639">
        <f t="shared" si="269"/>
        <v>0</v>
      </c>
    </row>
    <row r="8625" spans="1:25" ht="15.75" hidden="1" thickBot="1">
      <c r="F8625" s="294" t="s">
        <v>248</v>
      </c>
      <c r="G8625" s="297" t="s">
        <v>57</v>
      </c>
      <c r="J8625" s="639">
        <f t="shared" si="269"/>
        <v>0</v>
      </c>
    </row>
    <row r="8626" spans="1:25" ht="15.75" hidden="1" thickBot="1">
      <c r="F8626" s="294" t="s">
        <v>249</v>
      </c>
      <c r="G8626" s="297" t="s">
        <v>250</v>
      </c>
      <c r="J8626" s="639">
        <f t="shared" si="269"/>
        <v>0</v>
      </c>
    </row>
    <row r="8627" spans="1:25" ht="15.75" hidden="1" thickBot="1">
      <c r="F8627" s="294" t="s">
        <v>251</v>
      </c>
      <c r="G8627" s="297" t="s">
        <v>252</v>
      </c>
      <c r="J8627" s="639">
        <f t="shared" si="269"/>
        <v>0</v>
      </c>
    </row>
    <row r="8628" spans="1:25" ht="15.75" hidden="1" thickBot="1">
      <c r="F8628" s="294" t="s">
        <v>253</v>
      </c>
      <c r="G8628" s="297" t="s">
        <v>254</v>
      </c>
      <c r="J8628" s="639">
        <f t="shared" si="269"/>
        <v>0</v>
      </c>
    </row>
    <row r="8629" spans="1:25" ht="15.75" hidden="1" thickBot="1">
      <c r="F8629" s="294" t="s">
        <v>255</v>
      </c>
      <c r="G8629" s="297" t="s">
        <v>256</v>
      </c>
      <c r="J8629" s="639">
        <f t="shared" si="269"/>
        <v>0</v>
      </c>
    </row>
    <row r="8630" spans="1:25" ht="15.75" hidden="1" thickBot="1">
      <c r="F8630" s="294" t="s">
        <v>257</v>
      </c>
      <c r="G8630" s="297" t="s">
        <v>258</v>
      </c>
      <c r="J8630" s="639">
        <f t="shared" si="269"/>
        <v>0</v>
      </c>
    </row>
    <row r="8631" spans="1:25" ht="15.75" hidden="1" thickBot="1">
      <c r="F8631" s="294" t="s">
        <v>259</v>
      </c>
      <c r="G8631" s="297" t="s">
        <v>260</v>
      </c>
      <c r="J8631" s="639">
        <f t="shared" si="269"/>
        <v>0</v>
      </c>
    </row>
    <row r="8632" spans="1:25" ht="15.75" hidden="1" thickBot="1">
      <c r="F8632" s="294" t="s">
        <v>261</v>
      </c>
      <c r="G8632" s="297" t="s">
        <v>262</v>
      </c>
      <c r="H8632" s="638"/>
      <c r="I8632" s="639"/>
      <c r="J8632" s="639">
        <f t="shared" si="269"/>
        <v>0</v>
      </c>
    </row>
    <row r="8633" spans="1:25" ht="15.75" hidden="1" collapsed="1" thickBot="1">
      <c r="G8633" s="274" t="s">
        <v>4430</v>
      </c>
      <c r="H8633" s="640">
        <f>SUM(H8617:H8632)</f>
        <v>0</v>
      </c>
      <c r="I8633" s="641">
        <f>SUM(I8618:I8632)</f>
        <v>0</v>
      </c>
      <c r="J8633" s="641">
        <f>SUM(J8617:J8632)</f>
        <v>0</v>
      </c>
    </row>
    <row r="8634" spans="1:25" hidden="1"/>
    <row r="8635" spans="1:25" s="88" customFormat="1" hidden="1">
      <c r="A8635" s="422"/>
      <c r="B8635" s="301"/>
      <c r="C8635" s="321" t="s">
        <v>4422</v>
      </c>
      <c r="D8635" s="264"/>
      <c r="E8635" s="264"/>
      <c r="F8635" s="322"/>
      <c r="G8635" s="323" t="s">
        <v>4084</v>
      </c>
      <c r="H8635" s="667"/>
      <c r="I8635" s="650"/>
      <c r="J8635" s="668"/>
      <c r="K8635" s="575"/>
      <c r="L8635" s="575"/>
      <c r="M8635" s="575"/>
      <c r="N8635" s="575"/>
      <c r="O8635" s="575"/>
      <c r="P8635" s="575"/>
      <c r="Q8635" s="575"/>
      <c r="R8635" s="575"/>
      <c r="S8635" s="575"/>
      <c r="T8635" s="575"/>
      <c r="U8635" s="575"/>
      <c r="V8635" s="575"/>
      <c r="W8635" s="575"/>
      <c r="X8635" s="575"/>
      <c r="Y8635" s="575"/>
    </row>
    <row r="8636" spans="1:25" ht="30" hidden="1">
      <c r="C8636" s="273"/>
      <c r="D8636" s="357">
        <v>660</v>
      </c>
      <c r="E8636" s="357"/>
      <c r="F8636" s="357"/>
      <c r="G8636" s="358" t="s">
        <v>186</v>
      </c>
    </row>
    <row r="8637" spans="1:25" hidden="1">
      <c r="F8637" s="425">
        <v>411</v>
      </c>
      <c r="G8637" s="420" t="s">
        <v>4173</v>
      </c>
      <c r="J8637" s="635">
        <f>SUM(H8637:I8637)</f>
        <v>0</v>
      </c>
    </row>
    <row r="8638" spans="1:25" hidden="1">
      <c r="F8638" s="425">
        <v>412</v>
      </c>
      <c r="G8638" s="418" t="s">
        <v>3770</v>
      </c>
      <c r="J8638" s="635">
        <f t="shared" ref="J8638:J8696" si="270">SUM(H8638:I8638)</f>
        <v>0</v>
      </c>
    </row>
    <row r="8639" spans="1:25" hidden="1">
      <c r="F8639" s="425">
        <v>413</v>
      </c>
      <c r="G8639" s="420" t="s">
        <v>4174</v>
      </c>
      <c r="J8639" s="635">
        <f t="shared" si="270"/>
        <v>0</v>
      </c>
    </row>
    <row r="8640" spans="1:25" hidden="1">
      <c r="F8640" s="425">
        <v>414</v>
      </c>
      <c r="G8640" s="420" t="s">
        <v>3773</v>
      </c>
      <c r="J8640" s="635">
        <f t="shared" si="270"/>
        <v>0</v>
      </c>
    </row>
    <row r="8641" spans="6:10" hidden="1">
      <c r="F8641" s="425">
        <v>415</v>
      </c>
      <c r="G8641" s="420" t="s">
        <v>4183</v>
      </c>
      <c r="J8641" s="635">
        <f t="shared" si="270"/>
        <v>0</v>
      </c>
    </row>
    <row r="8642" spans="6:10" hidden="1">
      <c r="F8642" s="425">
        <v>416</v>
      </c>
      <c r="G8642" s="420" t="s">
        <v>4184</v>
      </c>
      <c r="J8642" s="635">
        <f t="shared" si="270"/>
        <v>0</v>
      </c>
    </row>
    <row r="8643" spans="6:10" hidden="1">
      <c r="F8643" s="425">
        <v>417</v>
      </c>
      <c r="G8643" s="420" t="s">
        <v>4185</v>
      </c>
      <c r="J8643" s="635">
        <f t="shared" si="270"/>
        <v>0</v>
      </c>
    </row>
    <row r="8644" spans="6:10" hidden="1">
      <c r="F8644" s="425">
        <v>418</v>
      </c>
      <c r="G8644" s="420" t="s">
        <v>3779</v>
      </c>
      <c r="J8644" s="635">
        <f t="shared" si="270"/>
        <v>0</v>
      </c>
    </row>
    <row r="8645" spans="6:10" hidden="1">
      <c r="F8645" s="425">
        <v>421</v>
      </c>
      <c r="G8645" s="420" t="s">
        <v>3783</v>
      </c>
      <c r="J8645" s="635">
        <f t="shared" si="270"/>
        <v>0</v>
      </c>
    </row>
    <row r="8646" spans="6:10" hidden="1">
      <c r="F8646" s="425">
        <v>422</v>
      </c>
      <c r="G8646" s="420" t="s">
        <v>3784</v>
      </c>
      <c r="J8646" s="635">
        <f t="shared" si="270"/>
        <v>0</v>
      </c>
    </row>
    <row r="8647" spans="6:10" hidden="1">
      <c r="F8647" s="425">
        <v>423</v>
      </c>
      <c r="G8647" s="420" t="s">
        <v>3785</v>
      </c>
      <c r="J8647" s="635">
        <f t="shared" si="270"/>
        <v>0</v>
      </c>
    </row>
    <row r="8648" spans="6:10" ht="15.75" hidden="1" thickBot="1">
      <c r="F8648" s="425">
        <v>424</v>
      </c>
      <c r="G8648" s="420" t="s">
        <v>3787</v>
      </c>
      <c r="J8648" s="635">
        <f t="shared" si="270"/>
        <v>0</v>
      </c>
    </row>
    <row r="8649" spans="6:10" ht="15.75" hidden="1" thickBot="1">
      <c r="F8649" s="425">
        <v>425</v>
      </c>
      <c r="G8649" s="420" t="s">
        <v>4186</v>
      </c>
      <c r="J8649" s="635">
        <f t="shared" si="270"/>
        <v>0</v>
      </c>
    </row>
    <row r="8650" spans="6:10" ht="15.75" hidden="1" thickBot="1">
      <c r="F8650" s="425">
        <v>426</v>
      </c>
      <c r="G8650" s="420" t="s">
        <v>3791</v>
      </c>
      <c r="J8650" s="635">
        <f t="shared" si="270"/>
        <v>0</v>
      </c>
    </row>
    <row r="8651" spans="6:10" ht="15.75" hidden="1" thickBot="1">
      <c r="F8651" s="425">
        <v>431</v>
      </c>
      <c r="G8651" s="420" t="s">
        <v>4187</v>
      </c>
      <c r="J8651" s="635">
        <f t="shared" si="270"/>
        <v>0</v>
      </c>
    </row>
    <row r="8652" spans="6:10" ht="15.75" hidden="1" thickBot="1">
      <c r="F8652" s="425">
        <v>432</v>
      </c>
      <c r="G8652" s="420" t="s">
        <v>4188</v>
      </c>
      <c r="J8652" s="635">
        <f t="shared" si="270"/>
        <v>0</v>
      </c>
    </row>
    <row r="8653" spans="6:10" ht="15.75" hidden="1" thickBot="1">
      <c r="F8653" s="425">
        <v>433</v>
      </c>
      <c r="G8653" s="420" t="s">
        <v>4189</v>
      </c>
      <c r="J8653" s="635">
        <f t="shared" si="270"/>
        <v>0</v>
      </c>
    </row>
    <row r="8654" spans="6:10" ht="15.75" hidden="1" thickBot="1">
      <c r="F8654" s="425">
        <v>434</v>
      </c>
      <c r="G8654" s="420" t="s">
        <v>4190</v>
      </c>
      <c r="J8654" s="635">
        <f t="shared" si="270"/>
        <v>0</v>
      </c>
    </row>
    <row r="8655" spans="6:10" ht="15.75" hidden="1" thickBot="1">
      <c r="F8655" s="425">
        <v>435</v>
      </c>
      <c r="G8655" s="420" t="s">
        <v>3798</v>
      </c>
      <c r="J8655" s="635">
        <f t="shared" si="270"/>
        <v>0</v>
      </c>
    </row>
    <row r="8656" spans="6:10" ht="15.75" hidden="1" thickBot="1">
      <c r="F8656" s="425">
        <v>441</v>
      </c>
      <c r="G8656" s="420" t="s">
        <v>4191</v>
      </c>
      <c r="J8656" s="635">
        <f t="shared" si="270"/>
        <v>0</v>
      </c>
    </row>
    <row r="8657" spans="6:10" ht="15.75" hidden="1" thickBot="1">
      <c r="F8657" s="425">
        <v>442</v>
      </c>
      <c r="G8657" s="420" t="s">
        <v>4192</v>
      </c>
      <c r="J8657" s="635">
        <f t="shared" si="270"/>
        <v>0</v>
      </c>
    </row>
    <row r="8658" spans="6:10" ht="15.75" hidden="1" thickBot="1">
      <c r="F8658" s="425">
        <v>443</v>
      </c>
      <c r="G8658" s="420" t="s">
        <v>3803</v>
      </c>
      <c r="J8658" s="635">
        <f t="shared" si="270"/>
        <v>0</v>
      </c>
    </row>
    <row r="8659" spans="6:10" ht="15.75" hidden="1" thickBot="1">
      <c r="F8659" s="425">
        <v>444</v>
      </c>
      <c r="G8659" s="420" t="s">
        <v>3804</v>
      </c>
      <c r="J8659" s="635">
        <f t="shared" si="270"/>
        <v>0</v>
      </c>
    </row>
    <row r="8660" spans="6:10" ht="30.75" hidden="1" thickBot="1">
      <c r="F8660" s="425">
        <v>4511</v>
      </c>
      <c r="G8660" s="268" t="s">
        <v>1690</v>
      </c>
      <c r="J8660" s="635">
        <f t="shared" si="270"/>
        <v>0</v>
      </c>
    </row>
    <row r="8661" spans="6:10" ht="19.5" hidden="1" customHeight="1">
      <c r="F8661" s="425">
        <v>4512</v>
      </c>
      <c r="G8661" s="268" t="s">
        <v>1699</v>
      </c>
      <c r="J8661" s="635">
        <f t="shared" si="270"/>
        <v>0</v>
      </c>
    </row>
    <row r="8662" spans="6:10" ht="15.75" hidden="1" thickBot="1">
      <c r="F8662" s="425">
        <v>452</v>
      </c>
      <c r="G8662" s="420" t="s">
        <v>4193</v>
      </c>
      <c r="J8662" s="635">
        <f t="shared" si="270"/>
        <v>0</v>
      </c>
    </row>
    <row r="8663" spans="6:10" ht="15.75" hidden="1" thickBot="1">
      <c r="F8663" s="425">
        <v>453</v>
      </c>
      <c r="G8663" s="420" t="s">
        <v>4194</v>
      </c>
      <c r="J8663" s="635">
        <f t="shared" si="270"/>
        <v>0</v>
      </c>
    </row>
    <row r="8664" spans="6:10" ht="15.75" hidden="1" thickBot="1">
      <c r="F8664" s="425">
        <v>454</v>
      </c>
      <c r="G8664" s="420" t="s">
        <v>3809</v>
      </c>
      <c r="J8664" s="635">
        <f t="shared" si="270"/>
        <v>0</v>
      </c>
    </row>
    <row r="8665" spans="6:10" ht="15.75" hidden="1" thickBot="1">
      <c r="F8665" s="425">
        <v>461</v>
      </c>
      <c r="G8665" s="420" t="s">
        <v>4175</v>
      </c>
      <c r="J8665" s="635">
        <f t="shared" si="270"/>
        <v>0</v>
      </c>
    </row>
    <row r="8666" spans="6:10" ht="15.75" hidden="1" thickBot="1">
      <c r="F8666" s="425">
        <v>462</v>
      </c>
      <c r="G8666" s="420" t="s">
        <v>3812</v>
      </c>
      <c r="J8666" s="635">
        <f t="shared" si="270"/>
        <v>0</v>
      </c>
    </row>
    <row r="8667" spans="6:10" ht="15.75" hidden="1" thickBot="1">
      <c r="F8667" s="425">
        <v>4631</v>
      </c>
      <c r="G8667" s="420" t="s">
        <v>3813</v>
      </c>
      <c r="J8667" s="635">
        <f t="shared" si="270"/>
        <v>0</v>
      </c>
    </row>
    <row r="8668" spans="6:10" ht="15.75" hidden="1" thickBot="1">
      <c r="F8668" s="425">
        <v>4632</v>
      </c>
      <c r="G8668" s="420" t="s">
        <v>3814</v>
      </c>
      <c r="J8668" s="635">
        <f t="shared" si="270"/>
        <v>0</v>
      </c>
    </row>
    <row r="8669" spans="6:10" ht="15.75" hidden="1" thickBot="1">
      <c r="F8669" s="425">
        <v>464</v>
      </c>
      <c r="G8669" s="420" t="s">
        <v>3815</v>
      </c>
      <c r="J8669" s="635">
        <f t="shared" si="270"/>
        <v>0</v>
      </c>
    </row>
    <row r="8670" spans="6:10" ht="15.75" hidden="1" thickBot="1">
      <c r="F8670" s="425">
        <v>465</v>
      </c>
      <c r="G8670" s="420" t="s">
        <v>4176</v>
      </c>
      <c r="J8670" s="635">
        <f t="shared" si="270"/>
        <v>0</v>
      </c>
    </row>
    <row r="8671" spans="6:10" ht="15.75" hidden="1" thickBot="1">
      <c r="F8671" s="425">
        <v>472</v>
      </c>
      <c r="G8671" s="420" t="s">
        <v>3819</v>
      </c>
      <c r="J8671" s="635">
        <f t="shared" si="270"/>
        <v>0</v>
      </c>
    </row>
    <row r="8672" spans="6:10" ht="15.75" hidden="1" thickBot="1">
      <c r="F8672" s="425">
        <v>481</v>
      </c>
      <c r="G8672" s="420" t="s">
        <v>4195</v>
      </c>
      <c r="J8672" s="635">
        <f t="shared" si="270"/>
        <v>0</v>
      </c>
    </row>
    <row r="8673" spans="6:10" ht="15.75" hidden="1" thickBot="1">
      <c r="F8673" s="425">
        <v>482</v>
      </c>
      <c r="G8673" s="420" t="s">
        <v>4196</v>
      </c>
      <c r="J8673" s="635">
        <f t="shared" si="270"/>
        <v>0</v>
      </c>
    </row>
    <row r="8674" spans="6:10" ht="15.75" hidden="1" thickBot="1">
      <c r="F8674" s="425">
        <v>483</v>
      </c>
      <c r="G8674" s="423" t="s">
        <v>4197</v>
      </c>
      <c r="J8674" s="635">
        <f t="shared" si="270"/>
        <v>0</v>
      </c>
    </row>
    <row r="8675" spans="6:10" ht="30.75" hidden="1" thickBot="1">
      <c r="F8675" s="425">
        <v>484</v>
      </c>
      <c r="G8675" s="420" t="s">
        <v>4198</v>
      </c>
      <c r="J8675" s="635">
        <f t="shared" si="270"/>
        <v>0</v>
      </c>
    </row>
    <row r="8676" spans="6:10" ht="30.75" hidden="1" thickBot="1">
      <c r="F8676" s="425">
        <v>485</v>
      </c>
      <c r="G8676" s="420" t="s">
        <v>4199</v>
      </c>
      <c r="J8676" s="635">
        <f t="shared" si="270"/>
        <v>0</v>
      </c>
    </row>
    <row r="8677" spans="6:10" ht="30.75" hidden="1" thickBot="1">
      <c r="F8677" s="425">
        <v>489</v>
      </c>
      <c r="G8677" s="420" t="s">
        <v>3827</v>
      </c>
      <c r="J8677" s="635">
        <f t="shared" si="270"/>
        <v>0</v>
      </c>
    </row>
    <row r="8678" spans="6:10" ht="15.75" hidden="1" thickBot="1">
      <c r="F8678" s="425">
        <v>494</v>
      </c>
      <c r="G8678" s="420" t="s">
        <v>4177</v>
      </c>
      <c r="J8678" s="635">
        <f t="shared" si="270"/>
        <v>0</v>
      </c>
    </row>
    <row r="8679" spans="6:10" ht="30.75" hidden="1" thickBot="1">
      <c r="F8679" s="425">
        <v>495</v>
      </c>
      <c r="G8679" s="420" t="s">
        <v>4178</v>
      </c>
      <c r="J8679" s="635">
        <f t="shared" si="270"/>
        <v>0</v>
      </c>
    </row>
    <row r="8680" spans="6:10" ht="30.75" hidden="1" thickBot="1">
      <c r="F8680" s="425">
        <v>496</v>
      </c>
      <c r="G8680" s="420" t="s">
        <v>4179</v>
      </c>
      <c r="J8680" s="635">
        <f t="shared" si="270"/>
        <v>0</v>
      </c>
    </row>
    <row r="8681" spans="6:10" ht="15.75" hidden="1" thickBot="1">
      <c r="F8681" s="425">
        <v>499</v>
      </c>
      <c r="G8681" s="420" t="s">
        <v>4180</v>
      </c>
      <c r="J8681" s="635">
        <f t="shared" si="270"/>
        <v>0</v>
      </c>
    </row>
    <row r="8682" spans="6:10" ht="15.75" hidden="1" thickBot="1">
      <c r="F8682" s="425">
        <v>511</v>
      </c>
      <c r="G8682" s="423" t="s">
        <v>4200</v>
      </c>
      <c r="J8682" s="635">
        <f t="shared" si="270"/>
        <v>0</v>
      </c>
    </row>
    <row r="8683" spans="6:10" ht="15.75" hidden="1" thickBot="1">
      <c r="F8683" s="425">
        <v>512</v>
      </c>
      <c r="G8683" s="423" t="s">
        <v>4201</v>
      </c>
      <c r="J8683" s="635">
        <f t="shared" si="270"/>
        <v>0</v>
      </c>
    </row>
    <row r="8684" spans="6:10" ht="15.75" hidden="1" thickBot="1">
      <c r="F8684" s="425">
        <v>513</v>
      </c>
      <c r="G8684" s="423" t="s">
        <v>4202</v>
      </c>
      <c r="J8684" s="635">
        <f t="shared" si="270"/>
        <v>0</v>
      </c>
    </row>
    <row r="8685" spans="6:10" ht="15.75" hidden="1" thickBot="1">
      <c r="F8685" s="425">
        <v>514</v>
      </c>
      <c r="G8685" s="420" t="s">
        <v>4203</v>
      </c>
      <c r="J8685" s="635">
        <f t="shared" si="270"/>
        <v>0</v>
      </c>
    </row>
    <row r="8686" spans="6:10" ht="15.75" hidden="1" thickBot="1">
      <c r="F8686" s="425">
        <v>515</v>
      </c>
      <c r="G8686" s="420" t="s">
        <v>3838</v>
      </c>
      <c r="J8686" s="635">
        <f t="shared" si="270"/>
        <v>0</v>
      </c>
    </row>
    <row r="8687" spans="6:10" ht="15.75" hidden="1" thickBot="1">
      <c r="F8687" s="425">
        <v>521</v>
      </c>
      <c r="G8687" s="420" t="s">
        <v>4204</v>
      </c>
      <c r="J8687" s="635">
        <f t="shared" si="270"/>
        <v>0</v>
      </c>
    </row>
    <row r="8688" spans="6:10" ht="15.75" hidden="1" thickBot="1">
      <c r="F8688" s="425">
        <v>522</v>
      </c>
      <c r="G8688" s="420" t="s">
        <v>4205</v>
      </c>
      <c r="J8688" s="635">
        <f t="shared" si="270"/>
        <v>0</v>
      </c>
    </row>
    <row r="8689" spans="5:10" ht="15.75" hidden="1" thickBot="1">
      <c r="F8689" s="425">
        <v>523</v>
      </c>
      <c r="G8689" s="420" t="s">
        <v>3843</v>
      </c>
      <c r="J8689" s="635">
        <f t="shared" si="270"/>
        <v>0</v>
      </c>
    </row>
    <row r="8690" spans="5:10" ht="15.75" hidden="1" thickBot="1">
      <c r="F8690" s="425">
        <v>531</v>
      </c>
      <c r="G8690" s="418" t="s">
        <v>4181</v>
      </c>
      <c r="J8690" s="635">
        <f t="shared" si="270"/>
        <v>0</v>
      </c>
    </row>
    <row r="8691" spans="5:10" ht="15.75" hidden="1" thickBot="1">
      <c r="F8691" s="425">
        <v>541</v>
      </c>
      <c r="G8691" s="420" t="s">
        <v>4206</v>
      </c>
      <c r="J8691" s="635">
        <f t="shared" si="270"/>
        <v>0</v>
      </c>
    </row>
    <row r="8692" spans="5:10" ht="15.75" hidden="1" thickBot="1">
      <c r="F8692" s="425">
        <v>542</v>
      </c>
      <c r="G8692" s="420" t="s">
        <v>4207</v>
      </c>
      <c r="J8692" s="635">
        <f t="shared" si="270"/>
        <v>0</v>
      </c>
    </row>
    <row r="8693" spans="5:10" ht="15.75" hidden="1" thickBot="1">
      <c r="F8693" s="425">
        <v>543</v>
      </c>
      <c r="G8693" s="420" t="s">
        <v>3848</v>
      </c>
      <c r="J8693" s="635">
        <f t="shared" si="270"/>
        <v>0</v>
      </c>
    </row>
    <row r="8694" spans="5:10" ht="30.75" hidden="1" thickBot="1">
      <c r="F8694" s="425">
        <v>551</v>
      </c>
      <c r="G8694" s="420" t="s">
        <v>4182</v>
      </c>
      <c r="J8694" s="635">
        <f t="shared" si="270"/>
        <v>0</v>
      </c>
    </row>
    <row r="8695" spans="5:10" ht="15.75" hidden="1" thickBot="1">
      <c r="F8695" s="426">
        <v>611</v>
      </c>
      <c r="G8695" s="424" t="s">
        <v>3854</v>
      </c>
      <c r="J8695" s="635">
        <f t="shared" si="270"/>
        <v>0</v>
      </c>
    </row>
    <row r="8696" spans="5:10" ht="15.75" hidden="1" thickBot="1">
      <c r="F8696" s="426">
        <v>620</v>
      </c>
      <c r="G8696" s="424" t="s">
        <v>88</v>
      </c>
      <c r="J8696" s="635">
        <f t="shared" si="270"/>
        <v>0</v>
      </c>
    </row>
    <row r="8697" spans="5:10" hidden="1">
      <c r="E8697" s="419"/>
      <c r="F8697" s="426"/>
      <c r="G8697" s="372" t="s">
        <v>4406</v>
      </c>
      <c r="H8697" s="636"/>
      <c r="I8697" s="662"/>
      <c r="J8697" s="637"/>
    </row>
    <row r="8698" spans="5:10" ht="15.75" hidden="1" thickBot="1">
      <c r="E8698" s="267"/>
      <c r="F8698" s="294" t="s">
        <v>234</v>
      </c>
      <c r="G8698" s="297" t="s">
        <v>235</v>
      </c>
      <c r="H8698" s="638">
        <f>SUM(H8637:H8696)</f>
        <v>0</v>
      </c>
      <c r="I8698" s="639"/>
      <c r="J8698" s="639">
        <f t="shared" ref="J8698:J8713" si="271">SUM(H8698:I8698)</f>
        <v>0</v>
      </c>
    </row>
    <row r="8699" spans="5:10" ht="15.75" hidden="1" thickBot="1">
      <c r="F8699" s="294" t="s">
        <v>236</v>
      </c>
      <c r="G8699" s="297" t="s">
        <v>237</v>
      </c>
      <c r="J8699" s="639">
        <f t="shared" si="271"/>
        <v>0</v>
      </c>
    </row>
    <row r="8700" spans="5:10" ht="15.75" hidden="1" thickBot="1">
      <c r="F8700" s="294" t="s">
        <v>238</v>
      </c>
      <c r="G8700" s="297" t="s">
        <v>239</v>
      </c>
      <c r="J8700" s="639">
        <f t="shared" si="271"/>
        <v>0</v>
      </c>
    </row>
    <row r="8701" spans="5:10" ht="15.75" hidden="1" thickBot="1">
      <c r="F8701" s="294" t="s">
        <v>240</v>
      </c>
      <c r="G8701" s="297" t="s">
        <v>241</v>
      </c>
      <c r="J8701" s="639">
        <f t="shared" si="271"/>
        <v>0</v>
      </c>
    </row>
    <row r="8702" spans="5:10" ht="15.75" hidden="1" thickBot="1">
      <c r="F8702" s="294" t="s">
        <v>242</v>
      </c>
      <c r="G8702" s="297" t="s">
        <v>243</v>
      </c>
      <c r="J8702" s="639">
        <f t="shared" si="271"/>
        <v>0</v>
      </c>
    </row>
    <row r="8703" spans="5:10" ht="15.75" hidden="1" thickBot="1">
      <c r="F8703" s="294" t="s">
        <v>244</v>
      </c>
      <c r="G8703" s="297" t="s">
        <v>245</v>
      </c>
      <c r="J8703" s="639">
        <f t="shared" si="271"/>
        <v>0</v>
      </c>
    </row>
    <row r="8704" spans="5:10" ht="15.75" hidden="1" thickBot="1">
      <c r="F8704" s="294" t="s">
        <v>246</v>
      </c>
      <c r="G8704" s="683" t="s">
        <v>5121</v>
      </c>
      <c r="J8704" s="639">
        <f t="shared" si="271"/>
        <v>0</v>
      </c>
    </row>
    <row r="8705" spans="5:10" ht="15.75" hidden="1" thickBot="1">
      <c r="F8705" s="294" t="s">
        <v>247</v>
      </c>
      <c r="G8705" s="683" t="s">
        <v>5120</v>
      </c>
      <c r="J8705" s="639">
        <f t="shared" si="271"/>
        <v>0</v>
      </c>
    </row>
    <row r="8706" spans="5:10" ht="15.75" hidden="1" thickBot="1">
      <c r="F8706" s="294" t="s">
        <v>248</v>
      </c>
      <c r="G8706" s="297" t="s">
        <v>57</v>
      </c>
      <c r="J8706" s="639">
        <f t="shared" si="271"/>
        <v>0</v>
      </c>
    </row>
    <row r="8707" spans="5:10" ht="15.75" hidden="1" thickBot="1">
      <c r="F8707" s="294" t="s">
        <v>249</v>
      </c>
      <c r="G8707" s="297" t="s">
        <v>250</v>
      </c>
      <c r="J8707" s="639">
        <f t="shared" si="271"/>
        <v>0</v>
      </c>
    </row>
    <row r="8708" spans="5:10" ht="15.75" hidden="1" thickBot="1">
      <c r="F8708" s="294" t="s">
        <v>251</v>
      </c>
      <c r="G8708" s="297" t="s">
        <v>252</v>
      </c>
      <c r="J8708" s="639">
        <f t="shared" si="271"/>
        <v>0</v>
      </c>
    </row>
    <row r="8709" spans="5:10" ht="15.75" hidden="1" thickBot="1">
      <c r="F8709" s="294" t="s">
        <v>253</v>
      </c>
      <c r="G8709" s="297" t="s">
        <v>254</v>
      </c>
      <c r="J8709" s="639">
        <f t="shared" si="271"/>
        <v>0</v>
      </c>
    </row>
    <row r="8710" spans="5:10" ht="15.75" hidden="1" thickBot="1">
      <c r="F8710" s="294" t="s">
        <v>255</v>
      </c>
      <c r="G8710" s="297" t="s">
        <v>256</v>
      </c>
      <c r="J8710" s="639">
        <f t="shared" si="271"/>
        <v>0</v>
      </c>
    </row>
    <row r="8711" spans="5:10" ht="15.75" hidden="1" thickBot="1">
      <c r="F8711" s="294" t="s">
        <v>257</v>
      </c>
      <c r="G8711" s="297" t="s">
        <v>258</v>
      </c>
      <c r="J8711" s="639">
        <f t="shared" si="271"/>
        <v>0</v>
      </c>
    </row>
    <row r="8712" spans="5:10" ht="15.75" hidden="1" thickBot="1">
      <c r="F8712" s="294" t="s">
        <v>259</v>
      </c>
      <c r="G8712" s="297" t="s">
        <v>260</v>
      </c>
      <c r="J8712" s="639">
        <f t="shared" si="271"/>
        <v>0</v>
      </c>
    </row>
    <row r="8713" spans="5:10" ht="15.75" hidden="1" thickBot="1">
      <c r="F8713" s="294" t="s">
        <v>261</v>
      </c>
      <c r="G8713" s="297" t="s">
        <v>262</v>
      </c>
      <c r="H8713" s="638"/>
      <c r="I8713" s="639"/>
      <c r="J8713" s="639">
        <f t="shared" si="271"/>
        <v>0</v>
      </c>
    </row>
    <row r="8714" spans="5:10" ht="15.75" hidden="1" thickBot="1">
      <c r="G8714" s="274" t="s">
        <v>4407</v>
      </c>
      <c r="H8714" s="640">
        <f>SUM(H8698:H8713)</f>
        <v>0</v>
      </c>
      <c r="I8714" s="641">
        <f>SUM(I8699:I8713)</f>
        <v>0</v>
      </c>
      <c r="J8714" s="641">
        <f>SUM(J8698:J8713)</f>
        <v>0</v>
      </c>
    </row>
    <row r="8715" spans="5:10" hidden="1" collapsed="1">
      <c r="E8715" s="419"/>
      <c r="F8715" s="426"/>
      <c r="G8715" s="276" t="s">
        <v>4431</v>
      </c>
      <c r="H8715" s="642"/>
      <c r="I8715" s="663"/>
      <c r="J8715" s="643"/>
    </row>
    <row r="8716" spans="5:10" ht="15.75" hidden="1" thickBot="1">
      <c r="E8716" s="267"/>
      <c r="F8716" s="294" t="s">
        <v>234</v>
      </c>
      <c r="G8716" s="297" t="s">
        <v>235</v>
      </c>
      <c r="H8716" s="638">
        <f>SUM(H8637:H8696)</f>
        <v>0</v>
      </c>
      <c r="I8716" s="639"/>
      <c r="J8716" s="639">
        <f>SUM(H8716:I8716)</f>
        <v>0</v>
      </c>
    </row>
    <row r="8717" spans="5:10" ht="15.75" hidden="1" thickBot="1">
      <c r="F8717" s="294" t="s">
        <v>236</v>
      </c>
      <c r="G8717" s="297" t="s">
        <v>237</v>
      </c>
      <c r="J8717" s="639">
        <f t="shared" ref="J8717:J8731" si="272">SUM(H8717:I8717)</f>
        <v>0</v>
      </c>
    </row>
    <row r="8718" spans="5:10" ht="15.75" hidden="1" thickBot="1">
      <c r="F8718" s="294" t="s">
        <v>238</v>
      </c>
      <c r="G8718" s="297" t="s">
        <v>239</v>
      </c>
      <c r="J8718" s="639">
        <f t="shared" si="272"/>
        <v>0</v>
      </c>
    </row>
    <row r="8719" spans="5:10" ht="15.75" hidden="1" thickBot="1">
      <c r="F8719" s="294" t="s">
        <v>240</v>
      </c>
      <c r="G8719" s="297" t="s">
        <v>241</v>
      </c>
      <c r="J8719" s="639">
        <f t="shared" si="272"/>
        <v>0</v>
      </c>
    </row>
    <row r="8720" spans="5:10" ht="15.75" hidden="1" thickBot="1">
      <c r="F8720" s="294" t="s">
        <v>242</v>
      </c>
      <c r="G8720" s="297" t="s">
        <v>243</v>
      </c>
      <c r="J8720" s="639">
        <f t="shared" si="272"/>
        <v>0</v>
      </c>
    </row>
    <row r="8721" spans="5:10" ht="15.75" hidden="1" thickBot="1">
      <c r="F8721" s="294" t="s">
        <v>244</v>
      </c>
      <c r="G8721" s="297" t="s">
        <v>245</v>
      </c>
      <c r="J8721" s="639">
        <f t="shared" si="272"/>
        <v>0</v>
      </c>
    </row>
    <row r="8722" spans="5:10" ht="15.75" hidden="1" thickBot="1">
      <c r="F8722" s="294" t="s">
        <v>246</v>
      </c>
      <c r="G8722" s="683" t="s">
        <v>5121</v>
      </c>
      <c r="J8722" s="639">
        <f t="shared" si="272"/>
        <v>0</v>
      </c>
    </row>
    <row r="8723" spans="5:10" ht="15.75" hidden="1" thickBot="1">
      <c r="F8723" s="294" t="s">
        <v>247</v>
      </c>
      <c r="G8723" s="683" t="s">
        <v>5120</v>
      </c>
      <c r="J8723" s="639">
        <f t="shared" si="272"/>
        <v>0</v>
      </c>
    </row>
    <row r="8724" spans="5:10" ht="15.75" hidden="1" thickBot="1">
      <c r="F8724" s="294" t="s">
        <v>248</v>
      </c>
      <c r="G8724" s="297" t="s">
        <v>57</v>
      </c>
      <c r="J8724" s="639">
        <f t="shared" si="272"/>
        <v>0</v>
      </c>
    </row>
    <row r="8725" spans="5:10" ht="15.75" hidden="1" thickBot="1">
      <c r="F8725" s="294" t="s">
        <v>249</v>
      </c>
      <c r="G8725" s="297" t="s">
        <v>250</v>
      </c>
      <c r="J8725" s="639">
        <f t="shared" si="272"/>
        <v>0</v>
      </c>
    </row>
    <row r="8726" spans="5:10" ht="15.75" hidden="1" thickBot="1">
      <c r="F8726" s="294" t="s">
        <v>251</v>
      </c>
      <c r="G8726" s="297" t="s">
        <v>252</v>
      </c>
      <c r="J8726" s="639">
        <f t="shared" si="272"/>
        <v>0</v>
      </c>
    </row>
    <row r="8727" spans="5:10" ht="15.75" hidden="1" thickBot="1">
      <c r="F8727" s="294" t="s">
        <v>253</v>
      </c>
      <c r="G8727" s="297" t="s">
        <v>254</v>
      </c>
      <c r="J8727" s="639">
        <f t="shared" si="272"/>
        <v>0</v>
      </c>
    </row>
    <row r="8728" spans="5:10" ht="15.75" hidden="1" thickBot="1">
      <c r="F8728" s="294" t="s">
        <v>255</v>
      </c>
      <c r="G8728" s="297" t="s">
        <v>256</v>
      </c>
      <c r="J8728" s="639">
        <f t="shared" si="272"/>
        <v>0</v>
      </c>
    </row>
    <row r="8729" spans="5:10" ht="15.75" hidden="1" thickBot="1">
      <c r="F8729" s="294" t="s">
        <v>257</v>
      </c>
      <c r="G8729" s="297" t="s">
        <v>258</v>
      </c>
      <c r="J8729" s="639">
        <f t="shared" si="272"/>
        <v>0</v>
      </c>
    </row>
    <row r="8730" spans="5:10" ht="15.75" hidden="1" thickBot="1">
      <c r="F8730" s="294" t="s">
        <v>259</v>
      </c>
      <c r="G8730" s="297" t="s">
        <v>260</v>
      </c>
      <c r="J8730" s="639">
        <f t="shared" si="272"/>
        <v>0</v>
      </c>
    </row>
    <row r="8731" spans="5:10" ht="15.75" hidden="1" thickBot="1">
      <c r="F8731" s="294" t="s">
        <v>261</v>
      </c>
      <c r="G8731" s="297" t="s">
        <v>262</v>
      </c>
      <c r="H8731" s="638"/>
      <c r="I8731" s="639"/>
      <c r="J8731" s="639">
        <f t="shared" si="272"/>
        <v>0</v>
      </c>
    </row>
    <row r="8732" spans="5:10" ht="15.75" hidden="1" collapsed="1" thickBot="1">
      <c r="G8732" s="274" t="s">
        <v>4432</v>
      </c>
      <c r="H8732" s="640">
        <f>SUM(H8716:H8731)</f>
        <v>0</v>
      </c>
      <c r="I8732" s="641">
        <f>SUM(I8717:I8731)</f>
        <v>0</v>
      </c>
      <c r="J8732" s="641">
        <f>SUM(J8716:J8731)</f>
        <v>0</v>
      </c>
    </row>
    <row r="8733" spans="5:10" hidden="1"/>
    <row r="8734" spans="5:10" hidden="1">
      <c r="G8734" s="331"/>
      <c r="H8734" s="644"/>
      <c r="I8734" s="645"/>
      <c r="J8734" s="645"/>
    </row>
    <row r="8735" spans="5:10" hidden="1">
      <c r="E8735" s="428"/>
      <c r="F8735" s="435"/>
      <c r="G8735" s="295" t="s">
        <v>4313</v>
      </c>
      <c r="H8735" s="646"/>
      <c r="I8735" s="664"/>
      <c r="J8735" s="647"/>
    </row>
    <row r="8736" spans="5:10" ht="15.75" hidden="1" thickBot="1">
      <c r="E8736" s="267"/>
      <c r="F8736" s="294" t="s">
        <v>234</v>
      </c>
      <c r="G8736" s="297" t="s">
        <v>235</v>
      </c>
      <c r="H8736" s="638">
        <f>SUM(H8716,H8617,H4310,H4211,H8320,H8221,H4112,H4013)</f>
        <v>66230000</v>
      </c>
      <c r="I8736" s="639"/>
      <c r="J8736" s="639">
        <f>SUM(H8736:I8736)</f>
        <v>66230000</v>
      </c>
    </row>
    <row r="8737" spans="6:10" ht="15.75" hidden="1" thickBot="1">
      <c r="F8737" s="294" t="s">
        <v>236</v>
      </c>
      <c r="G8737" s="297" t="s">
        <v>237</v>
      </c>
      <c r="J8737" s="639">
        <f t="shared" ref="J8737:J8751" si="273">SUM(H8737:I8737)</f>
        <v>0</v>
      </c>
    </row>
    <row r="8738" spans="6:10" ht="15.75" hidden="1" thickBot="1">
      <c r="F8738" s="294" t="s">
        <v>238</v>
      </c>
      <c r="G8738" s="297" t="s">
        <v>239</v>
      </c>
      <c r="J8738" s="639">
        <f t="shared" si="273"/>
        <v>0</v>
      </c>
    </row>
    <row r="8739" spans="6:10" ht="15.75" hidden="1" thickBot="1">
      <c r="F8739" s="294" t="s">
        <v>240</v>
      </c>
      <c r="G8739" s="297" t="s">
        <v>241</v>
      </c>
      <c r="J8739" s="639">
        <f t="shared" si="273"/>
        <v>0</v>
      </c>
    </row>
    <row r="8740" spans="6:10" ht="15.75" hidden="1" thickBot="1">
      <c r="F8740" s="294" t="s">
        <v>242</v>
      </c>
      <c r="G8740" s="297" t="s">
        <v>243</v>
      </c>
      <c r="J8740" s="639">
        <f t="shared" si="273"/>
        <v>0</v>
      </c>
    </row>
    <row r="8741" spans="6:10" ht="15.75" hidden="1" thickBot="1">
      <c r="F8741" s="294" t="s">
        <v>244</v>
      </c>
      <c r="G8741" s="297" t="s">
        <v>245</v>
      </c>
      <c r="J8741" s="639">
        <f t="shared" si="273"/>
        <v>0</v>
      </c>
    </row>
    <row r="8742" spans="6:10" ht="15.75" hidden="1" thickBot="1">
      <c r="F8742" s="294" t="s">
        <v>246</v>
      </c>
      <c r="G8742" s="683" t="s">
        <v>5121</v>
      </c>
      <c r="J8742" s="639">
        <f t="shared" si="273"/>
        <v>0</v>
      </c>
    </row>
    <row r="8743" spans="6:10" ht="15.75" hidden="1" thickBot="1">
      <c r="F8743" s="294" t="s">
        <v>247</v>
      </c>
      <c r="G8743" s="683" t="s">
        <v>5120</v>
      </c>
      <c r="J8743" s="639">
        <f t="shared" si="273"/>
        <v>0</v>
      </c>
    </row>
    <row r="8744" spans="6:10" ht="15.75" hidden="1" thickBot="1">
      <c r="F8744" s="294" t="s">
        <v>248</v>
      </c>
      <c r="G8744" s="297" t="s">
        <v>57</v>
      </c>
      <c r="J8744" s="639">
        <f t="shared" si="273"/>
        <v>0</v>
      </c>
    </row>
    <row r="8745" spans="6:10" ht="15.75" hidden="1" thickBot="1">
      <c r="F8745" s="294" t="s">
        <v>249</v>
      </c>
      <c r="G8745" s="297" t="s">
        <v>250</v>
      </c>
      <c r="J8745" s="639">
        <f t="shared" si="273"/>
        <v>0</v>
      </c>
    </row>
    <row r="8746" spans="6:10" ht="15.75" hidden="1" thickBot="1">
      <c r="F8746" s="294" t="s">
        <v>251</v>
      </c>
      <c r="G8746" s="297" t="s">
        <v>252</v>
      </c>
      <c r="J8746" s="639">
        <f t="shared" si="273"/>
        <v>0</v>
      </c>
    </row>
    <row r="8747" spans="6:10" ht="15.75" hidden="1" thickBot="1">
      <c r="F8747" s="294" t="s">
        <v>253</v>
      </c>
      <c r="G8747" s="297" t="s">
        <v>254</v>
      </c>
      <c r="J8747" s="639">
        <f t="shared" si="273"/>
        <v>0</v>
      </c>
    </row>
    <row r="8748" spans="6:10" ht="15.75" hidden="1" thickBot="1">
      <c r="F8748" s="294" t="s">
        <v>255</v>
      </c>
      <c r="G8748" s="297" t="s">
        <v>256</v>
      </c>
      <c r="J8748" s="639">
        <f t="shared" si="273"/>
        <v>0</v>
      </c>
    </row>
    <row r="8749" spans="6:10" ht="15.75" hidden="1" thickBot="1">
      <c r="F8749" s="294" t="s">
        <v>257</v>
      </c>
      <c r="G8749" s="297" t="s">
        <v>258</v>
      </c>
      <c r="J8749" s="639">
        <f t="shared" si="273"/>
        <v>0</v>
      </c>
    </row>
    <row r="8750" spans="6:10" ht="15.75" hidden="1" thickBot="1">
      <c r="F8750" s="294" t="s">
        <v>259</v>
      </c>
      <c r="G8750" s="297" t="s">
        <v>260</v>
      </c>
      <c r="J8750" s="639">
        <f t="shared" si="273"/>
        <v>0</v>
      </c>
    </row>
    <row r="8751" spans="6:10" ht="15.75" hidden="1" thickBot="1">
      <c r="F8751" s="294" t="s">
        <v>261</v>
      </c>
      <c r="G8751" s="297" t="s">
        <v>262</v>
      </c>
      <c r="H8751" s="638"/>
      <c r="I8751" s="639"/>
      <c r="J8751" s="639">
        <f t="shared" si="273"/>
        <v>0</v>
      </c>
    </row>
    <row r="8752" spans="6:10" ht="15.75" hidden="1" thickBot="1">
      <c r="G8752" s="274" t="s">
        <v>4314</v>
      </c>
      <c r="H8752" s="640">
        <f>SUM(H8736:H8751)</f>
        <v>66230000</v>
      </c>
      <c r="I8752" s="641">
        <f>SUM(I8737:I8751)</f>
        <v>0</v>
      </c>
      <c r="J8752" s="641">
        <f>SUM(J8736:J8751)</f>
        <v>66230000</v>
      </c>
    </row>
    <row r="8753" spans="1:25" hidden="1"/>
    <row r="8754" spans="1:25" hidden="1"/>
    <row r="8755" spans="1:25" hidden="1">
      <c r="G8755" s="430" t="s">
        <v>4312</v>
      </c>
    </row>
    <row r="8756" spans="1:25" s="88" customFormat="1" hidden="1">
      <c r="A8756" s="431"/>
      <c r="B8756" s="301"/>
      <c r="C8756" s="321" t="s">
        <v>4433</v>
      </c>
      <c r="D8756" s="264"/>
      <c r="E8756" s="264"/>
      <c r="F8756" s="322"/>
      <c r="G8756" s="444" t="s">
        <v>4107</v>
      </c>
      <c r="H8756" s="667"/>
      <c r="I8756" s="650"/>
      <c r="J8756" s="668"/>
      <c r="K8756" s="575"/>
      <c r="L8756" s="575"/>
      <c r="M8756" s="575"/>
      <c r="N8756" s="575"/>
      <c r="O8756" s="575"/>
      <c r="P8756" s="575"/>
      <c r="Q8756" s="575"/>
      <c r="R8756" s="575"/>
      <c r="S8756" s="575"/>
      <c r="T8756" s="575"/>
      <c r="U8756" s="575"/>
      <c r="V8756" s="575"/>
      <c r="W8756" s="575"/>
      <c r="X8756" s="575"/>
      <c r="Y8756" s="575"/>
    </row>
    <row r="8757" spans="1:25" hidden="1">
      <c r="C8757" s="273"/>
      <c r="D8757" s="357">
        <v>451</v>
      </c>
      <c r="E8757" s="357"/>
      <c r="F8757" s="357"/>
      <c r="G8757" s="358" t="s">
        <v>153</v>
      </c>
    </row>
    <row r="8758" spans="1:25" hidden="1">
      <c r="F8758" s="434">
        <v>411</v>
      </c>
      <c r="G8758" s="429" t="s">
        <v>4173</v>
      </c>
      <c r="J8758" s="635">
        <f>SUM(H8758:I8758)</f>
        <v>0</v>
      </c>
    </row>
    <row r="8759" spans="1:25" hidden="1">
      <c r="F8759" s="434">
        <v>412</v>
      </c>
      <c r="G8759" s="427" t="s">
        <v>3770</v>
      </c>
      <c r="J8759" s="635">
        <f t="shared" ref="J8759:J8817" si="274">SUM(H8759:I8759)</f>
        <v>0</v>
      </c>
    </row>
    <row r="8760" spans="1:25" hidden="1">
      <c r="F8760" s="434">
        <v>413</v>
      </c>
      <c r="G8760" s="429" t="s">
        <v>4174</v>
      </c>
      <c r="J8760" s="635">
        <f t="shared" si="274"/>
        <v>0</v>
      </c>
    </row>
    <row r="8761" spans="1:25" hidden="1">
      <c r="F8761" s="434">
        <v>414</v>
      </c>
      <c r="G8761" s="429" t="s">
        <v>3773</v>
      </c>
      <c r="J8761" s="635">
        <f t="shared" si="274"/>
        <v>0</v>
      </c>
    </row>
    <row r="8762" spans="1:25" hidden="1">
      <c r="F8762" s="434">
        <v>415</v>
      </c>
      <c r="G8762" s="429" t="s">
        <v>4183</v>
      </c>
      <c r="J8762" s="635">
        <f t="shared" si="274"/>
        <v>0</v>
      </c>
    </row>
    <row r="8763" spans="1:25" hidden="1">
      <c r="F8763" s="434">
        <v>416</v>
      </c>
      <c r="G8763" s="429" t="s">
        <v>4184</v>
      </c>
      <c r="J8763" s="635">
        <f t="shared" si="274"/>
        <v>0</v>
      </c>
    </row>
    <row r="8764" spans="1:25" hidden="1">
      <c r="F8764" s="434">
        <v>417</v>
      </c>
      <c r="G8764" s="429" t="s">
        <v>4185</v>
      </c>
      <c r="J8764" s="635">
        <f t="shared" si="274"/>
        <v>0</v>
      </c>
    </row>
    <row r="8765" spans="1:25" hidden="1">
      <c r="F8765" s="434">
        <v>418</v>
      </c>
      <c r="G8765" s="429" t="s">
        <v>3779</v>
      </c>
      <c r="J8765" s="635">
        <f t="shared" si="274"/>
        <v>0</v>
      </c>
    </row>
    <row r="8766" spans="1:25" hidden="1">
      <c r="F8766" s="434">
        <v>421</v>
      </c>
      <c r="G8766" s="429" t="s">
        <v>3783</v>
      </c>
      <c r="J8766" s="635">
        <f t="shared" si="274"/>
        <v>0</v>
      </c>
    </row>
    <row r="8767" spans="1:25" hidden="1">
      <c r="F8767" s="434">
        <v>422</v>
      </c>
      <c r="G8767" s="429" t="s">
        <v>3784</v>
      </c>
      <c r="J8767" s="635">
        <f t="shared" si="274"/>
        <v>0</v>
      </c>
    </row>
    <row r="8768" spans="1:25" hidden="1">
      <c r="F8768" s="434">
        <v>423</v>
      </c>
      <c r="G8768" s="429" t="s">
        <v>3785</v>
      </c>
      <c r="J8768" s="635">
        <f t="shared" si="274"/>
        <v>0</v>
      </c>
    </row>
    <row r="8769" spans="6:10" hidden="1">
      <c r="F8769" s="434">
        <v>424</v>
      </c>
      <c r="G8769" s="429" t="s">
        <v>3787</v>
      </c>
      <c r="J8769" s="635">
        <f t="shared" si="274"/>
        <v>0</v>
      </c>
    </row>
    <row r="8770" spans="6:10" hidden="1">
      <c r="F8770" s="434">
        <v>425</v>
      </c>
      <c r="G8770" s="429" t="s">
        <v>4186</v>
      </c>
      <c r="J8770" s="635">
        <f t="shared" si="274"/>
        <v>0</v>
      </c>
    </row>
    <row r="8771" spans="6:10" hidden="1">
      <c r="F8771" s="434">
        <v>426</v>
      </c>
      <c r="G8771" s="429" t="s">
        <v>3791</v>
      </c>
      <c r="J8771" s="635">
        <f t="shared" si="274"/>
        <v>0</v>
      </c>
    </row>
    <row r="8772" spans="6:10" hidden="1">
      <c r="F8772" s="434">
        <v>431</v>
      </c>
      <c r="G8772" s="429" t="s">
        <v>4187</v>
      </c>
      <c r="J8772" s="635">
        <f t="shared" si="274"/>
        <v>0</v>
      </c>
    </row>
    <row r="8773" spans="6:10" hidden="1">
      <c r="F8773" s="434">
        <v>432</v>
      </c>
      <c r="G8773" s="429" t="s">
        <v>4188</v>
      </c>
      <c r="J8773" s="635">
        <f t="shared" si="274"/>
        <v>0</v>
      </c>
    </row>
    <row r="8774" spans="6:10" hidden="1">
      <c r="F8774" s="434">
        <v>433</v>
      </c>
      <c r="G8774" s="429" t="s">
        <v>4189</v>
      </c>
      <c r="J8774" s="635">
        <f t="shared" si="274"/>
        <v>0</v>
      </c>
    </row>
    <row r="8775" spans="6:10" hidden="1">
      <c r="F8775" s="434">
        <v>434</v>
      </c>
      <c r="G8775" s="429" t="s">
        <v>4190</v>
      </c>
      <c r="J8775" s="635">
        <f t="shared" si="274"/>
        <v>0</v>
      </c>
    </row>
    <row r="8776" spans="6:10" hidden="1">
      <c r="F8776" s="434">
        <v>435</v>
      </c>
      <c r="G8776" s="429" t="s">
        <v>3798</v>
      </c>
      <c r="J8776" s="635">
        <f t="shared" si="274"/>
        <v>0</v>
      </c>
    </row>
    <row r="8777" spans="6:10" hidden="1">
      <c r="F8777" s="434">
        <v>441</v>
      </c>
      <c r="G8777" s="429" t="s">
        <v>4191</v>
      </c>
      <c r="J8777" s="635">
        <f t="shared" si="274"/>
        <v>0</v>
      </c>
    </row>
    <row r="8778" spans="6:10" hidden="1">
      <c r="F8778" s="434">
        <v>442</v>
      </c>
      <c r="G8778" s="429" t="s">
        <v>4192</v>
      </c>
      <c r="J8778" s="635">
        <f t="shared" si="274"/>
        <v>0</v>
      </c>
    </row>
    <row r="8779" spans="6:10" hidden="1">
      <c r="F8779" s="434">
        <v>443</v>
      </c>
      <c r="G8779" s="429" t="s">
        <v>3803</v>
      </c>
      <c r="J8779" s="635">
        <f t="shared" si="274"/>
        <v>0</v>
      </c>
    </row>
    <row r="8780" spans="6:10" hidden="1">
      <c r="F8780" s="434">
        <v>444</v>
      </c>
      <c r="G8780" s="429" t="s">
        <v>3804</v>
      </c>
      <c r="J8780" s="635">
        <f t="shared" si="274"/>
        <v>0</v>
      </c>
    </row>
    <row r="8781" spans="6:10" ht="30" hidden="1">
      <c r="F8781" s="434">
        <v>4511</v>
      </c>
      <c r="G8781" s="268" t="s">
        <v>1690</v>
      </c>
      <c r="J8781" s="635">
        <f t="shared" si="274"/>
        <v>0</v>
      </c>
    </row>
    <row r="8782" spans="6:10" ht="19.5" hidden="1" customHeight="1">
      <c r="F8782" s="434">
        <v>4512</v>
      </c>
      <c r="G8782" s="268" t="s">
        <v>1699</v>
      </c>
      <c r="J8782" s="635">
        <f t="shared" si="274"/>
        <v>0</v>
      </c>
    </row>
    <row r="8783" spans="6:10" hidden="1">
      <c r="F8783" s="434">
        <v>452</v>
      </c>
      <c r="G8783" s="429" t="s">
        <v>4193</v>
      </c>
      <c r="J8783" s="635">
        <f t="shared" si="274"/>
        <v>0</v>
      </c>
    </row>
    <row r="8784" spans="6:10" hidden="1">
      <c r="F8784" s="434">
        <v>453</v>
      </c>
      <c r="G8784" s="429" t="s">
        <v>4194</v>
      </c>
      <c r="J8784" s="635">
        <f t="shared" si="274"/>
        <v>0</v>
      </c>
    </row>
    <row r="8785" spans="6:10" hidden="1">
      <c r="F8785" s="434">
        <v>454</v>
      </c>
      <c r="G8785" s="429" t="s">
        <v>3809</v>
      </c>
      <c r="J8785" s="635">
        <f t="shared" si="274"/>
        <v>0</v>
      </c>
    </row>
    <row r="8786" spans="6:10" hidden="1">
      <c r="F8786" s="434">
        <v>461</v>
      </c>
      <c r="G8786" s="429" t="s">
        <v>4175</v>
      </c>
      <c r="J8786" s="635">
        <f t="shared" si="274"/>
        <v>0</v>
      </c>
    </row>
    <row r="8787" spans="6:10" hidden="1">
      <c r="F8787" s="434">
        <v>462</v>
      </c>
      <c r="G8787" s="429" t="s">
        <v>3812</v>
      </c>
      <c r="J8787" s="635">
        <f t="shared" si="274"/>
        <v>0</v>
      </c>
    </row>
    <row r="8788" spans="6:10" hidden="1">
      <c r="F8788" s="434">
        <v>4631</v>
      </c>
      <c r="G8788" s="429" t="s">
        <v>3813</v>
      </c>
      <c r="J8788" s="635">
        <f t="shared" si="274"/>
        <v>0</v>
      </c>
    </row>
    <row r="8789" spans="6:10" hidden="1">
      <c r="F8789" s="434">
        <v>4632</v>
      </c>
      <c r="G8789" s="429" t="s">
        <v>3814</v>
      </c>
      <c r="J8789" s="635">
        <f t="shared" si="274"/>
        <v>0</v>
      </c>
    </row>
    <row r="8790" spans="6:10" hidden="1">
      <c r="F8790" s="434">
        <v>464</v>
      </c>
      <c r="G8790" s="429" t="s">
        <v>3815</v>
      </c>
      <c r="J8790" s="635">
        <f t="shared" si="274"/>
        <v>0</v>
      </c>
    </row>
    <row r="8791" spans="6:10" hidden="1">
      <c r="F8791" s="434">
        <v>465</v>
      </c>
      <c r="G8791" s="429" t="s">
        <v>4176</v>
      </c>
      <c r="J8791" s="635">
        <f t="shared" si="274"/>
        <v>0</v>
      </c>
    </row>
    <row r="8792" spans="6:10" hidden="1">
      <c r="F8792" s="434">
        <v>472</v>
      </c>
      <c r="G8792" s="429" t="s">
        <v>3819</v>
      </c>
      <c r="J8792" s="635">
        <f t="shared" si="274"/>
        <v>0</v>
      </c>
    </row>
    <row r="8793" spans="6:10" hidden="1">
      <c r="F8793" s="434">
        <v>481</v>
      </c>
      <c r="G8793" s="429" t="s">
        <v>4195</v>
      </c>
      <c r="J8793" s="635">
        <f t="shared" si="274"/>
        <v>0</v>
      </c>
    </row>
    <row r="8794" spans="6:10" hidden="1">
      <c r="F8794" s="434">
        <v>482</v>
      </c>
      <c r="G8794" s="429" t="s">
        <v>4196</v>
      </c>
      <c r="J8794" s="635">
        <f t="shared" si="274"/>
        <v>0</v>
      </c>
    </row>
    <row r="8795" spans="6:10" hidden="1">
      <c r="F8795" s="434">
        <v>483</v>
      </c>
      <c r="G8795" s="432" t="s">
        <v>4197</v>
      </c>
      <c r="J8795" s="635">
        <f t="shared" si="274"/>
        <v>0</v>
      </c>
    </row>
    <row r="8796" spans="6:10" ht="30" hidden="1">
      <c r="F8796" s="434">
        <v>484</v>
      </c>
      <c r="G8796" s="429" t="s">
        <v>4198</v>
      </c>
      <c r="J8796" s="635">
        <f t="shared" si="274"/>
        <v>0</v>
      </c>
    </row>
    <row r="8797" spans="6:10" ht="30" hidden="1">
      <c r="F8797" s="434">
        <v>485</v>
      </c>
      <c r="G8797" s="429" t="s">
        <v>4199</v>
      </c>
      <c r="J8797" s="635">
        <f t="shared" si="274"/>
        <v>0</v>
      </c>
    </row>
    <row r="8798" spans="6:10" ht="30" hidden="1">
      <c r="F8798" s="434">
        <v>489</v>
      </c>
      <c r="G8798" s="429" t="s">
        <v>3827</v>
      </c>
      <c r="J8798" s="635">
        <f t="shared" si="274"/>
        <v>0</v>
      </c>
    </row>
    <row r="8799" spans="6:10" hidden="1">
      <c r="F8799" s="434">
        <v>494</v>
      </c>
      <c r="G8799" s="429" t="s">
        <v>4177</v>
      </c>
      <c r="J8799" s="635">
        <f t="shared" si="274"/>
        <v>0</v>
      </c>
    </row>
    <row r="8800" spans="6:10" ht="30" hidden="1">
      <c r="F8800" s="434">
        <v>495</v>
      </c>
      <c r="G8800" s="429" t="s">
        <v>4178</v>
      </c>
      <c r="J8800" s="635">
        <f t="shared" si="274"/>
        <v>0</v>
      </c>
    </row>
    <row r="8801" spans="6:10" ht="30" hidden="1">
      <c r="F8801" s="434">
        <v>496</v>
      </c>
      <c r="G8801" s="429" t="s">
        <v>4179</v>
      </c>
      <c r="J8801" s="635">
        <f t="shared" si="274"/>
        <v>0</v>
      </c>
    </row>
    <row r="8802" spans="6:10" hidden="1">
      <c r="F8802" s="434">
        <v>499</v>
      </c>
      <c r="G8802" s="429" t="s">
        <v>4180</v>
      </c>
      <c r="J8802" s="635">
        <f t="shared" si="274"/>
        <v>0</v>
      </c>
    </row>
    <row r="8803" spans="6:10" hidden="1">
      <c r="F8803" s="434">
        <v>511</v>
      </c>
      <c r="G8803" s="432" t="s">
        <v>4200</v>
      </c>
      <c r="J8803" s="635">
        <f t="shared" si="274"/>
        <v>0</v>
      </c>
    </row>
    <row r="8804" spans="6:10" ht="15.75" hidden="1" thickBot="1">
      <c r="F8804" s="434">
        <v>512</v>
      </c>
      <c r="G8804" s="432" t="s">
        <v>4201</v>
      </c>
      <c r="J8804" s="635">
        <f t="shared" si="274"/>
        <v>0</v>
      </c>
    </row>
    <row r="8805" spans="6:10" ht="15.75" hidden="1" thickBot="1">
      <c r="F8805" s="434">
        <v>513</v>
      </c>
      <c r="G8805" s="432" t="s">
        <v>4202</v>
      </c>
      <c r="J8805" s="635">
        <f t="shared" si="274"/>
        <v>0</v>
      </c>
    </row>
    <row r="8806" spans="6:10" ht="15.75" hidden="1" thickBot="1">
      <c r="F8806" s="434">
        <v>514</v>
      </c>
      <c r="G8806" s="429" t="s">
        <v>4203</v>
      </c>
      <c r="J8806" s="635">
        <f t="shared" si="274"/>
        <v>0</v>
      </c>
    </row>
    <row r="8807" spans="6:10" ht="15.75" hidden="1" thickBot="1">
      <c r="F8807" s="434">
        <v>515</v>
      </c>
      <c r="G8807" s="429" t="s">
        <v>3838</v>
      </c>
      <c r="J8807" s="635">
        <f t="shared" si="274"/>
        <v>0</v>
      </c>
    </row>
    <row r="8808" spans="6:10" ht="15.75" hidden="1" thickBot="1">
      <c r="F8808" s="434">
        <v>521</v>
      </c>
      <c r="G8808" s="429" t="s">
        <v>4204</v>
      </c>
      <c r="J8808" s="635">
        <f t="shared" si="274"/>
        <v>0</v>
      </c>
    </row>
    <row r="8809" spans="6:10" ht="15.75" hidden="1" thickBot="1">
      <c r="F8809" s="434">
        <v>522</v>
      </c>
      <c r="G8809" s="429" t="s">
        <v>4205</v>
      </c>
      <c r="J8809" s="635">
        <f t="shared" si="274"/>
        <v>0</v>
      </c>
    </row>
    <row r="8810" spans="6:10" ht="15.75" hidden="1" thickBot="1">
      <c r="F8810" s="434">
        <v>523</v>
      </c>
      <c r="G8810" s="429" t="s">
        <v>3843</v>
      </c>
      <c r="J8810" s="635">
        <f t="shared" si="274"/>
        <v>0</v>
      </c>
    </row>
    <row r="8811" spans="6:10" ht="15.75" hidden="1" thickBot="1">
      <c r="F8811" s="434">
        <v>531</v>
      </c>
      <c r="G8811" s="427" t="s">
        <v>4181</v>
      </c>
      <c r="J8811" s="635">
        <f t="shared" si="274"/>
        <v>0</v>
      </c>
    </row>
    <row r="8812" spans="6:10" ht="15.75" hidden="1" thickBot="1">
      <c r="F8812" s="434">
        <v>541</v>
      </c>
      <c r="G8812" s="429" t="s">
        <v>4206</v>
      </c>
      <c r="J8812" s="635">
        <f t="shared" si="274"/>
        <v>0</v>
      </c>
    </row>
    <row r="8813" spans="6:10" ht="15.75" hidden="1" thickBot="1">
      <c r="F8813" s="434">
        <v>542</v>
      </c>
      <c r="G8813" s="429" t="s">
        <v>4207</v>
      </c>
      <c r="J8813" s="635">
        <f t="shared" si="274"/>
        <v>0</v>
      </c>
    </row>
    <row r="8814" spans="6:10" ht="15.75" hidden="1" thickBot="1">
      <c r="F8814" s="434">
        <v>543</v>
      </c>
      <c r="G8814" s="429" t="s">
        <v>3848</v>
      </c>
      <c r="J8814" s="635">
        <f t="shared" si="274"/>
        <v>0</v>
      </c>
    </row>
    <row r="8815" spans="6:10" ht="30.75" hidden="1" thickBot="1">
      <c r="F8815" s="434">
        <v>551</v>
      </c>
      <c r="G8815" s="429" t="s">
        <v>4182</v>
      </c>
      <c r="J8815" s="635">
        <f t="shared" si="274"/>
        <v>0</v>
      </c>
    </row>
    <row r="8816" spans="6:10" ht="15.75" hidden="1" thickBot="1">
      <c r="F8816" s="435">
        <v>611</v>
      </c>
      <c r="G8816" s="433" t="s">
        <v>3854</v>
      </c>
      <c r="J8816" s="635">
        <f t="shared" si="274"/>
        <v>0</v>
      </c>
    </row>
    <row r="8817" spans="5:10" ht="15.75" hidden="1" thickBot="1">
      <c r="F8817" s="435">
        <v>620</v>
      </c>
      <c r="G8817" s="433" t="s">
        <v>88</v>
      </c>
      <c r="J8817" s="635">
        <f t="shared" si="274"/>
        <v>0</v>
      </c>
    </row>
    <row r="8818" spans="5:10" hidden="1">
      <c r="E8818" s="428"/>
      <c r="F8818" s="435"/>
      <c r="G8818" s="372" t="s">
        <v>4367</v>
      </c>
      <c r="H8818" s="636"/>
      <c r="I8818" s="662"/>
      <c r="J8818" s="637"/>
    </row>
    <row r="8819" spans="5:10" ht="15.75" hidden="1" thickBot="1">
      <c r="E8819" s="267"/>
      <c r="F8819" s="294" t="s">
        <v>234</v>
      </c>
      <c r="G8819" s="297" t="s">
        <v>235</v>
      </c>
      <c r="H8819" s="638">
        <f>SUM(H8758:H8817)</f>
        <v>0</v>
      </c>
      <c r="I8819" s="639"/>
      <c r="J8819" s="639">
        <f t="shared" ref="J8819:J8834" si="275">SUM(H8819:I8819)</f>
        <v>0</v>
      </c>
    </row>
    <row r="8820" spans="5:10" ht="15.75" hidden="1" thickBot="1">
      <c r="F8820" s="294" t="s">
        <v>236</v>
      </c>
      <c r="G8820" s="297" t="s">
        <v>237</v>
      </c>
      <c r="J8820" s="639">
        <f t="shared" si="275"/>
        <v>0</v>
      </c>
    </row>
    <row r="8821" spans="5:10" ht="15.75" hidden="1" thickBot="1">
      <c r="F8821" s="294" t="s">
        <v>238</v>
      </c>
      <c r="G8821" s="297" t="s">
        <v>239</v>
      </c>
      <c r="J8821" s="639">
        <f t="shared" si="275"/>
        <v>0</v>
      </c>
    </row>
    <row r="8822" spans="5:10" ht="15.75" hidden="1" thickBot="1">
      <c r="F8822" s="294" t="s">
        <v>240</v>
      </c>
      <c r="G8822" s="297" t="s">
        <v>241</v>
      </c>
      <c r="J8822" s="639">
        <f t="shared" si="275"/>
        <v>0</v>
      </c>
    </row>
    <row r="8823" spans="5:10" ht="15.75" hidden="1" thickBot="1">
      <c r="F8823" s="294" t="s">
        <v>242</v>
      </c>
      <c r="G8823" s="297" t="s">
        <v>243</v>
      </c>
      <c r="J8823" s="639">
        <f t="shared" si="275"/>
        <v>0</v>
      </c>
    </row>
    <row r="8824" spans="5:10" ht="15.75" hidden="1" thickBot="1">
      <c r="F8824" s="294" t="s">
        <v>244</v>
      </c>
      <c r="G8824" s="297" t="s">
        <v>245</v>
      </c>
      <c r="J8824" s="639">
        <f t="shared" si="275"/>
        <v>0</v>
      </c>
    </row>
    <row r="8825" spans="5:10" ht="15.75" hidden="1" thickBot="1">
      <c r="F8825" s="294" t="s">
        <v>246</v>
      </c>
      <c r="G8825" s="683" t="s">
        <v>5121</v>
      </c>
      <c r="J8825" s="639">
        <f t="shared" si="275"/>
        <v>0</v>
      </c>
    </row>
    <row r="8826" spans="5:10" ht="15.75" hidden="1" thickBot="1">
      <c r="F8826" s="294" t="s">
        <v>247</v>
      </c>
      <c r="G8826" s="683" t="s">
        <v>5120</v>
      </c>
      <c r="J8826" s="639">
        <f t="shared" si="275"/>
        <v>0</v>
      </c>
    </row>
    <row r="8827" spans="5:10" ht="15.75" hidden="1" thickBot="1">
      <c r="F8827" s="294" t="s">
        <v>248</v>
      </c>
      <c r="G8827" s="297" t="s">
        <v>57</v>
      </c>
      <c r="J8827" s="639">
        <f t="shared" si="275"/>
        <v>0</v>
      </c>
    </row>
    <row r="8828" spans="5:10" ht="15.75" hidden="1" thickBot="1">
      <c r="F8828" s="294" t="s">
        <v>249</v>
      </c>
      <c r="G8828" s="297" t="s">
        <v>250</v>
      </c>
      <c r="J8828" s="639">
        <f t="shared" si="275"/>
        <v>0</v>
      </c>
    </row>
    <row r="8829" spans="5:10" ht="15.75" hidden="1" thickBot="1">
      <c r="F8829" s="294" t="s">
        <v>251</v>
      </c>
      <c r="G8829" s="297" t="s">
        <v>252</v>
      </c>
      <c r="J8829" s="639">
        <f t="shared" si="275"/>
        <v>0</v>
      </c>
    </row>
    <row r="8830" spans="5:10" ht="15.75" hidden="1" thickBot="1">
      <c r="F8830" s="294" t="s">
        <v>253</v>
      </c>
      <c r="G8830" s="297" t="s">
        <v>254</v>
      </c>
      <c r="J8830" s="639">
        <f t="shared" si="275"/>
        <v>0</v>
      </c>
    </row>
    <row r="8831" spans="5:10" ht="15.75" hidden="1" thickBot="1">
      <c r="F8831" s="294" t="s">
        <v>255</v>
      </c>
      <c r="G8831" s="297" t="s">
        <v>256</v>
      </c>
      <c r="J8831" s="639">
        <f t="shared" si="275"/>
        <v>0</v>
      </c>
    </row>
    <row r="8832" spans="5:10" ht="15.75" hidden="1" thickBot="1">
      <c r="F8832" s="294" t="s">
        <v>257</v>
      </c>
      <c r="G8832" s="297" t="s">
        <v>258</v>
      </c>
      <c r="J8832" s="639">
        <f t="shared" si="275"/>
        <v>0</v>
      </c>
    </row>
    <row r="8833" spans="5:10" ht="15.75" hidden="1" thickBot="1">
      <c r="F8833" s="294" t="s">
        <v>259</v>
      </c>
      <c r="G8833" s="297" t="s">
        <v>260</v>
      </c>
      <c r="J8833" s="639">
        <f t="shared" si="275"/>
        <v>0</v>
      </c>
    </row>
    <row r="8834" spans="5:10" ht="15.75" hidden="1" thickBot="1">
      <c r="F8834" s="294" t="s">
        <v>261</v>
      </c>
      <c r="G8834" s="297" t="s">
        <v>262</v>
      </c>
      <c r="H8834" s="638"/>
      <c r="I8834" s="639"/>
      <c r="J8834" s="639">
        <f t="shared" si="275"/>
        <v>0</v>
      </c>
    </row>
    <row r="8835" spans="5:10" ht="15.75" hidden="1" thickBot="1">
      <c r="G8835" s="274" t="s">
        <v>4366</v>
      </c>
      <c r="H8835" s="640">
        <f>SUM(H8819:H8834)</f>
        <v>0</v>
      </c>
      <c r="I8835" s="641">
        <f>SUM(I8820:I8834)</f>
        <v>0</v>
      </c>
      <c r="J8835" s="641">
        <f>SUM(J8819:J8834)</f>
        <v>0</v>
      </c>
    </row>
    <row r="8836" spans="5:10" hidden="1" collapsed="1">
      <c r="E8836" s="428"/>
      <c r="F8836" s="435"/>
      <c r="G8836" s="276" t="s">
        <v>4434</v>
      </c>
      <c r="H8836" s="642"/>
      <c r="I8836" s="663"/>
      <c r="J8836" s="643"/>
    </row>
    <row r="8837" spans="5:10" ht="15.75" hidden="1" thickBot="1">
      <c r="E8837" s="267"/>
      <c r="F8837" s="294" t="s">
        <v>234</v>
      </c>
      <c r="G8837" s="297" t="s">
        <v>235</v>
      </c>
      <c r="H8837" s="638">
        <f>SUM(H8758:H8817)</f>
        <v>0</v>
      </c>
      <c r="I8837" s="639"/>
      <c r="J8837" s="639">
        <f>SUM(H8837:I8837)</f>
        <v>0</v>
      </c>
    </row>
    <row r="8838" spans="5:10" ht="15.75" hidden="1" thickBot="1">
      <c r="F8838" s="294" t="s">
        <v>236</v>
      </c>
      <c r="G8838" s="297" t="s">
        <v>237</v>
      </c>
      <c r="J8838" s="639">
        <f t="shared" ref="J8838:J8852" si="276">SUM(H8838:I8838)</f>
        <v>0</v>
      </c>
    </row>
    <row r="8839" spans="5:10" ht="15.75" hidden="1" thickBot="1">
      <c r="F8839" s="294" t="s">
        <v>238</v>
      </c>
      <c r="G8839" s="297" t="s">
        <v>239</v>
      </c>
      <c r="J8839" s="639">
        <f t="shared" si="276"/>
        <v>0</v>
      </c>
    </row>
    <row r="8840" spans="5:10" ht="15.75" hidden="1" thickBot="1">
      <c r="F8840" s="294" t="s">
        <v>240</v>
      </c>
      <c r="G8840" s="297" t="s">
        <v>241</v>
      </c>
      <c r="J8840" s="639">
        <f t="shared" si="276"/>
        <v>0</v>
      </c>
    </row>
    <row r="8841" spans="5:10" ht="15.75" hidden="1" thickBot="1">
      <c r="F8841" s="294" t="s">
        <v>242</v>
      </c>
      <c r="G8841" s="297" t="s">
        <v>243</v>
      </c>
      <c r="J8841" s="639">
        <f t="shared" si="276"/>
        <v>0</v>
      </c>
    </row>
    <row r="8842" spans="5:10" ht="15.75" hidden="1" thickBot="1">
      <c r="F8842" s="294" t="s">
        <v>244</v>
      </c>
      <c r="G8842" s="297" t="s">
        <v>245</v>
      </c>
      <c r="J8842" s="639">
        <f t="shared" si="276"/>
        <v>0</v>
      </c>
    </row>
    <row r="8843" spans="5:10" ht="15.75" hidden="1" thickBot="1">
      <c r="F8843" s="294" t="s">
        <v>246</v>
      </c>
      <c r="G8843" s="683" t="s">
        <v>5121</v>
      </c>
      <c r="J8843" s="639">
        <f t="shared" si="276"/>
        <v>0</v>
      </c>
    </row>
    <row r="8844" spans="5:10" ht="15.75" hidden="1" thickBot="1">
      <c r="F8844" s="294" t="s">
        <v>247</v>
      </c>
      <c r="G8844" s="683" t="s">
        <v>5120</v>
      </c>
      <c r="J8844" s="639">
        <f t="shared" si="276"/>
        <v>0</v>
      </c>
    </row>
    <row r="8845" spans="5:10" ht="15.75" hidden="1" thickBot="1">
      <c r="F8845" s="294" t="s">
        <v>248</v>
      </c>
      <c r="G8845" s="297" t="s">
        <v>57</v>
      </c>
      <c r="J8845" s="639">
        <f t="shared" si="276"/>
        <v>0</v>
      </c>
    </row>
    <row r="8846" spans="5:10" ht="15.75" hidden="1" thickBot="1">
      <c r="F8846" s="294" t="s">
        <v>249</v>
      </c>
      <c r="G8846" s="297" t="s">
        <v>250</v>
      </c>
      <c r="J8846" s="639">
        <f t="shared" si="276"/>
        <v>0</v>
      </c>
    </row>
    <row r="8847" spans="5:10" ht="15.75" hidden="1" thickBot="1">
      <c r="F8847" s="294" t="s">
        <v>251</v>
      </c>
      <c r="G8847" s="297" t="s">
        <v>252</v>
      </c>
      <c r="J8847" s="639">
        <f t="shared" si="276"/>
        <v>0</v>
      </c>
    </row>
    <row r="8848" spans="5:10" ht="15.75" hidden="1" thickBot="1">
      <c r="F8848" s="294" t="s">
        <v>253</v>
      </c>
      <c r="G8848" s="297" t="s">
        <v>254</v>
      </c>
      <c r="J8848" s="639">
        <f t="shared" si="276"/>
        <v>0</v>
      </c>
    </row>
    <row r="8849" spans="1:25" ht="15.75" hidden="1" thickBot="1">
      <c r="F8849" s="294" t="s">
        <v>255</v>
      </c>
      <c r="G8849" s="297" t="s">
        <v>256</v>
      </c>
      <c r="J8849" s="639">
        <f t="shared" si="276"/>
        <v>0</v>
      </c>
    </row>
    <row r="8850" spans="1:25" ht="15.75" hidden="1" thickBot="1">
      <c r="F8850" s="294" t="s">
        <v>257</v>
      </c>
      <c r="G8850" s="297" t="s">
        <v>258</v>
      </c>
      <c r="J8850" s="639">
        <f t="shared" si="276"/>
        <v>0</v>
      </c>
    </row>
    <row r="8851" spans="1:25" ht="15.75" hidden="1" thickBot="1">
      <c r="F8851" s="294" t="s">
        <v>259</v>
      </c>
      <c r="G8851" s="297" t="s">
        <v>260</v>
      </c>
      <c r="J8851" s="639">
        <f t="shared" si="276"/>
        <v>0</v>
      </c>
    </row>
    <row r="8852" spans="1:25" ht="15.75" hidden="1" thickBot="1">
      <c r="F8852" s="294" t="s">
        <v>261</v>
      </c>
      <c r="G8852" s="297" t="s">
        <v>262</v>
      </c>
      <c r="H8852" s="638"/>
      <c r="I8852" s="639"/>
      <c r="J8852" s="639">
        <f t="shared" si="276"/>
        <v>0</v>
      </c>
    </row>
    <row r="8853" spans="1:25" ht="15.75" hidden="1" collapsed="1" thickBot="1">
      <c r="G8853" s="274" t="s">
        <v>4435</v>
      </c>
      <c r="H8853" s="640">
        <f>SUM(H8837:H8852)</f>
        <v>0</v>
      </c>
      <c r="I8853" s="641">
        <f>SUM(I8838:I8852)</f>
        <v>0</v>
      </c>
      <c r="J8853" s="641">
        <f>SUM(J8837:J8852)</f>
        <v>0</v>
      </c>
    </row>
    <row r="8854" spans="1:25" hidden="1"/>
    <row r="8855" spans="1:25" s="88" customFormat="1" hidden="1">
      <c r="A8855" s="442"/>
      <c r="B8855" s="301"/>
      <c r="C8855" s="321" t="s">
        <v>5058</v>
      </c>
      <c r="D8855" s="264"/>
      <c r="E8855" s="264"/>
      <c r="F8855" s="322"/>
      <c r="G8855" s="444" t="s">
        <v>4108</v>
      </c>
      <c r="H8855" s="667"/>
      <c r="I8855" s="650"/>
      <c r="J8855" s="668"/>
      <c r="K8855" s="575"/>
      <c r="L8855" s="575"/>
      <c r="M8855" s="575"/>
      <c r="N8855" s="575"/>
      <c r="O8855" s="575"/>
      <c r="P8855" s="575"/>
      <c r="Q8855" s="575"/>
      <c r="R8855" s="575"/>
      <c r="S8855" s="575"/>
      <c r="T8855" s="575"/>
      <c r="U8855" s="575"/>
      <c r="V8855" s="575"/>
      <c r="W8855" s="575"/>
      <c r="X8855" s="575"/>
      <c r="Y8855" s="575"/>
    </row>
    <row r="8856" spans="1:25" hidden="1">
      <c r="C8856" s="273"/>
      <c r="D8856" s="357">
        <v>451</v>
      </c>
      <c r="E8856" s="357"/>
      <c r="F8856" s="357"/>
      <c r="G8856" s="358" t="s">
        <v>153</v>
      </c>
    </row>
    <row r="8857" spans="1:25" hidden="1">
      <c r="F8857" s="448">
        <v>411</v>
      </c>
      <c r="G8857" s="438" t="s">
        <v>4173</v>
      </c>
      <c r="J8857" s="635">
        <f>SUM(H8857:I8857)</f>
        <v>0</v>
      </c>
    </row>
    <row r="8858" spans="1:25" hidden="1">
      <c r="F8858" s="448">
        <v>412</v>
      </c>
      <c r="G8858" s="436" t="s">
        <v>3770</v>
      </c>
      <c r="J8858" s="635">
        <f t="shared" ref="J8858:J8916" si="277">SUM(H8858:I8858)</f>
        <v>0</v>
      </c>
    </row>
    <row r="8859" spans="1:25" hidden="1">
      <c r="F8859" s="448">
        <v>413</v>
      </c>
      <c r="G8859" s="438" t="s">
        <v>4174</v>
      </c>
      <c r="J8859" s="635">
        <f t="shared" si="277"/>
        <v>0</v>
      </c>
    </row>
    <row r="8860" spans="1:25" hidden="1">
      <c r="F8860" s="448">
        <v>414</v>
      </c>
      <c r="G8860" s="438" t="s">
        <v>3773</v>
      </c>
      <c r="J8860" s="635">
        <f t="shared" si="277"/>
        <v>0</v>
      </c>
    </row>
    <row r="8861" spans="1:25" hidden="1">
      <c r="F8861" s="448">
        <v>415</v>
      </c>
      <c r="G8861" s="438" t="s">
        <v>4183</v>
      </c>
      <c r="J8861" s="635">
        <f t="shared" si="277"/>
        <v>0</v>
      </c>
    </row>
    <row r="8862" spans="1:25" hidden="1">
      <c r="F8862" s="448">
        <v>416</v>
      </c>
      <c r="G8862" s="438" t="s">
        <v>4184</v>
      </c>
      <c r="J8862" s="635">
        <f t="shared" si="277"/>
        <v>0</v>
      </c>
    </row>
    <row r="8863" spans="1:25" hidden="1">
      <c r="F8863" s="448">
        <v>417</v>
      </c>
      <c r="G8863" s="438" t="s">
        <v>4185</v>
      </c>
      <c r="J8863" s="635">
        <f t="shared" si="277"/>
        <v>0</v>
      </c>
    </row>
    <row r="8864" spans="1:25" hidden="1">
      <c r="F8864" s="448">
        <v>418</v>
      </c>
      <c r="G8864" s="438" t="s">
        <v>3779</v>
      </c>
      <c r="J8864" s="635">
        <f t="shared" si="277"/>
        <v>0</v>
      </c>
    </row>
    <row r="8865" spans="6:10" hidden="1">
      <c r="F8865" s="448">
        <v>421</v>
      </c>
      <c r="G8865" s="438" t="s">
        <v>3783</v>
      </c>
      <c r="J8865" s="635">
        <f t="shared" si="277"/>
        <v>0</v>
      </c>
    </row>
    <row r="8866" spans="6:10" hidden="1">
      <c r="F8866" s="448">
        <v>422</v>
      </c>
      <c r="G8866" s="438" t="s">
        <v>3784</v>
      </c>
      <c r="J8866" s="635">
        <f t="shared" si="277"/>
        <v>0</v>
      </c>
    </row>
    <row r="8867" spans="6:10" hidden="1">
      <c r="F8867" s="448">
        <v>423</v>
      </c>
      <c r="G8867" s="438" t="s">
        <v>3785</v>
      </c>
      <c r="J8867" s="635">
        <f t="shared" si="277"/>
        <v>0</v>
      </c>
    </row>
    <row r="8868" spans="6:10" hidden="1">
      <c r="F8868" s="448">
        <v>424</v>
      </c>
      <c r="G8868" s="438" t="s">
        <v>3787</v>
      </c>
      <c r="J8868" s="635">
        <f t="shared" si="277"/>
        <v>0</v>
      </c>
    </row>
    <row r="8869" spans="6:10" hidden="1">
      <c r="F8869" s="448">
        <v>425</v>
      </c>
      <c r="G8869" s="438" t="s">
        <v>4186</v>
      </c>
      <c r="J8869" s="635">
        <f t="shared" si="277"/>
        <v>0</v>
      </c>
    </row>
    <row r="8870" spans="6:10" ht="15.75" hidden="1" thickBot="1">
      <c r="F8870" s="448">
        <v>426</v>
      </c>
      <c r="G8870" s="438" t="s">
        <v>3791</v>
      </c>
      <c r="J8870" s="635">
        <f t="shared" si="277"/>
        <v>0</v>
      </c>
    </row>
    <row r="8871" spans="6:10" ht="15.75" hidden="1" thickBot="1">
      <c r="F8871" s="448">
        <v>431</v>
      </c>
      <c r="G8871" s="438" t="s">
        <v>4187</v>
      </c>
      <c r="J8871" s="635">
        <f t="shared" si="277"/>
        <v>0</v>
      </c>
    </row>
    <row r="8872" spans="6:10" ht="15.75" hidden="1" thickBot="1">
      <c r="F8872" s="448">
        <v>432</v>
      </c>
      <c r="G8872" s="438" t="s">
        <v>4188</v>
      </c>
      <c r="J8872" s="635">
        <f t="shared" si="277"/>
        <v>0</v>
      </c>
    </row>
    <row r="8873" spans="6:10" ht="15.75" hidden="1" thickBot="1">
      <c r="F8873" s="448">
        <v>433</v>
      </c>
      <c r="G8873" s="438" t="s">
        <v>4189</v>
      </c>
      <c r="J8873" s="635">
        <f t="shared" si="277"/>
        <v>0</v>
      </c>
    </row>
    <row r="8874" spans="6:10" ht="15.75" hidden="1" thickBot="1">
      <c r="F8874" s="448">
        <v>434</v>
      </c>
      <c r="G8874" s="438" t="s">
        <v>4190</v>
      </c>
      <c r="J8874" s="635">
        <f t="shared" si="277"/>
        <v>0</v>
      </c>
    </row>
    <row r="8875" spans="6:10" ht="15.75" hidden="1" thickBot="1">
      <c r="F8875" s="448">
        <v>435</v>
      </c>
      <c r="G8875" s="438" t="s">
        <v>3798</v>
      </c>
      <c r="J8875" s="635">
        <f t="shared" si="277"/>
        <v>0</v>
      </c>
    </row>
    <row r="8876" spans="6:10" ht="15.75" hidden="1" thickBot="1">
      <c r="F8876" s="448">
        <v>441</v>
      </c>
      <c r="G8876" s="438" t="s">
        <v>4191</v>
      </c>
      <c r="J8876" s="635">
        <f t="shared" si="277"/>
        <v>0</v>
      </c>
    </row>
    <row r="8877" spans="6:10" ht="15.75" hidden="1" thickBot="1">
      <c r="F8877" s="448">
        <v>442</v>
      </c>
      <c r="G8877" s="438" t="s">
        <v>4192</v>
      </c>
      <c r="J8877" s="635">
        <f t="shared" si="277"/>
        <v>0</v>
      </c>
    </row>
    <row r="8878" spans="6:10" ht="15.75" hidden="1" thickBot="1">
      <c r="F8878" s="448">
        <v>443</v>
      </c>
      <c r="G8878" s="438" t="s">
        <v>3803</v>
      </c>
      <c r="J8878" s="635">
        <f t="shared" si="277"/>
        <v>0</v>
      </c>
    </row>
    <row r="8879" spans="6:10" ht="15.75" hidden="1" thickBot="1">
      <c r="F8879" s="448">
        <v>444</v>
      </c>
      <c r="G8879" s="438" t="s">
        <v>3804</v>
      </c>
      <c r="J8879" s="635">
        <f t="shared" si="277"/>
        <v>0</v>
      </c>
    </row>
    <row r="8880" spans="6:10" ht="30.75" hidden="1" thickBot="1">
      <c r="F8880" s="448">
        <v>4511</v>
      </c>
      <c r="G8880" s="268" t="s">
        <v>1690</v>
      </c>
      <c r="J8880" s="635">
        <f t="shared" si="277"/>
        <v>0</v>
      </c>
    </row>
    <row r="8881" spans="6:10" ht="19.5" hidden="1" customHeight="1">
      <c r="F8881" s="448">
        <v>4512</v>
      </c>
      <c r="G8881" s="268" t="s">
        <v>1699</v>
      </c>
      <c r="J8881" s="635">
        <f t="shared" si="277"/>
        <v>0</v>
      </c>
    </row>
    <row r="8882" spans="6:10" ht="15.75" hidden="1" thickBot="1">
      <c r="F8882" s="448">
        <v>452</v>
      </c>
      <c r="G8882" s="438" t="s">
        <v>4193</v>
      </c>
      <c r="J8882" s="635">
        <f t="shared" si="277"/>
        <v>0</v>
      </c>
    </row>
    <row r="8883" spans="6:10" ht="15.75" hidden="1" thickBot="1">
      <c r="F8883" s="448">
        <v>453</v>
      </c>
      <c r="G8883" s="438" t="s">
        <v>4194</v>
      </c>
      <c r="J8883" s="635">
        <f t="shared" si="277"/>
        <v>0</v>
      </c>
    </row>
    <row r="8884" spans="6:10" ht="15.75" hidden="1" thickBot="1">
      <c r="F8884" s="448">
        <v>454</v>
      </c>
      <c r="G8884" s="438" t="s">
        <v>3809</v>
      </c>
      <c r="J8884" s="635">
        <f t="shared" si="277"/>
        <v>0</v>
      </c>
    </row>
    <row r="8885" spans="6:10" ht="15.75" hidden="1" thickBot="1">
      <c r="F8885" s="448">
        <v>461</v>
      </c>
      <c r="G8885" s="438" t="s">
        <v>4175</v>
      </c>
      <c r="J8885" s="635">
        <f t="shared" si="277"/>
        <v>0</v>
      </c>
    </row>
    <row r="8886" spans="6:10" ht="15.75" hidden="1" thickBot="1">
      <c r="F8886" s="448">
        <v>462</v>
      </c>
      <c r="G8886" s="438" t="s">
        <v>3812</v>
      </c>
      <c r="J8886" s="635">
        <f t="shared" si="277"/>
        <v>0</v>
      </c>
    </row>
    <row r="8887" spans="6:10" ht="15.75" hidden="1" thickBot="1">
      <c r="F8887" s="448">
        <v>4631</v>
      </c>
      <c r="G8887" s="438" t="s">
        <v>3813</v>
      </c>
      <c r="J8887" s="635">
        <f t="shared" si="277"/>
        <v>0</v>
      </c>
    </row>
    <row r="8888" spans="6:10" ht="15.75" hidden="1" thickBot="1">
      <c r="F8888" s="448">
        <v>4632</v>
      </c>
      <c r="G8888" s="438" t="s">
        <v>3814</v>
      </c>
      <c r="J8888" s="635">
        <f t="shared" si="277"/>
        <v>0</v>
      </c>
    </row>
    <row r="8889" spans="6:10" ht="15.75" hidden="1" thickBot="1">
      <c r="F8889" s="448">
        <v>464</v>
      </c>
      <c r="G8889" s="438" t="s">
        <v>3815</v>
      </c>
      <c r="J8889" s="635">
        <f t="shared" si="277"/>
        <v>0</v>
      </c>
    </row>
    <row r="8890" spans="6:10" ht="15.75" hidden="1" thickBot="1">
      <c r="F8890" s="448">
        <v>465</v>
      </c>
      <c r="G8890" s="438" t="s">
        <v>4176</v>
      </c>
      <c r="J8890" s="635">
        <f t="shared" si="277"/>
        <v>0</v>
      </c>
    </row>
    <row r="8891" spans="6:10" ht="15.75" hidden="1" thickBot="1">
      <c r="F8891" s="448">
        <v>472</v>
      </c>
      <c r="G8891" s="438" t="s">
        <v>3819</v>
      </c>
      <c r="J8891" s="635">
        <f t="shared" si="277"/>
        <v>0</v>
      </c>
    </row>
    <row r="8892" spans="6:10" ht="15.75" hidden="1" thickBot="1">
      <c r="F8892" s="448">
        <v>481</v>
      </c>
      <c r="G8892" s="438" t="s">
        <v>4195</v>
      </c>
      <c r="J8892" s="635">
        <f t="shared" si="277"/>
        <v>0</v>
      </c>
    </row>
    <row r="8893" spans="6:10" ht="15.75" hidden="1" thickBot="1">
      <c r="F8893" s="448">
        <v>482</v>
      </c>
      <c r="G8893" s="438" t="s">
        <v>4196</v>
      </c>
      <c r="J8893" s="635">
        <f t="shared" si="277"/>
        <v>0</v>
      </c>
    </row>
    <row r="8894" spans="6:10" ht="15.75" hidden="1" thickBot="1">
      <c r="F8894" s="448">
        <v>483</v>
      </c>
      <c r="G8894" s="443" t="s">
        <v>4197</v>
      </c>
      <c r="J8894" s="635">
        <f t="shared" si="277"/>
        <v>0</v>
      </c>
    </row>
    <row r="8895" spans="6:10" ht="30.75" hidden="1" thickBot="1">
      <c r="F8895" s="448">
        <v>484</v>
      </c>
      <c r="G8895" s="438" t="s">
        <v>4198</v>
      </c>
      <c r="J8895" s="635">
        <f t="shared" si="277"/>
        <v>0</v>
      </c>
    </row>
    <row r="8896" spans="6:10" ht="30.75" hidden="1" thickBot="1">
      <c r="F8896" s="448">
        <v>485</v>
      </c>
      <c r="G8896" s="438" t="s">
        <v>4199</v>
      </c>
      <c r="J8896" s="635">
        <f t="shared" si="277"/>
        <v>0</v>
      </c>
    </row>
    <row r="8897" spans="6:10" ht="30.75" hidden="1" thickBot="1">
      <c r="F8897" s="448">
        <v>489</v>
      </c>
      <c r="G8897" s="438" t="s">
        <v>3827</v>
      </c>
      <c r="J8897" s="635">
        <f t="shared" si="277"/>
        <v>0</v>
      </c>
    </row>
    <row r="8898" spans="6:10" ht="15.75" hidden="1" thickBot="1">
      <c r="F8898" s="448">
        <v>494</v>
      </c>
      <c r="G8898" s="438" t="s">
        <v>4177</v>
      </c>
      <c r="J8898" s="635">
        <f t="shared" si="277"/>
        <v>0</v>
      </c>
    </row>
    <row r="8899" spans="6:10" ht="30.75" hidden="1" thickBot="1">
      <c r="F8899" s="448">
        <v>495</v>
      </c>
      <c r="G8899" s="438" t="s">
        <v>4178</v>
      </c>
      <c r="J8899" s="635">
        <f t="shared" si="277"/>
        <v>0</v>
      </c>
    </row>
    <row r="8900" spans="6:10" ht="30.75" hidden="1" thickBot="1">
      <c r="F8900" s="448">
        <v>496</v>
      </c>
      <c r="G8900" s="438" t="s">
        <v>4179</v>
      </c>
      <c r="J8900" s="635">
        <f t="shared" si="277"/>
        <v>0</v>
      </c>
    </row>
    <row r="8901" spans="6:10" ht="15.75" hidden="1" thickBot="1">
      <c r="F8901" s="448">
        <v>499</v>
      </c>
      <c r="G8901" s="438" t="s">
        <v>4180</v>
      </c>
      <c r="J8901" s="635">
        <f t="shared" si="277"/>
        <v>0</v>
      </c>
    </row>
    <row r="8902" spans="6:10" ht="15.75" hidden="1" thickBot="1">
      <c r="F8902" s="448">
        <v>511</v>
      </c>
      <c r="G8902" s="443" t="s">
        <v>4200</v>
      </c>
      <c r="J8902" s="635">
        <f t="shared" si="277"/>
        <v>0</v>
      </c>
    </row>
    <row r="8903" spans="6:10" ht="15.75" hidden="1" thickBot="1">
      <c r="F8903" s="448">
        <v>512</v>
      </c>
      <c r="G8903" s="443" t="s">
        <v>4201</v>
      </c>
      <c r="J8903" s="635">
        <f t="shared" si="277"/>
        <v>0</v>
      </c>
    </row>
    <row r="8904" spans="6:10" ht="15.75" hidden="1" thickBot="1">
      <c r="F8904" s="448">
        <v>513</v>
      </c>
      <c r="G8904" s="443" t="s">
        <v>4202</v>
      </c>
      <c r="J8904" s="635">
        <f t="shared" si="277"/>
        <v>0</v>
      </c>
    </row>
    <row r="8905" spans="6:10" ht="15.75" hidden="1" thickBot="1">
      <c r="F8905" s="448">
        <v>514</v>
      </c>
      <c r="G8905" s="438" t="s">
        <v>4203</v>
      </c>
      <c r="J8905" s="635">
        <f t="shared" si="277"/>
        <v>0</v>
      </c>
    </row>
    <row r="8906" spans="6:10" ht="15.75" hidden="1" thickBot="1">
      <c r="F8906" s="448">
        <v>515</v>
      </c>
      <c r="G8906" s="438" t="s">
        <v>3838</v>
      </c>
      <c r="J8906" s="635">
        <f t="shared" si="277"/>
        <v>0</v>
      </c>
    </row>
    <row r="8907" spans="6:10" ht="15.75" hidden="1" thickBot="1">
      <c r="F8907" s="448">
        <v>521</v>
      </c>
      <c r="G8907" s="438" t="s">
        <v>4204</v>
      </c>
      <c r="J8907" s="635">
        <f t="shared" si="277"/>
        <v>0</v>
      </c>
    </row>
    <row r="8908" spans="6:10" ht="15.75" hidden="1" thickBot="1">
      <c r="F8908" s="448">
        <v>522</v>
      </c>
      <c r="G8908" s="438" t="s">
        <v>4205</v>
      </c>
      <c r="J8908" s="635">
        <f t="shared" si="277"/>
        <v>0</v>
      </c>
    </row>
    <row r="8909" spans="6:10" ht="15.75" hidden="1" thickBot="1">
      <c r="F8909" s="448">
        <v>523</v>
      </c>
      <c r="G8909" s="438" t="s">
        <v>3843</v>
      </c>
      <c r="J8909" s="635">
        <f t="shared" si="277"/>
        <v>0</v>
      </c>
    </row>
    <row r="8910" spans="6:10" ht="15.75" hidden="1" thickBot="1">
      <c r="F8910" s="448">
        <v>531</v>
      </c>
      <c r="G8910" s="436" t="s">
        <v>4181</v>
      </c>
      <c r="J8910" s="635">
        <f t="shared" si="277"/>
        <v>0</v>
      </c>
    </row>
    <row r="8911" spans="6:10" ht="15.75" hidden="1" thickBot="1">
      <c r="F8911" s="448">
        <v>541</v>
      </c>
      <c r="G8911" s="438" t="s">
        <v>4206</v>
      </c>
      <c r="J8911" s="635">
        <f t="shared" si="277"/>
        <v>0</v>
      </c>
    </row>
    <row r="8912" spans="6:10" ht="15.75" hidden="1" thickBot="1">
      <c r="F8912" s="448">
        <v>542</v>
      </c>
      <c r="G8912" s="438" t="s">
        <v>4207</v>
      </c>
      <c r="J8912" s="635">
        <f t="shared" si="277"/>
        <v>0</v>
      </c>
    </row>
    <row r="8913" spans="5:10" ht="15.75" hidden="1" thickBot="1">
      <c r="F8913" s="448">
        <v>543</v>
      </c>
      <c r="G8913" s="438" t="s">
        <v>3848</v>
      </c>
      <c r="J8913" s="635">
        <f t="shared" si="277"/>
        <v>0</v>
      </c>
    </row>
    <row r="8914" spans="5:10" ht="30.75" hidden="1" thickBot="1">
      <c r="F8914" s="448">
        <v>551</v>
      </c>
      <c r="G8914" s="438" t="s">
        <v>4182</v>
      </c>
      <c r="J8914" s="635">
        <f t="shared" si="277"/>
        <v>0</v>
      </c>
    </row>
    <row r="8915" spans="5:10" ht="15.75" hidden="1" thickBot="1">
      <c r="F8915" s="449">
        <v>611</v>
      </c>
      <c r="G8915" s="447" t="s">
        <v>3854</v>
      </c>
      <c r="J8915" s="635">
        <f t="shared" si="277"/>
        <v>0</v>
      </c>
    </row>
    <row r="8916" spans="5:10" ht="15.75" hidden="1" thickBot="1">
      <c r="F8916" s="449">
        <v>620</v>
      </c>
      <c r="G8916" s="447" t="s">
        <v>88</v>
      </c>
      <c r="J8916" s="635">
        <f t="shared" si="277"/>
        <v>0</v>
      </c>
    </row>
    <row r="8917" spans="5:10" hidden="1">
      <c r="E8917" s="437"/>
      <c r="F8917" s="449"/>
      <c r="G8917" s="372" t="s">
        <v>4367</v>
      </c>
      <c r="H8917" s="636"/>
      <c r="I8917" s="662"/>
      <c r="J8917" s="637"/>
    </row>
    <row r="8918" spans="5:10" ht="15.75" hidden="1" thickBot="1">
      <c r="E8918" s="267"/>
      <c r="F8918" s="294" t="s">
        <v>234</v>
      </c>
      <c r="G8918" s="297" t="s">
        <v>235</v>
      </c>
      <c r="H8918" s="638">
        <f>SUM(H8857:H8916)</f>
        <v>0</v>
      </c>
      <c r="I8918" s="639"/>
      <c r="J8918" s="639">
        <f t="shared" ref="J8918:J8933" si="278">SUM(H8918:I8918)</f>
        <v>0</v>
      </c>
    </row>
    <row r="8919" spans="5:10" ht="15.75" hidden="1" thickBot="1">
      <c r="F8919" s="294" t="s">
        <v>236</v>
      </c>
      <c r="G8919" s="297" t="s">
        <v>237</v>
      </c>
      <c r="J8919" s="639">
        <f t="shared" si="278"/>
        <v>0</v>
      </c>
    </row>
    <row r="8920" spans="5:10" ht="15.75" hidden="1" thickBot="1">
      <c r="F8920" s="294" t="s">
        <v>238</v>
      </c>
      <c r="G8920" s="297" t="s">
        <v>239</v>
      </c>
      <c r="J8920" s="639">
        <f t="shared" si="278"/>
        <v>0</v>
      </c>
    </row>
    <row r="8921" spans="5:10" ht="15.75" hidden="1" thickBot="1">
      <c r="F8921" s="294" t="s">
        <v>240</v>
      </c>
      <c r="G8921" s="297" t="s">
        <v>241</v>
      </c>
      <c r="J8921" s="639">
        <f t="shared" si="278"/>
        <v>0</v>
      </c>
    </row>
    <row r="8922" spans="5:10" ht="15.75" hidden="1" thickBot="1">
      <c r="F8922" s="294" t="s">
        <v>242</v>
      </c>
      <c r="G8922" s="297" t="s">
        <v>243</v>
      </c>
      <c r="J8922" s="639">
        <f t="shared" si="278"/>
        <v>0</v>
      </c>
    </row>
    <row r="8923" spans="5:10" ht="15.75" hidden="1" thickBot="1">
      <c r="F8923" s="294" t="s">
        <v>244</v>
      </c>
      <c r="G8923" s="297" t="s">
        <v>245</v>
      </c>
      <c r="J8923" s="639">
        <f t="shared" si="278"/>
        <v>0</v>
      </c>
    </row>
    <row r="8924" spans="5:10" ht="15.75" hidden="1" thickBot="1">
      <c r="F8924" s="294" t="s">
        <v>246</v>
      </c>
      <c r="G8924" s="683" t="s">
        <v>5121</v>
      </c>
      <c r="J8924" s="639">
        <f t="shared" si="278"/>
        <v>0</v>
      </c>
    </row>
    <row r="8925" spans="5:10" ht="15.75" hidden="1" thickBot="1">
      <c r="F8925" s="294" t="s">
        <v>247</v>
      </c>
      <c r="G8925" s="683" t="s">
        <v>5120</v>
      </c>
      <c r="J8925" s="639">
        <f t="shared" si="278"/>
        <v>0</v>
      </c>
    </row>
    <row r="8926" spans="5:10" ht="15.75" hidden="1" thickBot="1">
      <c r="F8926" s="294" t="s">
        <v>248</v>
      </c>
      <c r="G8926" s="297" t="s">
        <v>57</v>
      </c>
      <c r="J8926" s="639">
        <f t="shared" si="278"/>
        <v>0</v>
      </c>
    </row>
    <row r="8927" spans="5:10" ht="15.75" hidden="1" thickBot="1">
      <c r="F8927" s="294" t="s">
        <v>249</v>
      </c>
      <c r="G8927" s="297" t="s">
        <v>250</v>
      </c>
      <c r="J8927" s="639">
        <f t="shared" si="278"/>
        <v>0</v>
      </c>
    </row>
    <row r="8928" spans="5:10" ht="15.75" hidden="1" thickBot="1">
      <c r="F8928" s="294" t="s">
        <v>251</v>
      </c>
      <c r="G8928" s="297" t="s">
        <v>252</v>
      </c>
      <c r="J8928" s="639">
        <f t="shared" si="278"/>
        <v>0</v>
      </c>
    </row>
    <row r="8929" spans="5:10" ht="15.75" hidden="1" thickBot="1">
      <c r="F8929" s="294" t="s">
        <v>253</v>
      </c>
      <c r="G8929" s="297" t="s">
        <v>254</v>
      </c>
      <c r="J8929" s="639">
        <f t="shared" si="278"/>
        <v>0</v>
      </c>
    </row>
    <row r="8930" spans="5:10" ht="15.75" hidden="1" thickBot="1">
      <c r="F8930" s="294" t="s">
        <v>255</v>
      </c>
      <c r="G8930" s="297" t="s">
        <v>256</v>
      </c>
      <c r="J8930" s="639">
        <f t="shared" si="278"/>
        <v>0</v>
      </c>
    </row>
    <row r="8931" spans="5:10" ht="15.75" hidden="1" thickBot="1">
      <c r="F8931" s="294" t="s">
        <v>257</v>
      </c>
      <c r="G8931" s="297" t="s">
        <v>258</v>
      </c>
      <c r="J8931" s="639">
        <f t="shared" si="278"/>
        <v>0</v>
      </c>
    </row>
    <row r="8932" spans="5:10" ht="15.75" hidden="1" thickBot="1">
      <c r="F8932" s="294" t="s">
        <v>259</v>
      </c>
      <c r="G8932" s="297" t="s">
        <v>260</v>
      </c>
      <c r="J8932" s="639">
        <f t="shared" si="278"/>
        <v>0</v>
      </c>
    </row>
    <row r="8933" spans="5:10" ht="15.75" hidden="1" thickBot="1">
      <c r="F8933" s="294" t="s">
        <v>261</v>
      </c>
      <c r="G8933" s="297" t="s">
        <v>262</v>
      </c>
      <c r="H8933" s="638"/>
      <c r="I8933" s="639"/>
      <c r="J8933" s="639">
        <f t="shared" si="278"/>
        <v>0</v>
      </c>
    </row>
    <row r="8934" spans="5:10" ht="15.75" hidden="1" thickBot="1">
      <c r="G8934" s="274" t="s">
        <v>4366</v>
      </c>
      <c r="H8934" s="640">
        <f>SUM(H8918:H8933)</f>
        <v>0</v>
      </c>
      <c r="I8934" s="641">
        <f>SUM(I8919:I8933)</f>
        <v>0</v>
      </c>
      <c r="J8934" s="641">
        <f>SUM(J8918:J8933)</f>
        <v>0</v>
      </c>
    </row>
    <row r="8935" spans="5:10" hidden="1" collapsed="1">
      <c r="E8935" s="437"/>
      <c r="F8935" s="449"/>
      <c r="G8935" s="276" t="s">
        <v>5059</v>
      </c>
      <c r="H8935" s="642"/>
      <c r="I8935" s="663"/>
      <c r="J8935" s="643"/>
    </row>
    <row r="8936" spans="5:10" ht="15.75" hidden="1" thickBot="1">
      <c r="E8936" s="267"/>
      <c r="F8936" s="294" t="s">
        <v>234</v>
      </c>
      <c r="G8936" s="297" t="s">
        <v>235</v>
      </c>
      <c r="H8936" s="638">
        <f>SUM(H8857:H8916)</f>
        <v>0</v>
      </c>
      <c r="I8936" s="639"/>
      <c r="J8936" s="639">
        <f>SUM(H8936:I8936)</f>
        <v>0</v>
      </c>
    </row>
    <row r="8937" spans="5:10" ht="15.75" hidden="1" thickBot="1">
      <c r="F8937" s="294" t="s">
        <v>236</v>
      </c>
      <c r="G8937" s="297" t="s">
        <v>237</v>
      </c>
      <c r="J8937" s="639">
        <f t="shared" ref="J8937:J8951" si="279">SUM(H8937:I8937)</f>
        <v>0</v>
      </c>
    </row>
    <row r="8938" spans="5:10" ht="15.75" hidden="1" thickBot="1">
      <c r="F8938" s="294" t="s">
        <v>238</v>
      </c>
      <c r="G8938" s="297" t="s">
        <v>239</v>
      </c>
      <c r="J8938" s="639">
        <f t="shared" si="279"/>
        <v>0</v>
      </c>
    </row>
    <row r="8939" spans="5:10" ht="15.75" hidden="1" thickBot="1">
      <c r="F8939" s="294" t="s">
        <v>240</v>
      </c>
      <c r="G8939" s="297" t="s">
        <v>241</v>
      </c>
      <c r="J8939" s="639">
        <f t="shared" si="279"/>
        <v>0</v>
      </c>
    </row>
    <row r="8940" spans="5:10" ht="15.75" hidden="1" thickBot="1">
      <c r="F8940" s="294" t="s">
        <v>242</v>
      </c>
      <c r="G8940" s="297" t="s">
        <v>243</v>
      </c>
      <c r="J8940" s="639">
        <f t="shared" si="279"/>
        <v>0</v>
      </c>
    </row>
    <row r="8941" spans="5:10" ht="15.75" hidden="1" thickBot="1">
      <c r="F8941" s="294" t="s">
        <v>244</v>
      </c>
      <c r="G8941" s="297" t="s">
        <v>245</v>
      </c>
      <c r="J8941" s="639">
        <f t="shared" si="279"/>
        <v>0</v>
      </c>
    </row>
    <row r="8942" spans="5:10" ht="15.75" hidden="1" thickBot="1">
      <c r="F8942" s="294" t="s">
        <v>246</v>
      </c>
      <c r="G8942" s="683" t="s">
        <v>5121</v>
      </c>
      <c r="J8942" s="639">
        <f t="shared" si="279"/>
        <v>0</v>
      </c>
    </row>
    <row r="8943" spans="5:10" ht="15.75" hidden="1" thickBot="1">
      <c r="F8943" s="294" t="s">
        <v>247</v>
      </c>
      <c r="G8943" s="683" t="s">
        <v>5120</v>
      </c>
      <c r="J8943" s="639">
        <f t="shared" si="279"/>
        <v>0</v>
      </c>
    </row>
    <row r="8944" spans="5:10" ht="15.75" hidden="1" thickBot="1">
      <c r="F8944" s="294" t="s">
        <v>248</v>
      </c>
      <c r="G8944" s="297" t="s">
        <v>57</v>
      </c>
      <c r="J8944" s="639">
        <f t="shared" si="279"/>
        <v>0</v>
      </c>
    </row>
    <row r="8945" spans="3:10" ht="15.75" hidden="1" thickBot="1">
      <c r="F8945" s="294" t="s">
        <v>249</v>
      </c>
      <c r="G8945" s="297" t="s">
        <v>250</v>
      </c>
      <c r="J8945" s="639">
        <f t="shared" si="279"/>
        <v>0</v>
      </c>
    </row>
    <row r="8946" spans="3:10" ht="15.75" hidden="1" thickBot="1">
      <c r="F8946" s="294" t="s">
        <v>251</v>
      </c>
      <c r="G8946" s="297" t="s">
        <v>252</v>
      </c>
      <c r="J8946" s="639">
        <f t="shared" si="279"/>
        <v>0</v>
      </c>
    </row>
    <row r="8947" spans="3:10" ht="15.75" hidden="1" thickBot="1">
      <c r="F8947" s="294" t="s">
        <v>253</v>
      </c>
      <c r="G8947" s="297" t="s">
        <v>254</v>
      </c>
      <c r="J8947" s="639">
        <f t="shared" si="279"/>
        <v>0</v>
      </c>
    </row>
    <row r="8948" spans="3:10" ht="15.75" hidden="1" thickBot="1">
      <c r="F8948" s="294" t="s">
        <v>255</v>
      </c>
      <c r="G8948" s="297" t="s">
        <v>256</v>
      </c>
      <c r="J8948" s="639">
        <f t="shared" si="279"/>
        <v>0</v>
      </c>
    </row>
    <row r="8949" spans="3:10" ht="15.75" hidden="1" thickBot="1">
      <c r="F8949" s="294" t="s">
        <v>257</v>
      </c>
      <c r="G8949" s="297" t="s">
        <v>258</v>
      </c>
      <c r="J8949" s="639">
        <f t="shared" si="279"/>
        <v>0</v>
      </c>
    </row>
    <row r="8950" spans="3:10" ht="15.75" hidden="1" thickBot="1">
      <c r="F8950" s="294" t="s">
        <v>259</v>
      </c>
      <c r="G8950" s="297" t="s">
        <v>260</v>
      </c>
      <c r="J8950" s="639">
        <f t="shared" si="279"/>
        <v>0</v>
      </c>
    </row>
    <row r="8951" spans="3:10" ht="15.75" hidden="1" thickBot="1">
      <c r="F8951" s="294" t="s">
        <v>261</v>
      </c>
      <c r="G8951" s="297" t="s">
        <v>262</v>
      </c>
      <c r="H8951" s="638"/>
      <c r="I8951" s="639"/>
      <c r="J8951" s="639">
        <f t="shared" si="279"/>
        <v>0</v>
      </c>
    </row>
    <row r="8952" spans="3:10" ht="15.75" hidden="1" collapsed="1" thickBot="1">
      <c r="G8952" s="274" t="s">
        <v>5060</v>
      </c>
      <c r="H8952" s="640">
        <f>SUM(H8936:H8951)</f>
        <v>0</v>
      </c>
      <c r="I8952" s="641">
        <f>SUM(I8937:I8951)</f>
        <v>0</v>
      </c>
      <c r="J8952" s="641">
        <f>SUM(J8936:J8951)</f>
        <v>0</v>
      </c>
    </row>
    <row r="8953" spans="3:10" hidden="1"/>
    <row r="8954" spans="3:10" hidden="1">
      <c r="C8954" s="273" t="s">
        <v>4638</v>
      </c>
      <c r="D8954" s="264"/>
      <c r="G8954" s="439" t="s">
        <v>5087</v>
      </c>
    </row>
    <row r="8955" spans="3:10" hidden="1">
      <c r="C8955" s="273"/>
      <c r="D8955" s="357">
        <v>451</v>
      </c>
      <c r="E8955" s="357"/>
      <c r="F8955" s="357"/>
      <c r="G8955" s="358" t="s">
        <v>153</v>
      </c>
    </row>
    <row r="8956" spans="3:10" hidden="1">
      <c r="F8956" s="448">
        <v>411</v>
      </c>
      <c r="G8956" s="438" t="s">
        <v>4173</v>
      </c>
      <c r="J8956" s="635">
        <f>SUM(H8956:I8956)</f>
        <v>0</v>
      </c>
    </row>
    <row r="8957" spans="3:10" hidden="1">
      <c r="F8957" s="448">
        <v>412</v>
      </c>
      <c r="G8957" s="436" t="s">
        <v>3770</v>
      </c>
      <c r="J8957" s="635">
        <f t="shared" ref="J8957:J9015" si="280">SUM(H8957:I8957)</f>
        <v>0</v>
      </c>
    </row>
    <row r="8958" spans="3:10" hidden="1">
      <c r="F8958" s="448">
        <v>413</v>
      </c>
      <c r="G8958" s="438" t="s">
        <v>4174</v>
      </c>
      <c r="J8958" s="635">
        <f t="shared" si="280"/>
        <v>0</v>
      </c>
    </row>
    <row r="8959" spans="3:10" hidden="1">
      <c r="F8959" s="448">
        <v>414</v>
      </c>
      <c r="G8959" s="438" t="s">
        <v>3773</v>
      </c>
      <c r="J8959" s="635">
        <f t="shared" si="280"/>
        <v>0</v>
      </c>
    </row>
    <row r="8960" spans="3:10" hidden="1">
      <c r="F8960" s="448">
        <v>415</v>
      </c>
      <c r="G8960" s="438" t="s">
        <v>4183</v>
      </c>
      <c r="J8960" s="635">
        <f t="shared" si="280"/>
        <v>0</v>
      </c>
    </row>
    <row r="8961" spans="6:10" hidden="1">
      <c r="F8961" s="448">
        <v>416</v>
      </c>
      <c r="G8961" s="438" t="s">
        <v>4184</v>
      </c>
      <c r="J8961" s="635">
        <f t="shared" si="280"/>
        <v>0</v>
      </c>
    </row>
    <row r="8962" spans="6:10" hidden="1">
      <c r="F8962" s="448">
        <v>417</v>
      </c>
      <c r="G8962" s="438" t="s">
        <v>4185</v>
      </c>
      <c r="J8962" s="635">
        <f t="shared" si="280"/>
        <v>0</v>
      </c>
    </row>
    <row r="8963" spans="6:10" hidden="1">
      <c r="F8963" s="448">
        <v>418</v>
      </c>
      <c r="G8963" s="438" t="s">
        <v>3779</v>
      </c>
      <c r="J8963" s="635">
        <f t="shared" si="280"/>
        <v>0</v>
      </c>
    </row>
    <row r="8964" spans="6:10" hidden="1">
      <c r="F8964" s="448">
        <v>421</v>
      </c>
      <c r="G8964" s="438" t="s">
        <v>3783</v>
      </c>
      <c r="J8964" s="635">
        <f t="shared" si="280"/>
        <v>0</v>
      </c>
    </row>
    <row r="8965" spans="6:10" hidden="1">
      <c r="F8965" s="448">
        <v>422</v>
      </c>
      <c r="G8965" s="438" t="s">
        <v>3784</v>
      </c>
      <c r="J8965" s="635">
        <f t="shared" si="280"/>
        <v>0</v>
      </c>
    </row>
    <row r="8966" spans="6:10" hidden="1">
      <c r="F8966" s="448">
        <v>423</v>
      </c>
      <c r="G8966" s="438" t="s">
        <v>3785</v>
      </c>
      <c r="J8966" s="635">
        <f t="shared" si="280"/>
        <v>0</v>
      </c>
    </row>
    <row r="8967" spans="6:10" hidden="1">
      <c r="F8967" s="448">
        <v>424</v>
      </c>
      <c r="G8967" s="438" t="s">
        <v>3787</v>
      </c>
      <c r="J8967" s="635">
        <f t="shared" si="280"/>
        <v>0</v>
      </c>
    </row>
    <row r="8968" spans="6:10" hidden="1">
      <c r="F8968" s="448">
        <v>425</v>
      </c>
      <c r="G8968" s="438" t="s">
        <v>4186</v>
      </c>
      <c r="J8968" s="635">
        <f t="shared" si="280"/>
        <v>0</v>
      </c>
    </row>
    <row r="8969" spans="6:10" hidden="1">
      <c r="F8969" s="448">
        <v>426</v>
      </c>
      <c r="G8969" s="438" t="s">
        <v>3791</v>
      </c>
      <c r="J8969" s="635">
        <f t="shared" si="280"/>
        <v>0</v>
      </c>
    </row>
    <row r="8970" spans="6:10" hidden="1">
      <c r="F8970" s="448">
        <v>431</v>
      </c>
      <c r="G8970" s="438" t="s">
        <v>4187</v>
      </c>
      <c r="J8970" s="635">
        <f t="shared" si="280"/>
        <v>0</v>
      </c>
    </row>
    <row r="8971" spans="6:10" hidden="1">
      <c r="F8971" s="448">
        <v>432</v>
      </c>
      <c r="G8971" s="438" t="s">
        <v>4188</v>
      </c>
      <c r="J8971" s="635">
        <f t="shared" si="280"/>
        <v>0</v>
      </c>
    </row>
    <row r="8972" spans="6:10" hidden="1">
      <c r="F8972" s="448">
        <v>433</v>
      </c>
      <c r="G8972" s="438" t="s">
        <v>4189</v>
      </c>
      <c r="J8972" s="635">
        <f t="shared" si="280"/>
        <v>0</v>
      </c>
    </row>
    <row r="8973" spans="6:10" hidden="1">
      <c r="F8973" s="448">
        <v>434</v>
      </c>
      <c r="G8973" s="438" t="s">
        <v>4190</v>
      </c>
      <c r="J8973" s="635">
        <f t="shared" si="280"/>
        <v>0</v>
      </c>
    </row>
    <row r="8974" spans="6:10" hidden="1">
      <c r="F8974" s="448">
        <v>435</v>
      </c>
      <c r="G8974" s="438" t="s">
        <v>3798</v>
      </c>
      <c r="J8974" s="635">
        <f t="shared" si="280"/>
        <v>0</v>
      </c>
    </row>
    <row r="8975" spans="6:10" hidden="1">
      <c r="F8975" s="448">
        <v>441</v>
      </c>
      <c r="G8975" s="438" t="s">
        <v>4191</v>
      </c>
      <c r="J8975" s="635">
        <f t="shared" si="280"/>
        <v>0</v>
      </c>
    </row>
    <row r="8976" spans="6:10" hidden="1">
      <c r="F8976" s="448">
        <v>442</v>
      </c>
      <c r="G8976" s="438" t="s">
        <v>4192</v>
      </c>
      <c r="J8976" s="635">
        <f t="shared" si="280"/>
        <v>0</v>
      </c>
    </row>
    <row r="8977" spans="6:10" hidden="1">
      <c r="F8977" s="448">
        <v>443</v>
      </c>
      <c r="G8977" s="438" t="s">
        <v>3803</v>
      </c>
      <c r="J8977" s="635">
        <f t="shared" si="280"/>
        <v>0</v>
      </c>
    </row>
    <row r="8978" spans="6:10" hidden="1">
      <c r="F8978" s="448">
        <v>444</v>
      </c>
      <c r="G8978" s="438" t="s">
        <v>3804</v>
      </c>
      <c r="J8978" s="635">
        <f t="shared" si="280"/>
        <v>0</v>
      </c>
    </row>
    <row r="8979" spans="6:10" ht="30" hidden="1">
      <c r="F8979" s="448">
        <v>4511</v>
      </c>
      <c r="G8979" s="268" t="s">
        <v>1690</v>
      </c>
      <c r="J8979" s="635">
        <f t="shared" si="280"/>
        <v>0</v>
      </c>
    </row>
    <row r="8980" spans="6:10" ht="30" hidden="1">
      <c r="F8980" s="448">
        <v>4512</v>
      </c>
      <c r="G8980" s="268" t="s">
        <v>1699</v>
      </c>
      <c r="J8980" s="635">
        <f t="shared" si="280"/>
        <v>0</v>
      </c>
    </row>
    <row r="8981" spans="6:10" hidden="1">
      <c r="F8981" s="448">
        <v>452</v>
      </c>
      <c r="G8981" s="438" t="s">
        <v>4193</v>
      </c>
      <c r="J8981" s="635">
        <f t="shared" si="280"/>
        <v>0</v>
      </c>
    </row>
    <row r="8982" spans="6:10" hidden="1">
      <c r="F8982" s="448">
        <v>453</v>
      </c>
      <c r="G8982" s="438" t="s">
        <v>4194</v>
      </c>
      <c r="J8982" s="635">
        <f t="shared" si="280"/>
        <v>0</v>
      </c>
    </row>
    <row r="8983" spans="6:10" hidden="1">
      <c r="F8983" s="448">
        <v>454</v>
      </c>
      <c r="G8983" s="438" t="s">
        <v>3809</v>
      </c>
      <c r="J8983" s="635">
        <f t="shared" si="280"/>
        <v>0</v>
      </c>
    </row>
    <row r="8984" spans="6:10" hidden="1">
      <c r="F8984" s="448">
        <v>461</v>
      </c>
      <c r="G8984" s="438" t="s">
        <v>4175</v>
      </c>
      <c r="J8984" s="635">
        <f t="shared" si="280"/>
        <v>0</v>
      </c>
    </row>
    <row r="8985" spans="6:10" hidden="1">
      <c r="F8985" s="448">
        <v>462</v>
      </c>
      <c r="G8985" s="438" t="s">
        <v>3812</v>
      </c>
      <c r="J8985" s="635">
        <f t="shared" si="280"/>
        <v>0</v>
      </c>
    </row>
    <row r="8986" spans="6:10" hidden="1">
      <c r="F8986" s="448">
        <v>4631</v>
      </c>
      <c r="G8986" s="438" t="s">
        <v>3813</v>
      </c>
      <c r="J8986" s="635">
        <f t="shared" si="280"/>
        <v>0</v>
      </c>
    </row>
    <row r="8987" spans="6:10" hidden="1">
      <c r="F8987" s="448">
        <v>4632</v>
      </c>
      <c r="G8987" s="438" t="s">
        <v>3814</v>
      </c>
      <c r="J8987" s="635">
        <f t="shared" si="280"/>
        <v>0</v>
      </c>
    </row>
    <row r="8988" spans="6:10" hidden="1">
      <c r="F8988" s="448">
        <v>464</v>
      </c>
      <c r="G8988" s="438" t="s">
        <v>3815</v>
      </c>
      <c r="J8988" s="635">
        <f t="shared" si="280"/>
        <v>0</v>
      </c>
    </row>
    <row r="8989" spans="6:10" hidden="1">
      <c r="F8989" s="448">
        <v>465</v>
      </c>
      <c r="G8989" s="438" t="s">
        <v>4176</v>
      </c>
      <c r="J8989" s="635">
        <f t="shared" si="280"/>
        <v>0</v>
      </c>
    </row>
    <row r="8990" spans="6:10" hidden="1">
      <c r="F8990" s="448">
        <v>472</v>
      </c>
      <c r="G8990" s="438" t="s">
        <v>3819</v>
      </c>
      <c r="J8990" s="635">
        <f t="shared" si="280"/>
        <v>0</v>
      </c>
    </row>
    <row r="8991" spans="6:10" hidden="1">
      <c r="F8991" s="448">
        <v>481</v>
      </c>
      <c r="G8991" s="438" t="s">
        <v>4195</v>
      </c>
      <c r="J8991" s="635">
        <f t="shared" si="280"/>
        <v>0</v>
      </c>
    </row>
    <row r="8992" spans="6:10" hidden="1">
      <c r="F8992" s="448">
        <v>482</v>
      </c>
      <c r="G8992" s="438" t="s">
        <v>4196</v>
      </c>
      <c r="J8992" s="635">
        <f t="shared" si="280"/>
        <v>0</v>
      </c>
    </row>
    <row r="8993" spans="6:10" hidden="1">
      <c r="F8993" s="448">
        <v>483</v>
      </c>
      <c r="G8993" s="443" t="s">
        <v>4197</v>
      </c>
      <c r="J8993" s="635">
        <f t="shared" si="280"/>
        <v>0</v>
      </c>
    </row>
    <row r="8994" spans="6:10" ht="30" hidden="1">
      <c r="F8994" s="448">
        <v>484</v>
      </c>
      <c r="G8994" s="438" t="s">
        <v>4198</v>
      </c>
      <c r="J8994" s="635">
        <f t="shared" si="280"/>
        <v>0</v>
      </c>
    </row>
    <row r="8995" spans="6:10" ht="30" hidden="1">
      <c r="F8995" s="448">
        <v>485</v>
      </c>
      <c r="G8995" s="438" t="s">
        <v>4199</v>
      </c>
      <c r="J8995" s="635">
        <f t="shared" si="280"/>
        <v>0</v>
      </c>
    </row>
    <row r="8996" spans="6:10" ht="30" hidden="1">
      <c r="F8996" s="448">
        <v>489</v>
      </c>
      <c r="G8996" s="438" t="s">
        <v>3827</v>
      </c>
      <c r="J8996" s="635">
        <f t="shared" si="280"/>
        <v>0</v>
      </c>
    </row>
    <row r="8997" spans="6:10" hidden="1">
      <c r="F8997" s="448">
        <v>494</v>
      </c>
      <c r="G8997" s="438" t="s">
        <v>4177</v>
      </c>
      <c r="J8997" s="635">
        <f t="shared" si="280"/>
        <v>0</v>
      </c>
    </row>
    <row r="8998" spans="6:10" ht="30" hidden="1">
      <c r="F8998" s="448">
        <v>495</v>
      </c>
      <c r="G8998" s="438" t="s">
        <v>4178</v>
      </c>
      <c r="J8998" s="635">
        <f t="shared" si="280"/>
        <v>0</v>
      </c>
    </row>
    <row r="8999" spans="6:10" ht="30" hidden="1">
      <c r="F8999" s="448">
        <v>496</v>
      </c>
      <c r="G8999" s="438" t="s">
        <v>4179</v>
      </c>
      <c r="J8999" s="635">
        <f t="shared" si="280"/>
        <v>0</v>
      </c>
    </row>
    <row r="9000" spans="6:10" hidden="1">
      <c r="F9000" s="448">
        <v>499</v>
      </c>
      <c r="G9000" s="438" t="s">
        <v>4180</v>
      </c>
      <c r="J9000" s="635">
        <f t="shared" si="280"/>
        <v>0</v>
      </c>
    </row>
    <row r="9001" spans="6:10" ht="15.75" hidden="1" thickBot="1">
      <c r="F9001" s="448">
        <v>511</v>
      </c>
      <c r="G9001" s="443" t="s">
        <v>4200</v>
      </c>
      <c r="J9001" s="635">
        <f t="shared" si="280"/>
        <v>0</v>
      </c>
    </row>
    <row r="9002" spans="6:10" ht="15.75" hidden="1" thickBot="1">
      <c r="F9002" s="448">
        <v>512</v>
      </c>
      <c r="G9002" s="443" t="s">
        <v>4201</v>
      </c>
      <c r="J9002" s="635">
        <f t="shared" si="280"/>
        <v>0</v>
      </c>
    </row>
    <row r="9003" spans="6:10" ht="15.75" hidden="1" thickBot="1">
      <c r="F9003" s="448">
        <v>513</v>
      </c>
      <c r="G9003" s="443" t="s">
        <v>4202</v>
      </c>
      <c r="J9003" s="635">
        <f t="shared" si="280"/>
        <v>0</v>
      </c>
    </row>
    <row r="9004" spans="6:10" ht="15.75" hidden="1" thickBot="1">
      <c r="F9004" s="448">
        <v>514</v>
      </c>
      <c r="G9004" s="438" t="s">
        <v>4203</v>
      </c>
      <c r="J9004" s="635">
        <f t="shared" si="280"/>
        <v>0</v>
      </c>
    </row>
    <row r="9005" spans="6:10" ht="15.75" hidden="1" thickBot="1">
      <c r="F9005" s="448">
        <v>515</v>
      </c>
      <c r="G9005" s="438" t="s">
        <v>3838</v>
      </c>
      <c r="J9005" s="635">
        <f t="shared" si="280"/>
        <v>0</v>
      </c>
    </row>
    <row r="9006" spans="6:10" ht="15.75" hidden="1" thickBot="1">
      <c r="F9006" s="448">
        <v>521</v>
      </c>
      <c r="G9006" s="438" t="s">
        <v>4204</v>
      </c>
      <c r="J9006" s="635">
        <f t="shared" si="280"/>
        <v>0</v>
      </c>
    </row>
    <row r="9007" spans="6:10" ht="15.75" hidden="1" thickBot="1">
      <c r="F9007" s="448">
        <v>522</v>
      </c>
      <c r="G9007" s="438" t="s">
        <v>4205</v>
      </c>
      <c r="J9007" s="635">
        <f t="shared" si="280"/>
        <v>0</v>
      </c>
    </row>
    <row r="9008" spans="6:10" ht="15.75" hidden="1" thickBot="1">
      <c r="F9008" s="448">
        <v>523</v>
      </c>
      <c r="G9008" s="438" t="s">
        <v>3843</v>
      </c>
      <c r="J9008" s="635">
        <f t="shared" si="280"/>
        <v>0</v>
      </c>
    </row>
    <row r="9009" spans="5:10" ht="15.75" hidden="1" thickBot="1">
      <c r="F9009" s="448">
        <v>531</v>
      </c>
      <c r="G9009" s="436" t="s">
        <v>4181</v>
      </c>
      <c r="J9009" s="635">
        <f t="shared" si="280"/>
        <v>0</v>
      </c>
    </row>
    <row r="9010" spans="5:10" ht="15.75" hidden="1" thickBot="1">
      <c r="F9010" s="448">
        <v>541</v>
      </c>
      <c r="G9010" s="438" t="s">
        <v>4206</v>
      </c>
      <c r="J9010" s="635">
        <f t="shared" si="280"/>
        <v>0</v>
      </c>
    </row>
    <row r="9011" spans="5:10" ht="15.75" hidden="1" thickBot="1">
      <c r="F9011" s="448">
        <v>542</v>
      </c>
      <c r="G9011" s="438" t="s">
        <v>4207</v>
      </c>
      <c r="J9011" s="635">
        <f t="shared" si="280"/>
        <v>0</v>
      </c>
    </row>
    <row r="9012" spans="5:10" ht="15.75" hidden="1" thickBot="1">
      <c r="F9012" s="448">
        <v>543</v>
      </c>
      <c r="G9012" s="438" t="s">
        <v>3848</v>
      </c>
      <c r="J9012" s="635">
        <f t="shared" si="280"/>
        <v>0</v>
      </c>
    </row>
    <row r="9013" spans="5:10" ht="30.75" hidden="1" thickBot="1">
      <c r="F9013" s="448">
        <v>551</v>
      </c>
      <c r="G9013" s="438" t="s">
        <v>4182</v>
      </c>
      <c r="J9013" s="635">
        <f t="shared" si="280"/>
        <v>0</v>
      </c>
    </row>
    <row r="9014" spans="5:10" ht="15.75" hidden="1" thickBot="1">
      <c r="F9014" s="449">
        <v>611</v>
      </c>
      <c r="G9014" s="447" t="s">
        <v>3854</v>
      </c>
      <c r="J9014" s="635">
        <f t="shared" si="280"/>
        <v>0</v>
      </c>
    </row>
    <row r="9015" spans="5:10" ht="15.75" hidden="1" thickBot="1">
      <c r="F9015" s="449">
        <v>620</v>
      </c>
      <c r="G9015" s="447" t="s">
        <v>88</v>
      </c>
      <c r="J9015" s="635">
        <f t="shared" si="280"/>
        <v>0</v>
      </c>
    </row>
    <row r="9016" spans="5:10" hidden="1">
      <c r="E9016" s="437"/>
      <c r="F9016" s="449"/>
      <c r="G9016" s="371" t="s">
        <v>4367</v>
      </c>
      <c r="H9016" s="636"/>
      <c r="I9016" s="662"/>
      <c r="J9016" s="637"/>
    </row>
    <row r="9017" spans="5:10" ht="15.75" hidden="1" thickBot="1">
      <c r="E9017" s="267"/>
      <c r="F9017" s="294" t="s">
        <v>234</v>
      </c>
      <c r="G9017" s="297" t="s">
        <v>235</v>
      </c>
      <c r="H9017" s="638">
        <f>SUM(H8956:H9015)</f>
        <v>0</v>
      </c>
      <c r="I9017" s="639"/>
      <c r="J9017" s="639">
        <f>SUM(H9017:I9017)</f>
        <v>0</v>
      </c>
    </row>
    <row r="9018" spans="5:10" ht="15.75" hidden="1" thickBot="1">
      <c r="F9018" s="294" t="s">
        <v>236</v>
      </c>
      <c r="G9018" s="297" t="s">
        <v>237</v>
      </c>
      <c r="J9018" s="639">
        <f t="shared" ref="J9018:J9032" si="281">SUM(H9018:I9018)</f>
        <v>0</v>
      </c>
    </row>
    <row r="9019" spans="5:10" ht="15.75" hidden="1" thickBot="1">
      <c r="F9019" s="294" t="s">
        <v>238</v>
      </c>
      <c r="G9019" s="297" t="s">
        <v>239</v>
      </c>
      <c r="J9019" s="639">
        <f t="shared" si="281"/>
        <v>0</v>
      </c>
    </row>
    <row r="9020" spans="5:10" ht="15.75" hidden="1" thickBot="1">
      <c r="F9020" s="294" t="s">
        <v>240</v>
      </c>
      <c r="G9020" s="297" t="s">
        <v>241</v>
      </c>
      <c r="J9020" s="639">
        <f t="shared" si="281"/>
        <v>0</v>
      </c>
    </row>
    <row r="9021" spans="5:10" ht="15.75" hidden="1" thickBot="1">
      <c r="F9021" s="294" t="s">
        <v>242</v>
      </c>
      <c r="G9021" s="297" t="s">
        <v>243</v>
      </c>
      <c r="J9021" s="639">
        <f t="shared" si="281"/>
        <v>0</v>
      </c>
    </row>
    <row r="9022" spans="5:10" ht="15.75" hidden="1" thickBot="1">
      <c r="F9022" s="294" t="s">
        <v>244</v>
      </c>
      <c r="G9022" s="297" t="s">
        <v>245</v>
      </c>
      <c r="J9022" s="639">
        <f t="shared" si="281"/>
        <v>0</v>
      </c>
    </row>
    <row r="9023" spans="5:10" ht="15.75" hidden="1" thickBot="1">
      <c r="F9023" s="294" t="s">
        <v>246</v>
      </c>
      <c r="G9023" s="683" t="s">
        <v>5121</v>
      </c>
      <c r="J9023" s="639">
        <f t="shared" si="281"/>
        <v>0</v>
      </c>
    </row>
    <row r="9024" spans="5:10" ht="15.75" hidden="1" thickBot="1">
      <c r="F9024" s="294" t="s">
        <v>247</v>
      </c>
      <c r="G9024" s="683" t="s">
        <v>5120</v>
      </c>
      <c r="J9024" s="639">
        <f t="shared" si="281"/>
        <v>0</v>
      </c>
    </row>
    <row r="9025" spans="5:10" ht="15.75" hidden="1" thickBot="1">
      <c r="F9025" s="294" t="s">
        <v>248</v>
      </c>
      <c r="G9025" s="297" t="s">
        <v>57</v>
      </c>
      <c r="J9025" s="639">
        <f t="shared" si="281"/>
        <v>0</v>
      </c>
    </row>
    <row r="9026" spans="5:10" ht="15.75" hidden="1" thickBot="1">
      <c r="F9026" s="294" t="s">
        <v>249</v>
      </c>
      <c r="G9026" s="297" t="s">
        <v>250</v>
      </c>
      <c r="J9026" s="639">
        <f t="shared" si="281"/>
        <v>0</v>
      </c>
    </row>
    <row r="9027" spans="5:10" ht="15.75" hidden="1" thickBot="1">
      <c r="F9027" s="294" t="s">
        <v>251</v>
      </c>
      <c r="G9027" s="297" t="s">
        <v>252</v>
      </c>
      <c r="J9027" s="639">
        <f t="shared" si="281"/>
        <v>0</v>
      </c>
    </row>
    <row r="9028" spans="5:10" ht="15.75" hidden="1" thickBot="1">
      <c r="F9028" s="294" t="s">
        <v>253</v>
      </c>
      <c r="G9028" s="297" t="s">
        <v>254</v>
      </c>
      <c r="J9028" s="639">
        <f t="shared" si="281"/>
        <v>0</v>
      </c>
    </row>
    <row r="9029" spans="5:10" ht="15.75" hidden="1" thickBot="1">
      <c r="F9029" s="294" t="s">
        <v>255</v>
      </c>
      <c r="G9029" s="297" t="s">
        <v>256</v>
      </c>
      <c r="J9029" s="639">
        <f t="shared" si="281"/>
        <v>0</v>
      </c>
    </row>
    <row r="9030" spans="5:10" ht="15.75" hidden="1" thickBot="1">
      <c r="F9030" s="294" t="s">
        <v>257</v>
      </c>
      <c r="G9030" s="297" t="s">
        <v>258</v>
      </c>
      <c r="J9030" s="639">
        <f t="shared" si="281"/>
        <v>0</v>
      </c>
    </row>
    <row r="9031" spans="5:10" ht="15.75" hidden="1" thickBot="1">
      <c r="F9031" s="294" t="s">
        <v>259</v>
      </c>
      <c r="G9031" s="297" t="s">
        <v>260</v>
      </c>
      <c r="J9031" s="639">
        <f t="shared" si="281"/>
        <v>0</v>
      </c>
    </row>
    <row r="9032" spans="5:10" ht="15.75" hidden="1" thickBot="1">
      <c r="F9032" s="294" t="s">
        <v>261</v>
      </c>
      <c r="G9032" s="297" t="s">
        <v>262</v>
      </c>
      <c r="H9032" s="638"/>
      <c r="I9032" s="639"/>
      <c r="J9032" s="639">
        <f t="shared" si="281"/>
        <v>0</v>
      </c>
    </row>
    <row r="9033" spans="5:10" ht="15.75" hidden="1" thickBot="1">
      <c r="G9033" s="274" t="s">
        <v>4366</v>
      </c>
      <c r="H9033" s="640">
        <f>SUM(H9017:H9032)</f>
        <v>0</v>
      </c>
      <c r="I9033" s="641">
        <f>SUM(I9018:I9032)</f>
        <v>0</v>
      </c>
      <c r="J9033" s="641">
        <f>SUM(J9017:J9032)</f>
        <v>0</v>
      </c>
    </row>
    <row r="9034" spans="5:10" hidden="1" collapsed="1">
      <c r="E9034" s="437"/>
      <c r="F9034" s="449"/>
      <c r="G9034" s="276" t="s">
        <v>5032</v>
      </c>
      <c r="H9034" s="642"/>
      <c r="I9034" s="663"/>
      <c r="J9034" s="643"/>
    </row>
    <row r="9035" spans="5:10" ht="15.75" hidden="1" thickBot="1">
      <c r="E9035" s="267"/>
      <c r="F9035" s="294" t="s">
        <v>234</v>
      </c>
      <c r="G9035" s="297" t="s">
        <v>235</v>
      </c>
      <c r="H9035" s="638">
        <f>SUM(H8956:H9015)</f>
        <v>0</v>
      </c>
      <c r="I9035" s="639"/>
      <c r="J9035" s="639">
        <f>SUM(H9035:I9035)</f>
        <v>0</v>
      </c>
    </row>
    <row r="9036" spans="5:10" ht="15.75" hidden="1" thickBot="1">
      <c r="F9036" s="294" t="s">
        <v>236</v>
      </c>
      <c r="G9036" s="297" t="s">
        <v>237</v>
      </c>
      <c r="J9036" s="639">
        <f t="shared" ref="J9036:J9050" si="282">SUM(H9036:I9036)</f>
        <v>0</v>
      </c>
    </row>
    <row r="9037" spans="5:10" ht="15.75" hidden="1" thickBot="1">
      <c r="F9037" s="294" t="s">
        <v>238</v>
      </c>
      <c r="G9037" s="297" t="s">
        <v>239</v>
      </c>
      <c r="J9037" s="639">
        <f t="shared" si="282"/>
        <v>0</v>
      </c>
    </row>
    <row r="9038" spans="5:10" ht="15.75" hidden="1" thickBot="1">
      <c r="F9038" s="294" t="s">
        <v>240</v>
      </c>
      <c r="G9038" s="297" t="s">
        <v>241</v>
      </c>
      <c r="J9038" s="639">
        <f t="shared" si="282"/>
        <v>0</v>
      </c>
    </row>
    <row r="9039" spans="5:10" ht="15.75" hidden="1" thickBot="1">
      <c r="F9039" s="294" t="s">
        <v>242</v>
      </c>
      <c r="G9039" s="297" t="s">
        <v>243</v>
      </c>
      <c r="J9039" s="639">
        <f t="shared" si="282"/>
        <v>0</v>
      </c>
    </row>
    <row r="9040" spans="5:10" ht="15.75" hidden="1" thickBot="1">
      <c r="F9040" s="294" t="s">
        <v>244</v>
      </c>
      <c r="G9040" s="297" t="s">
        <v>245</v>
      </c>
      <c r="J9040" s="639">
        <f t="shared" si="282"/>
        <v>0</v>
      </c>
    </row>
    <row r="9041" spans="3:10" ht="15.75" hidden="1" thickBot="1">
      <c r="F9041" s="294" t="s">
        <v>246</v>
      </c>
      <c r="G9041" s="683" t="s">
        <v>5121</v>
      </c>
      <c r="J9041" s="639">
        <f t="shared" si="282"/>
        <v>0</v>
      </c>
    </row>
    <row r="9042" spans="3:10" ht="15.75" hidden="1" thickBot="1">
      <c r="F9042" s="294" t="s">
        <v>247</v>
      </c>
      <c r="G9042" s="683" t="s">
        <v>5120</v>
      </c>
      <c r="J9042" s="639">
        <f t="shared" si="282"/>
        <v>0</v>
      </c>
    </row>
    <row r="9043" spans="3:10" ht="15.75" hidden="1" thickBot="1">
      <c r="F9043" s="294" t="s">
        <v>248</v>
      </c>
      <c r="G9043" s="297" t="s">
        <v>57</v>
      </c>
      <c r="J9043" s="639">
        <f t="shared" si="282"/>
        <v>0</v>
      </c>
    </row>
    <row r="9044" spans="3:10" ht="15.75" hidden="1" thickBot="1">
      <c r="F9044" s="294" t="s">
        <v>249</v>
      </c>
      <c r="G9044" s="297" t="s">
        <v>250</v>
      </c>
      <c r="J9044" s="639">
        <f t="shared" si="282"/>
        <v>0</v>
      </c>
    </row>
    <row r="9045" spans="3:10" ht="15.75" hidden="1" thickBot="1">
      <c r="F9045" s="294" t="s">
        <v>251</v>
      </c>
      <c r="G9045" s="297" t="s">
        <v>252</v>
      </c>
      <c r="J9045" s="639">
        <f t="shared" si="282"/>
        <v>0</v>
      </c>
    </row>
    <row r="9046" spans="3:10" ht="15.75" hidden="1" thickBot="1">
      <c r="F9046" s="294" t="s">
        <v>253</v>
      </c>
      <c r="G9046" s="297" t="s">
        <v>254</v>
      </c>
      <c r="J9046" s="639">
        <f t="shared" si="282"/>
        <v>0</v>
      </c>
    </row>
    <row r="9047" spans="3:10" ht="15.75" hidden="1" thickBot="1">
      <c r="F9047" s="294" t="s">
        <v>255</v>
      </c>
      <c r="G9047" s="297" t="s">
        <v>256</v>
      </c>
      <c r="J9047" s="639">
        <f t="shared" si="282"/>
        <v>0</v>
      </c>
    </row>
    <row r="9048" spans="3:10" ht="15.75" hidden="1" thickBot="1">
      <c r="F9048" s="294" t="s">
        <v>257</v>
      </c>
      <c r="G9048" s="297" t="s">
        <v>258</v>
      </c>
      <c r="J9048" s="639">
        <f t="shared" si="282"/>
        <v>0</v>
      </c>
    </row>
    <row r="9049" spans="3:10" ht="15.75" hidden="1" thickBot="1">
      <c r="F9049" s="294" t="s">
        <v>259</v>
      </c>
      <c r="G9049" s="297" t="s">
        <v>260</v>
      </c>
      <c r="J9049" s="639">
        <f t="shared" si="282"/>
        <v>0</v>
      </c>
    </row>
    <row r="9050" spans="3:10" ht="15.75" hidden="1" thickBot="1">
      <c r="F9050" s="294" t="s">
        <v>261</v>
      </c>
      <c r="G9050" s="297" t="s">
        <v>262</v>
      </c>
      <c r="H9050" s="638"/>
      <c r="I9050" s="639"/>
      <c r="J9050" s="639">
        <f t="shared" si="282"/>
        <v>0</v>
      </c>
    </row>
    <row r="9051" spans="3:10" ht="15.75" hidden="1" thickBot="1">
      <c r="G9051" s="274" t="s">
        <v>5018</v>
      </c>
      <c r="H9051" s="640">
        <f>SUM(H9035:H9050)</f>
        <v>0</v>
      </c>
      <c r="I9051" s="641">
        <f>SUM(I9036:I9050)</f>
        <v>0</v>
      </c>
      <c r="J9051" s="641">
        <f>SUM(J9035:J9050)</f>
        <v>0</v>
      </c>
    </row>
    <row r="9052" spans="3:10" hidden="1"/>
    <row r="9053" spans="3:10" hidden="1">
      <c r="C9053" s="273" t="s">
        <v>4639</v>
      </c>
      <c r="D9053" s="264"/>
      <c r="G9053" s="439" t="s">
        <v>5088</v>
      </c>
    </row>
    <row r="9054" spans="3:10" hidden="1">
      <c r="C9054" s="273"/>
      <c r="D9054" s="357">
        <v>451</v>
      </c>
      <c r="E9054" s="357"/>
      <c r="F9054" s="357"/>
      <c r="G9054" s="358" t="s">
        <v>153</v>
      </c>
    </row>
    <row r="9055" spans="3:10" hidden="1">
      <c r="F9055" s="448">
        <v>411</v>
      </c>
      <c r="G9055" s="438" t="s">
        <v>4173</v>
      </c>
      <c r="J9055" s="635">
        <f>SUM(H9055:I9055)</f>
        <v>0</v>
      </c>
    </row>
    <row r="9056" spans="3:10" hidden="1">
      <c r="F9056" s="448">
        <v>412</v>
      </c>
      <c r="G9056" s="436" t="s">
        <v>3770</v>
      </c>
      <c r="J9056" s="635">
        <f t="shared" ref="J9056:J9114" si="283">SUM(H9056:I9056)</f>
        <v>0</v>
      </c>
    </row>
    <row r="9057" spans="6:10" hidden="1">
      <c r="F9057" s="448">
        <v>413</v>
      </c>
      <c r="G9057" s="438" t="s">
        <v>4174</v>
      </c>
      <c r="J9057" s="635">
        <f t="shared" si="283"/>
        <v>0</v>
      </c>
    </row>
    <row r="9058" spans="6:10" hidden="1">
      <c r="F9058" s="448">
        <v>414</v>
      </c>
      <c r="G9058" s="438" t="s">
        <v>3773</v>
      </c>
      <c r="J9058" s="635">
        <f t="shared" si="283"/>
        <v>0</v>
      </c>
    </row>
    <row r="9059" spans="6:10" hidden="1">
      <c r="F9059" s="448">
        <v>415</v>
      </c>
      <c r="G9059" s="438" t="s">
        <v>4183</v>
      </c>
      <c r="J9059" s="635">
        <f t="shared" si="283"/>
        <v>0</v>
      </c>
    </row>
    <row r="9060" spans="6:10" hidden="1">
      <c r="F9060" s="448">
        <v>416</v>
      </c>
      <c r="G9060" s="438" t="s">
        <v>4184</v>
      </c>
      <c r="J9060" s="635">
        <f t="shared" si="283"/>
        <v>0</v>
      </c>
    </row>
    <row r="9061" spans="6:10" hidden="1">
      <c r="F9061" s="448">
        <v>417</v>
      </c>
      <c r="G9061" s="438" t="s">
        <v>4185</v>
      </c>
      <c r="J9061" s="635">
        <f t="shared" si="283"/>
        <v>0</v>
      </c>
    </row>
    <row r="9062" spans="6:10" hidden="1">
      <c r="F9062" s="448">
        <v>418</v>
      </c>
      <c r="G9062" s="438" t="s">
        <v>3779</v>
      </c>
      <c r="J9062" s="635">
        <f t="shared" si="283"/>
        <v>0</v>
      </c>
    </row>
    <row r="9063" spans="6:10" hidden="1">
      <c r="F9063" s="448">
        <v>421</v>
      </c>
      <c r="G9063" s="438" t="s">
        <v>3783</v>
      </c>
      <c r="J9063" s="635">
        <f t="shared" si="283"/>
        <v>0</v>
      </c>
    </row>
    <row r="9064" spans="6:10" hidden="1">
      <c r="F9064" s="448">
        <v>422</v>
      </c>
      <c r="G9064" s="438" t="s">
        <v>3784</v>
      </c>
      <c r="J9064" s="635">
        <f t="shared" si="283"/>
        <v>0</v>
      </c>
    </row>
    <row r="9065" spans="6:10" hidden="1">
      <c r="F9065" s="448">
        <v>423</v>
      </c>
      <c r="G9065" s="438" t="s">
        <v>3785</v>
      </c>
      <c r="J9065" s="635">
        <f t="shared" si="283"/>
        <v>0</v>
      </c>
    </row>
    <row r="9066" spans="6:10" hidden="1">
      <c r="F9066" s="448">
        <v>424</v>
      </c>
      <c r="G9066" s="438" t="s">
        <v>3787</v>
      </c>
      <c r="J9066" s="635">
        <f t="shared" si="283"/>
        <v>0</v>
      </c>
    </row>
    <row r="9067" spans="6:10" hidden="1">
      <c r="F9067" s="448">
        <v>425</v>
      </c>
      <c r="G9067" s="438" t="s">
        <v>4186</v>
      </c>
      <c r="J9067" s="635">
        <f t="shared" si="283"/>
        <v>0</v>
      </c>
    </row>
    <row r="9068" spans="6:10" hidden="1">
      <c r="F9068" s="448">
        <v>426</v>
      </c>
      <c r="G9068" s="438" t="s">
        <v>3791</v>
      </c>
      <c r="J9068" s="635">
        <f t="shared" si="283"/>
        <v>0</v>
      </c>
    </row>
    <row r="9069" spans="6:10" hidden="1">
      <c r="F9069" s="448">
        <v>431</v>
      </c>
      <c r="G9069" s="438" t="s">
        <v>4187</v>
      </c>
      <c r="J9069" s="635">
        <f t="shared" si="283"/>
        <v>0</v>
      </c>
    </row>
    <row r="9070" spans="6:10" hidden="1">
      <c r="F9070" s="448">
        <v>432</v>
      </c>
      <c r="G9070" s="438" t="s">
        <v>4188</v>
      </c>
      <c r="J9070" s="635">
        <f t="shared" si="283"/>
        <v>0</v>
      </c>
    </row>
    <row r="9071" spans="6:10" hidden="1">
      <c r="F9071" s="448">
        <v>433</v>
      </c>
      <c r="G9071" s="438" t="s">
        <v>4189</v>
      </c>
      <c r="J9071" s="635">
        <f t="shared" si="283"/>
        <v>0</v>
      </c>
    </row>
    <row r="9072" spans="6:10" hidden="1">
      <c r="F9072" s="448">
        <v>434</v>
      </c>
      <c r="G9072" s="438" t="s">
        <v>4190</v>
      </c>
      <c r="J9072" s="635">
        <f t="shared" si="283"/>
        <v>0</v>
      </c>
    </row>
    <row r="9073" spans="6:10" hidden="1">
      <c r="F9073" s="448">
        <v>435</v>
      </c>
      <c r="G9073" s="438" t="s">
        <v>3798</v>
      </c>
      <c r="J9073" s="635">
        <f t="shared" si="283"/>
        <v>0</v>
      </c>
    </row>
    <row r="9074" spans="6:10" hidden="1">
      <c r="F9074" s="448">
        <v>441</v>
      </c>
      <c r="G9074" s="438" t="s">
        <v>4191</v>
      </c>
      <c r="J9074" s="635">
        <f t="shared" si="283"/>
        <v>0</v>
      </c>
    </row>
    <row r="9075" spans="6:10" hidden="1">
      <c r="F9075" s="448">
        <v>442</v>
      </c>
      <c r="G9075" s="438" t="s">
        <v>4192</v>
      </c>
      <c r="J9075" s="635">
        <f t="shared" si="283"/>
        <v>0</v>
      </c>
    </row>
    <row r="9076" spans="6:10" hidden="1">
      <c r="F9076" s="448">
        <v>443</v>
      </c>
      <c r="G9076" s="438" t="s">
        <v>3803</v>
      </c>
      <c r="J9076" s="635">
        <f t="shared" si="283"/>
        <v>0</v>
      </c>
    </row>
    <row r="9077" spans="6:10" hidden="1">
      <c r="F9077" s="448">
        <v>444</v>
      </c>
      <c r="G9077" s="438" t="s">
        <v>3804</v>
      </c>
      <c r="J9077" s="635">
        <f t="shared" si="283"/>
        <v>0</v>
      </c>
    </row>
    <row r="9078" spans="6:10" ht="30" hidden="1">
      <c r="F9078" s="448">
        <v>4511</v>
      </c>
      <c r="G9078" s="268" t="s">
        <v>1690</v>
      </c>
      <c r="J9078" s="635">
        <f t="shared" si="283"/>
        <v>0</v>
      </c>
    </row>
    <row r="9079" spans="6:10" ht="30" hidden="1">
      <c r="F9079" s="448">
        <v>4512</v>
      </c>
      <c r="G9079" s="268" t="s">
        <v>1699</v>
      </c>
      <c r="J9079" s="635">
        <f t="shared" si="283"/>
        <v>0</v>
      </c>
    </row>
    <row r="9080" spans="6:10" hidden="1">
      <c r="F9080" s="448">
        <v>452</v>
      </c>
      <c r="G9080" s="438" t="s">
        <v>4193</v>
      </c>
      <c r="J9080" s="635">
        <f t="shared" si="283"/>
        <v>0</v>
      </c>
    </row>
    <row r="9081" spans="6:10" hidden="1">
      <c r="F9081" s="448">
        <v>453</v>
      </c>
      <c r="G9081" s="438" t="s">
        <v>4194</v>
      </c>
      <c r="J9081" s="635">
        <f t="shared" si="283"/>
        <v>0</v>
      </c>
    </row>
    <row r="9082" spans="6:10" hidden="1">
      <c r="F9082" s="448">
        <v>454</v>
      </c>
      <c r="G9082" s="438" t="s">
        <v>3809</v>
      </c>
      <c r="J9082" s="635">
        <f t="shared" si="283"/>
        <v>0</v>
      </c>
    </row>
    <row r="9083" spans="6:10" hidden="1">
      <c r="F9083" s="448">
        <v>461</v>
      </c>
      <c r="G9083" s="438" t="s">
        <v>4175</v>
      </c>
      <c r="J9083" s="635">
        <f t="shared" si="283"/>
        <v>0</v>
      </c>
    </row>
    <row r="9084" spans="6:10" hidden="1">
      <c r="F9084" s="448">
        <v>462</v>
      </c>
      <c r="G9084" s="438" t="s">
        <v>3812</v>
      </c>
      <c r="J9084" s="635">
        <f t="shared" si="283"/>
        <v>0</v>
      </c>
    </row>
    <row r="9085" spans="6:10" hidden="1">
      <c r="F9085" s="448">
        <v>4631</v>
      </c>
      <c r="G9085" s="438" t="s">
        <v>3813</v>
      </c>
      <c r="J9085" s="635">
        <f t="shared" si="283"/>
        <v>0</v>
      </c>
    </row>
    <row r="9086" spans="6:10" hidden="1">
      <c r="F9086" s="448">
        <v>4632</v>
      </c>
      <c r="G9086" s="438" t="s">
        <v>3814</v>
      </c>
      <c r="J9086" s="635">
        <f t="shared" si="283"/>
        <v>0</v>
      </c>
    </row>
    <row r="9087" spans="6:10" hidden="1">
      <c r="F9087" s="448">
        <v>464</v>
      </c>
      <c r="G9087" s="438" t="s">
        <v>3815</v>
      </c>
      <c r="J9087" s="635">
        <f t="shared" si="283"/>
        <v>0</v>
      </c>
    </row>
    <row r="9088" spans="6:10" hidden="1">
      <c r="F9088" s="448">
        <v>465</v>
      </c>
      <c r="G9088" s="438" t="s">
        <v>4176</v>
      </c>
      <c r="J9088" s="635">
        <f t="shared" si="283"/>
        <v>0</v>
      </c>
    </row>
    <row r="9089" spans="6:10" hidden="1">
      <c r="F9089" s="448">
        <v>472</v>
      </c>
      <c r="G9089" s="438" t="s">
        <v>3819</v>
      </c>
      <c r="J9089" s="635">
        <f t="shared" si="283"/>
        <v>0</v>
      </c>
    </row>
    <row r="9090" spans="6:10" hidden="1">
      <c r="F9090" s="448">
        <v>481</v>
      </c>
      <c r="G9090" s="438" t="s">
        <v>4195</v>
      </c>
      <c r="J9090" s="635">
        <f t="shared" si="283"/>
        <v>0</v>
      </c>
    </row>
    <row r="9091" spans="6:10" hidden="1">
      <c r="F9091" s="448">
        <v>482</v>
      </c>
      <c r="G9091" s="438" t="s">
        <v>4196</v>
      </c>
      <c r="J9091" s="635">
        <f t="shared" si="283"/>
        <v>0</v>
      </c>
    </row>
    <row r="9092" spans="6:10" hidden="1">
      <c r="F9092" s="448">
        <v>483</v>
      </c>
      <c r="G9092" s="443" t="s">
        <v>4197</v>
      </c>
      <c r="J9092" s="635">
        <f t="shared" si="283"/>
        <v>0</v>
      </c>
    </row>
    <row r="9093" spans="6:10" ht="30" hidden="1">
      <c r="F9093" s="448">
        <v>484</v>
      </c>
      <c r="G9093" s="438" t="s">
        <v>4198</v>
      </c>
      <c r="J9093" s="635">
        <f t="shared" si="283"/>
        <v>0</v>
      </c>
    </row>
    <row r="9094" spans="6:10" ht="30" hidden="1">
      <c r="F9094" s="448">
        <v>485</v>
      </c>
      <c r="G9094" s="438" t="s">
        <v>4199</v>
      </c>
      <c r="J9094" s="635">
        <f t="shared" si="283"/>
        <v>0</v>
      </c>
    </row>
    <row r="9095" spans="6:10" ht="30" hidden="1">
      <c r="F9095" s="448">
        <v>489</v>
      </c>
      <c r="G9095" s="438" t="s">
        <v>3827</v>
      </c>
      <c r="J9095" s="635">
        <f t="shared" si="283"/>
        <v>0</v>
      </c>
    </row>
    <row r="9096" spans="6:10" hidden="1">
      <c r="F9096" s="448">
        <v>494</v>
      </c>
      <c r="G9096" s="438" t="s">
        <v>4177</v>
      </c>
      <c r="J9096" s="635">
        <f t="shared" si="283"/>
        <v>0</v>
      </c>
    </row>
    <row r="9097" spans="6:10" ht="30" hidden="1">
      <c r="F9097" s="448">
        <v>495</v>
      </c>
      <c r="G9097" s="438" t="s">
        <v>4178</v>
      </c>
      <c r="J9097" s="635">
        <f t="shared" si="283"/>
        <v>0</v>
      </c>
    </row>
    <row r="9098" spans="6:10" ht="30" hidden="1">
      <c r="F9098" s="448">
        <v>496</v>
      </c>
      <c r="G9098" s="438" t="s">
        <v>4179</v>
      </c>
      <c r="J9098" s="635">
        <f t="shared" si="283"/>
        <v>0</v>
      </c>
    </row>
    <row r="9099" spans="6:10" hidden="1">
      <c r="F9099" s="448">
        <v>499</v>
      </c>
      <c r="G9099" s="438" t="s">
        <v>4180</v>
      </c>
      <c r="J9099" s="635">
        <f t="shared" si="283"/>
        <v>0</v>
      </c>
    </row>
    <row r="9100" spans="6:10" ht="15.75" hidden="1" thickBot="1">
      <c r="F9100" s="448">
        <v>511</v>
      </c>
      <c r="G9100" s="443" t="s">
        <v>4200</v>
      </c>
      <c r="J9100" s="635">
        <f t="shared" si="283"/>
        <v>0</v>
      </c>
    </row>
    <row r="9101" spans="6:10" ht="15.75" hidden="1" thickBot="1">
      <c r="F9101" s="448">
        <v>512</v>
      </c>
      <c r="G9101" s="443" t="s">
        <v>4201</v>
      </c>
      <c r="J9101" s="635">
        <f t="shared" si="283"/>
        <v>0</v>
      </c>
    </row>
    <row r="9102" spans="6:10" ht="15.75" hidden="1" thickBot="1">
      <c r="F9102" s="448">
        <v>513</v>
      </c>
      <c r="G9102" s="443" t="s">
        <v>4202</v>
      </c>
      <c r="J9102" s="635">
        <f t="shared" si="283"/>
        <v>0</v>
      </c>
    </row>
    <row r="9103" spans="6:10" ht="15.75" hidden="1" thickBot="1">
      <c r="F9103" s="448">
        <v>514</v>
      </c>
      <c r="G9103" s="438" t="s">
        <v>4203</v>
      </c>
      <c r="J9103" s="635">
        <f t="shared" si="283"/>
        <v>0</v>
      </c>
    </row>
    <row r="9104" spans="6:10" ht="15.75" hidden="1" thickBot="1">
      <c r="F9104" s="448">
        <v>515</v>
      </c>
      <c r="G9104" s="438" t="s">
        <v>3838</v>
      </c>
      <c r="J9104" s="635">
        <f t="shared" si="283"/>
        <v>0</v>
      </c>
    </row>
    <row r="9105" spans="5:10" ht="15.75" hidden="1" thickBot="1">
      <c r="F9105" s="448">
        <v>521</v>
      </c>
      <c r="G9105" s="438" t="s">
        <v>4204</v>
      </c>
      <c r="J9105" s="635">
        <f t="shared" si="283"/>
        <v>0</v>
      </c>
    </row>
    <row r="9106" spans="5:10" ht="15.75" hidden="1" thickBot="1">
      <c r="F9106" s="448">
        <v>522</v>
      </c>
      <c r="G9106" s="438" t="s">
        <v>4205</v>
      </c>
      <c r="J9106" s="635">
        <f t="shared" si="283"/>
        <v>0</v>
      </c>
    </row>
    <row r="9107" spans="5:10" ht="15.75" hidden="1" thickBot="1">
      <c r="F9107" s="448">
        <v>523</v>
      </c>
      <c r="G9107" s="438" t="s">
        <v>3843</v>
      </c>
      <c r="J9107" s="635">
        <f t="shared" si="283"/>
        <v>0</v>
      </c>
    </row>
    <row r="9108" spans="5:10" ht="15.75" hidden="1" thickBot="1">
      <c r="F9108" s="448">
        <v>531</v>
      </c>
      <c r="G9108" s="436" t="s">
        <v>4181</v>
      </c>
      <c r="J9108" s="635">
        <f t="shared" si="283"/>
        <v>0</v>
      </c>
    </row>
    <row r="9109" spans="5:10" ht="15.75" hidden="1" thickBot="1">
      <c r="F9109" s="448">
        <v>541</v>
      </c>
      <c r="G9109" s="438" t="s">
        <v>4206</v>
      </c>
      <c r="J9109" s="635">
        <f t="shared" si="283"/>
        <v>0</v>
      </c>
    </row>
    <row r="9110" spans="5:10" ht="15.75" hidden="1" thickBot="1">
      <c r="F9110" s="448">
        <v>542</v>
      </c>
      <c r="G9110" s="438" t="s">
        <v>4207</v>
      </c>
      <c r="J9110" s="635">
        <f t="shared" si="283"/>
        <v>0</v>
      </c>
    </row>
    <row r="9111" spans="5:10" ht="15.75" hidden="1" thickBot="1">
      <c r="F9111" s="448">
        <v>543</v>
      </c>
      <c r="G9111" s="438" t="s">
        <v>3848</v>
      </c>
      <c r="J9111" s="635">
        <f t="shared" si="283"/>
        <v>0</v>
      </c>
    </row>
    <row r="9112" spans="5:10" ht="30.75" hidden="1" thickBot="1">
      <c r="F9112" s="448">
        <v>551</v>
      </c>
      <c r="G9112" s="438" t="s">
        <v>4182</v>
      </c>
      <c r="J9112" s="635">
        <f t="shared" si="283"/>
        <v>0</v>
      </c>
    </row>
    <row r="9113" spans="5:10" ht="15.75" hidden="1" thickBot="1">
      <c r="F9113" s="449">
        <v>611</v>
      </c>
      <c r="G9113" s="447" t="s">
        <v>3854</v>
      </c>
      <c r="J9113" s="635">
        <f t="shared" si="283"/>
        <v>0</v>
      </c>
    </row>
    <row r="9114" spans="5:10" ht="15.75" hidden="1" thickBot="1">
      <c r="F9114" s="449">
        <v>620</v>
      </c>
      <c r="G9114" s="447" t="s">
        <v>88</v>
      </c>
      <c r="J9114" s="635">
        <f t="shared" si="283"/>
        <v>0</v>
      </c>
    </row>
    <row r="9115" spans="5:10" hidden="1">
      <c r="E9115" s="437"/>
      <c r="F9115" s="449"/>
      <c r="G9115" s="371" t="s">
        <v>4367</v>
      </c>
      <c r="H9115" s="636"/>
      <c r="I9115" s="662"/>
      <c r="J9115" s="637"/>
    </row>
    <row r="9116" spans="5:10" ht="15.75" hidden="1" thickBot="1">
      <c r="E9116" s="267"/>
      <c r="F9116" s="294" t="s">
        <v>234</v>
      </c>
      <c r="G9116" s="297" t="s">
        <v>235</v>
      </c>
      <c r="H9116" s="638">
        <f>SUM(H9055:H9114)</f>
        <v>0</v>
      </c>
      <c r="I9116" s="639"/>
      <c r="J9116" s="639">
        <f>SUM(H9116:I9116)</f>
        <v>0</v>
      </c>
    </row>
    <row r="9117" spans="5:10" ht="15.75" hidden="1" thickBot="1">
      <c r="F9117" s="294" t="s">
        <v>236</v>
      </c>
      <c r="G9117" s="297" t="s">
        <v>237</v>
      </c>
      <c r="J9117" s="639">
        <f t="shared" ref="J9117:J9131" si="284">SUM(H9117:I9117)</f>
        <v>0</v>
      </c>
    </row>
    <row r="9118" spans="5:10" ht="15.75" hidden="1" thickBot="1">
      <c r="F9118" s="294" t="s">
        <v>238</v>
      </c>
      <c r="G9118" s="297" t="s">
        <v>239</v>
      </c>
      <c r="J9118" s="639">
        <f t="shared" si="284"/>
        <v>0</v>
      </c>
    </row>
    <row r="9119" spans="5:10" ht="15.75" hidden="1" thickBot="1">
      <c r="F9119" s="294" t="s">
        <v>240</v>
      </c>
      <c r="G9119" s="297" t="s">
        <v>241</v>
      </c>
      <c r="J9119" s="639">
        <f t="shared" si="284"/>
        <v>0</v>
      </c>
    </row>
    <row r="9120" spans="5:10" ht="15.75" hidden="1" thickBot="1">
      <c r="F9120" s="294" t="s">
        <v>242</v>
      </c>
      <c r="G9120" s="297" t="s">
        <v>243</v>
      </c>
      <c r="J9120" s="639">
        <f t="shared" si="284"/>
        <v>0</v>
      </c>
    </row>
    <row r="9121" spans="5:10" ht="15.75" hidden="1" thickBot="1">
      <c r="F9121" s="294" t="s">
        <v>244</v>
      </c>
      <c r="G9121" s="297" t="s">
        <v>245</v>
      </c>
      <c r="J9121" s="639">
        <f t="shared" si="284"/>
        <v>0</v>
      </c>
    </row>
    <row r="9122" spans="5:10" ht="15.75" hidden="1" thickBot="1">
      <c r="F9122" s="294" t="s">
        <v>246</v>
      </c>
      <c r="G9122" s="683" t="s">
        <v>5121</v>
      </c>
      <c r="J9122" s="639">
        <f t="shared" si="284"/>
        <v>0</v>
      </c>
    </row>
    <row r="9123" spans="5:10" ht="15.75" hidden="1" thickBot="1">
      <c r="F9123" s="294" t="s">
        <v>247</v>
      </c>
      <c r="G9123" s="683" t="s">
        <v>5120</v>
      </c>
      <c r="J9123" s="639">
        <f t="shared" si="284"/>
        <v>0</v>
      </c>
    </row>
    <row r="9124" spans="5:10" ht="15.75" hidden="1" thickBot="1">
      <c r="F9124" s="294" t="s">
        <v>248</v>
      </c>
      <c r="G9124" s="297" t="s">
        <v>57</v>
      </c>
      <c r="J9124" s="639">
        <f t="shared" si="284"/>
        <v>0</v>
      </c>
    </row>
    <row r="9125" spans="5:10" ht="15.75" hidden="1" thickBot="1">
      <c r="F9125" s="294" t="s">
        <v>249</v>
      </c>
      <c r="G9125" s="297" t="s">
        <v>250</v>
      </c>
      <c r="J9125" s="639">
        <f t="shared" si="284"/>
        <v>0</v>
      </c>
    </row>
    <row r="9126" spans="5:10" ht="15.75" hidden="1" thickBot="1">
      <c r="F9126" s="294" t="s">
        <v>251</v>
      </c>
      <c r="G9126" s="297" t="s">
        <v>252</v>
      </c>
      <c r="J9126" s="639">
        <f t="shared" si="284"/>
        <v>0</v>
      </c>
    </row>
    <row r="9127" spans="5:10" ht="15.75" hidden="1" thickBot="1">
      <c r="F9127" s="294" t="s">
        <v>253</v>
      </c>
      <c r="G9127" s="297" t="s">
        <v>254</v>
      </c>
      <c r="J9127" s="639">
        <f t="shared" si="284"/>
        <v>0</v>
      </c>
    </row>
    <row r="9128" spans="5:10" ht="15.75" hidden="1" thickBot="1">
      <c r="F9128" s="294" t="s">
        <v>255</v>
      </c>
      <c r="G9128" s="297" t="s">
        <v>256</v>
      </c>
      <c r="J9128" s="639">
        <f t="shared" si="284"/>
        <v>0</v>
      </c>
    </row>
    <row r="9129" spans="5:10" ht="15.75" hidden="1" thickBot="1">
      <c r="F9129" s="294" t="s">
        <v>257</v>
      </c>
      <c r="G9129" s="297" t="s">
        <v>258</v>
      </c>
      <c r="J9129" s="639">
        <f t="shared" si="284"/>
        <v>0</v>
      </c>
    </row>
    <row r="9130" spans="5:10" ht="15.75" hidden="1" thickBot="1">
      <c r="F9130" s="294" t="s">
        <v>259</v>
      </c>
      <c r="G9130" s="297" t="s">
        <v>260</v>
      </c>
      <c r="J9130" s="639">
        <f t="shared" si="284"/>
        <v>0</v>
      </c>
    </row>
    <row r="9131" spans="5:10" ht="15.75" hidden="1" thickBot="1">
      <c r="F9131" s="294" t="s">
        <v>261</v>
      </c>
      <c r="G9131" s="297" t="s">
        <v>262</v>
      </c>
      <c r="H9131" s="638"/>
      <c r="I9131" s="639"/>
      <c r="J9131" s="639">
        <f t="shared" si="284"/>
        <v>0</v>
      </c>
    </row>
    <row r="9132" spans="5:10" ht="15.75" hidden="1" thickBot="1">
      <c r="G9132" s="274" t="s">
        <v>4366</v>
      </c>
      <c r="H9132" s="640">
        <f>SUM(H9116:H9131)</f>
        <v>0</v>
      </c>
      <c r="I9132" s="641">
        <f>SUM(I9117:I9131)</f>
        <v>0</v>
      </c>
      <c r="J9132" s="641">
        <f>SUM(J9116:J9131)</f>
        <v>0</v>
      </c>
    </row>
    <row r="9133" spans="5:10" hidden="1" collapsed="1">
      <c r="E9133" s="437"/>
      <c r="F9133" s="449"/>
      <c r="G9133" s="276" t="s">
        <v>5061</v>
      </c>
      <c r="H9133" s="642"/>
      <c r="I9133" s="663"/>
      <c r="J9133" s="643"/>
    </row>
    <row r="9134" spans="5:10" ht="15.75" hidden="1" thickBot="1">
      <c r="E9134" s="267"/>
      <c r="F9134" s="294" t="s">
        <v>234</v>
      </c>
      <c r="G9134" s="297" t="s">
        <v>235</v>
      </c>
      <c r="H9134" s="638">
        <f>SUM(H9055:H9114)</f>
        <v>0</v>
      </c>
      <c r="I9134" s="639"/>
      <c r="J9134" s="639">
        <f>SUM(H9134:I9134)</f>
        <v>0</v>
      </c>
    </row>
    <row r="9135" spans="5:10" ht="15.75" hidden="1" thickBot="1">
      <c r="F9135" s="294" t="s">
        <v>236</v>
      </c>
      <c r="G9135" s="297" t="s">
        <v>237</v>
      </c>
      <c r="J9135" s="639">
        <f t="shared" ref="J9135:J9149" si="285">SUM(H9135:I9135)</f>
        <v>0</v>
      </c>
    </row>
    <row r="9136" spans="5:10" ht="15.75" hidden="1" thickBot="1">
      <c r="F9136" s="294" t="s">
        <v>238</v>
      </c>
      <c r="G9136" s="297" t="s">
        <v>239</v>
      </c>
      <c r="J9136" s="639">
        <f t="shared" si="285"/>
        <v>0</v>
      </c>
    </row>
    <row r="9137" spans="3:10" ht="15.75" hidden="1" thickBot="1">
      <c r="F9137" s="294" t="s">
        <v>240</v>
      </c>
      <c r="G9137" s="297" t="s">
        <v>241</v>
      </c>
      <c r="J9137" s="639">
        <f t="shared" si="285"/>
        <v>0</v>
      </c>
    </row>
    <row r="9138" spans="3:10" ht="15.75" hidden="1" thickBot="1">
      <c r="F9138" s="294" t="s">
        <v>242</v>
      </c>
      <c r="G9138" s="297" t="s">
        <v>243</v>
      </c>
      <c r="J9138" s="639">
        <f t="shared" si="285"/>
        <v>0</v>
      </c>
    </row>
    <row r="9139" spans="3:10" ht="15.75" hidden="1" thickBot="1">
      <c r="F9139" s="294" t="s">
        <v>244</v>
      </c>
      <c r="G9139" s="297" t="s">
        <v>245</v>
      </c>
      <c r="J9139" s="639">
        <f t="shared" si="285"/>
        <v>0</v>
      </c>
    </row>
    <row r="9140" spans="3:10" ht="15.75" hidden="1" thickBot="1">
      <c r="F9140" s="294" t="s">
        <v>246</v>
      </c>
      <c r="G9140" s="683" t="s">
        <v>5121</v>
      </c>
      <c r="J9140" s="639">
        <f t="shared" si="285"/>
        <v>0</v>
      </c>
    </row>
    <row r="9141" spans="3:10" ht="15.75" hidden="1" thickBot="1">
      <c r="F9141" s="294" t="s">
        <v>247</v>
      </c>
      <c r="G9141" s="683" t="s">
        <v>5120</v>
      </c>
      <c r="J9141" s="639">
        <f t="shared" si="285"/>
        <v>0</v>
      </c>
    </row>
    <row r="9142" spans="3:10" ht="15.75" hidden="1" thickBot="1">
      <c r="F9142" s="294" t="s">
        <v>248</v>
      </c>
      <c r="G9142" s="297" t="s">
        <v>57</v>
      </c>
      <c r="J9142" s="639">
        <f t="shared" si="285"/>
        <v>0</v>
      </c>
    </row>
    <row r="9143" spans="3:10" ht="15.75" hidden="1" thickBot="1">
      <c r="F9143" s="294" t="s">
        <v>249</v>
      </c>
      <c r="G9143" s="297" t="s">
        <v>250</v>
      </c>
      <c r="J9143" s="639">
        <f t="shared" si="285"/>
        <v>0</v>
      </c>
    </row>
    <row r="9144" spans="3:10" ht="15.75" hidden="1" thickBot="1">
      <c r="F9144" s="294" t="s">
        <v>251</v>
      </c>
      <c r="G9144" s="297" t="s">
        <v>252</v>
      </c>
      <c r="J9144" s="639">
        <f t="shared" si="285"/>
        <v>0</v>
      </c>
    </row>
    <row r="9145" spans="3:10" ht="15.75" hidden="1" thickBot="1">
      <c r="F9145" s="294" t="s">
        <v>253</v>
      </c>
      <c r="G9145" s="297" t="s">
        <v>254</v>
      </c>
      <c r="J9145" s="639">
        <f t="shared" si="285"/>
        <v>0</v>
      </c>
    </row>
    <row r="9146" spans="3:10" ht="15.75" hidden="1" thickBot="1">
      <c r="F9146" s="294" t="s">
        <v>255</v>
      </c>
      <c r="G9146" s="297" t="s">
        <v>256</v>
      </c>
      <c r="J9146" s="639">
        <f t="shared" si="285"/>
        <v>0</v>
      </c>
    </row>
    <row r="9147" spans="3:10" ht="15.75" hidden="1" thickBot="1">
      <c r="F9147" s="294" t="s">
        <v>257</v>
      </c>
      <c r="G9147" s="297" t="s">
        <v>258</v>
      </c>
      <c r="J9147" s="639">
        <f t="shared" si="285"/>
        <v>0</v>
      </c>
    </row>
    <row r="9148" spans="3:10" ht="15.75" hidden="1" thickBot="1">
      <c r="F9148" s="294" t="s">
        <v>259</v>
      </c>
      <c r="G9148" s="297" t="s">
        <v>260</v>
      </c>
      <c r="J9148" s="639">
        <f t="shared" si="285"/>
        <v>0</v>
      </c>
    </row>
    <row r="9149" spans="3:10" ht="15.75" hidden="1" thickBot="1">
      <c r="F9149" s="294" t="s">
        <v>261</v>
      </c>
      <c r="G9149" s="297" t="s">
        <v>262</v>
      </c>
      <c r="H9149" s="638"/>
      <c r="I9149" s="639"/>
      <c r="J9149" s="639">
        <f t="shared" si="285"/>
        <v>0</v>
      </c>
    </row>
    <row r="9150" spans="3:10" ht="15.75" hidden="1" thickBot="1">
      <c r="G9150" s="274" t="s">
        <v>5019</v>
      </c>
      <c r="H9150" s="640">
        <f>SUM(H9134:H9149)</f>
        <v>0</v>
      </c>
      <c r="I9150" s="641">
        <f>SUM(I9135:I9149)</f>
        <v>0</v>
      </c>
      <c r="J9150" s="641">
        <f>SUM(J9134:J9149)</f>
        <v>0</v>
      </c>
    </row>
    <row r="9151" spans="3:10" hidden="1"/>
    <row r="9152" spans="3:10" hidden="1">
      <c r="C9152" s="273" t="s">
        <v>4640</v>
      </c>
      <c r="D9152" s="264"/>
      <c r="G9152" s="563" t="s">
        <v>5116</v>
      </c>
    </row>
    <row r="9153" spans="3:10" hidden="1">
      <c r="C9153" s="273"/>
      <c r="D9153" s="357">
        <v>451</v>
      </c>
      <c r="E9153" s="357"/>
      <c r="F9153" s="357"/>
      <c r="G9153" s="358" t="s">
        <v>153</v>
      </c>
    </row>
    <row r="9154" spans="3:10" hidden="1">
      <c r="F9154" s="448">
        <v>411</v>
      </c>
      <c r="G9154" s="438" t="s">
        <v>4173</v>
      </c>
      <c r="J9154" s="635">
        <f>SUM(H9154:I9154)</f>
        <v>0</v>
      </c>
    </row>
    <row r="9155" spans="3:10" hidden="1">
      <c r="F9155" s="448">
        <v>412</v>
      </c>
      <c r="G9155" s="436" t="s">
        <v>3770</v>
      </c>
      <c r="J9155" s="635">
        <f t="shared" ref="J9155:J9213" si="286">SUM(H9155:I9155)</f>
        <v>0</v>
      </c>
    </row>
    <row r="9156" spans="3:10" hidden="1">
      <c r="F9156" s="448">
        <v>413</v>
      </c>
      <c r="G9156" s="438" t="s">
        <v>4174</v>
      </c>
      <c r="J9156" s="635">
        <f t="shared" si="286"/>
        <v>0</v>
      </c>
    </row>
    <row r="9157" spans="3:10" hidden="1">
      <c r="F9157" s="448">
        <v>414</v>
      </c>
      <c r="G9157" s="438" t="s">
        <v>3773</v>
      </c>
      <c r="J9157" s="635">
        <f t="shared" si="286"/>
        <v>0</v>
      </c>
    </row>
    <row r="9158" spans="3:10" hidden="1">
      <c r="F9158" s="448">
        <v>415</v>
      </c>
      <c r="G9158" s="438" t="s">
        <v>4183</v>
      </c>
      <c r="J9158" s="635">
        <f t="shared" si="286"/>
        <v>0</v>
      </c>
    </row>
    <row r="9159" spans="3:10" hidden="1">
      <c r="F9159" s="448">
        <v>416</v>
      </c>
      <c r="G9159" s="438" t="s">
        <v>4184</v>
      </c>
      <c r="J9159" s="635">
        <f t="shared" si="286"/>
        <v>0</v>
      </c>
    </row>
    <row r="9160" spans="3:10" hidden="1">
      <c r="F9160" s="448">
        <v>417</v>
      </c>
      <c r="G9160" s="438" t="s">
        <v>4185</v>
      </c>
      <c r="J9160" s="635">
        <f t="shared" si="286"/>
        <v>0</v>
      </c>
    </row>
    <row r="9161" spans="3:10" hidden="1">
      <c r="F9161" s="448">
        <v>418</v>
      </c>
      <c r="G9161" s="438" t="s">
        <v>3779</v>
      </c>
      <c r="J9161" s="635">
        <f t="shared" si="286"/>
        <v>0</v>
      </c>
    </row>
    <row r="9162" spans="3:10" hidden="1">
      <c r="F9162" s="448">
        <v>421</v>
      </c>
      <c r="G9162" s="438" t="s">
        <v>3783</v>
      </c>
      <c r="J9162" s="635">
        <f t="shared" si="286"/>
        <v>0</v>
      </c>
    </row>
    <row r="9163" spans="3:10" hidden="1">
      <c r="F9163" s="448">
        <v>422</v>
      </c>
      <c r="G9163" s="438" t="s">
        <v>3784</v>
      </c>
      <c r="J9163" s="635">
        <f t="shared" si="286"/>
        <v>0</v>
      </c>
    </row>
    <row r="9164" spans="3:10" hidden="1">
      <c r="F9164" s="448">
        <v>423</v>
      </c>
      <c r="G9164" s="438" t="s">
        <v>3785</v>
      </c>
      <c r="J9164" s="635">
        <f t="shared" si="286"/>
        <v>0</v>
      </c>
    </row>
    <row r="9165" spans="3:10" hidden="1">
      <c r="F9165" s="448">
        <v>424</v>
      </c>
      <c r="G9165" s="438" t="s">
        <v>3787</v>
      </c>
      <c r="J9165" s="635">
        <f t="shared" si="286"/>
        <v>0</v>
      </c>
    </row>
    <row r="9166" spans="3:10" hidden="1">
      <c r="F9166" s="448">
        <v>425</v>
      </c>
      <c r="G9166" s="438" t="s">
        <v>4186</v>
      </c>
      <c r="J9166" s="635">
        <f t="shared" si="286"/>
        <v>0</v>
      </c>
    </row>
    <row r="9167" spans="3:10" hidden="1">
      <c r="F9167" s="448">
        <v>426</v>
      </c>
      <c r="G9167" s="438" t="s">
        <v>3791</v>
      </c>
      <c r="J9167" s="635">
        <f t="shared" si="286"/>
        <v>0</v>
      </c>
    </row>
    <row r="9168" spans="3:10" hidden="1">
      <c r="F9168" s="448">
        <v>431</v>
      </c>
      <c r="G9168" s="438" t="s">
        <v>4187</v>
      </c>
      <c r="J9168" s="635">
        <f t="shared" si="286"/>
        <v>0</v>
      </c>
    </row>
    <row r="9169" spans="6:10" hidden="1">
      <c r="F9169" s="448">
        <v>432</v>
      </c>
      <c r="G9169" s="438" t="s">
        <v>4188</v>
      </c>
      <c r="J9169" s="635">
        <f t="shared" si="286"/>
        <v>0</v>
      </c>
    </row>
    <row r="9170" spans="6:10" hidden="1">
      <c r="F9170" s="448">
        <v>433</v>
      </c>
      <c r="G9170" s="438" t="s">
        <v>4189</v>
      </c>
      <c r="J9170" s="635">
        <f t="shared" si="286"/>
        <v>0</v>
      </c>
    </row>
    <row r="9171" spans="6:10" hidden="1">
      <c r="F9171" s="448">
        <v>434</v>
      </c>
      <c r="G9171" s="438" t="s">
        <v>4190</v>
      </c>
      <c r="J9171" s="635">
        <f t="shared" si="286"/>
        <v>0</v>
      </c>
    </row>
    <row r="9172" spans="6:10" hidden="1">
      <c r="F9172" s="448">
        <v>435</v>
      </c>
      <c r="G9172" s="438" t="s">
        <v>3798</v>
      </c>
      <c r="J9172" s="635">
        <f t="shared" si="286"/>
        <v>0</v>
      </c>
    </row>
    <row r="9173" spans="6:10" hidden="1">
      <c r="F9173" s="448">
        <v>441</v>
      </c>
      <c r="G9173" s="438" t="s">
        <v>4191</v>
      </c>
      <c r="J9173" s="635">
        <f t="shared" si="286"/>
        <v>0</v>
      </c>
    </row>
    <row r="9174" spans="6:10" hidden="1">
      <c r="F9174" s="448">
        <v>442</v>
      </c>
      <c r="G9174" s="438" t="s">
        <v>4192</v>
      </c>
      <c r="J9174" s="635">
        <f t="shared" si="286"/>
        <v>0</v>
      </c>
    </row>
    <row r="9175" spans="6:10" hidden="1">
      <c r="F9175" s="448">
        <v>443</v>
      </c>
      <c r="G9175" s="438" t="s">
        <v>3803</v>
      </c>
      <c r="J9175" s="635">
        <f t="shared" si="286"/>
        <v>0</v>
      </c>
    </row>
    <row r="9176" spans="6:10" hidden="1">
      <c r="F9176" s="448">
        <v>444</v>
      </c>
      <c r="G9176" s="438" t="s">
        <v>3804</v>
      </c>
      <c r="J9176" s="635">
        <f t="shared" si="286"/>
        <v>0</v>
      </c>
    </row>
    <row r="9177" spans="6:10" ht="30" hidden="1">
      <c r="F9177" s="448">
        <v>4511</v>
      </c>
      <c r="G9177" s="268" t="s">
        <v>1690</v>
      </c>
      <c r="J9177" s="635">
        <f t="shared" si="286"/>
        <v>0</v>
      </c>
    </row>
    <row r="9178" spans="6:10" ht="30" hidden="1">
      <c r="F9178" s="448">
        <v>4512</v>
      </c>
      <c r="G9178" s="268" t="s">
        <v>1699</v>
      </c>
      <c r="J9178" s="635">
        <f t="shared" si="286"/>
        <v>0</v>
      </c>
    </row>
    <row r="9179" spans="6:10" hidden="1">
      <c r="F9179" s="448">
        <v>452</v>
      </c>
      <c r="G9179" s="438" t="s">
        <v>4193</v>
      </c>
      <c r="J9179" s="635">
        <f t="shared" si="286"/>
        <v>0</v>
      </c>
    </row>
    <row r="9180" spans="6:10" hidden="1">
      <c r="F9180" s="448">
        <v>453</v>
      </c>
      <c r="G9180" s="438" t="s">
        <v>4194</v>
      </c>
      <c r="J9180" s="635">
        <f t="shared" si="286"/>
        <v>0</v>
      </c>
    </row>
    <row r="9181" spans="6:10" hidden="1">
      <c r="F9181" s="448">
        <v>454</v>
      </c>
      <c r="G9181" s="438" t="s">
        <v>3809</v>
      </c>
      <c r="J9181" s="635">
        <f t="shared" si="286"/>
        <v>0</v>
      </c>
    </row>
    <row r="9182" spans="6:10" hidden="1">
      <c r="F9182" s="448">
        <v>461</v>
      </c>
      <c r="G9182" s="438" t="s">
        <v>4175</v>
      </c>
      <c r="J9182" s="635">
        <f t="shared" si="286"/>
        <v>0</v>
      </c>
    </row>
    <row r="9183" spans="6:10" hidden="1">
      <c r="F9183" s="448">
        <v>462</v>
      </c>
      <c r="G9183" s="438" t="s">
        <v>3812</v>
      </c>
      <c r="J9183" s="635">
        <f t="shared" si="286"/>
        <v>0</v>
      </c>
    </row>
    <row r="9184" spans="6:10" hidden="1">
      <c r="F9184" s="448">
        <v>4631</v>
      </c>
      <c r="G9184" s="438" t="s">
        <v>3813</v>
      </c>
      <c r="J9184" s="635">
        <f t="shared" si="286"/>
        <v>0</v>
      </c>
    </row>
    <row r="9185" spans="6:10" hidden="1">
      <c r="F9185" s="448">
        <v>4632</v>
      </c>
      <c r="G9185" s="438" t="s">
        <v>3814</v>
      </c>
      <c r="J9185" s="635">
        <f t="shared" si="286"/>
        <v>0</v>
      </c>
    </row>
    <row r="9186" spans="6:10" hidden="1">
      <c r="F9186" s="448">
        <v>464</v>
      </c>
      <c r="G9186" s="438" t="s">
        <v>3815</v>
      </c>
      <c r="J9186" s="635">
        <f t="shared" si="286"/>
        <v>0</v>
      </c>
    </row>
    <row r="9187" spans="6:10" hidden="1">
      <c r="F9187" s="448">
        <v>465</v>
      </c>
      <c r="G9187" s="438" t="s">
        <v>4176</v>
      </c>
      <c r="J9187" s="635">
        <f t="shared" si="286"/>
        <v>0</v>
      </c>
    </row>
    <row r="9188" spans="6:10" hidden="1">
      <c r="F9188" s="448">
        <v>472</v>
      </c>
      <c r="G9188" s="438" t="s">
        <v>3819</v>
      </c>
      <c r="J9188" s="635">
        <f t="shared" si="286"/>
        <v>0</v>
      </c>
    </row>
    <row r="9189" spans="6:10" hidden="1">
      <c r="F9189" s="448">
        <v>481</v>
      </c>
      <c r="G9189" s="438" t="s">
        <v>4195</v>
      </c>
      <c r="J9189" s="635">
        <f t="shared" si="286"/>
        <v>0</v>
      </c>
    </row>
    <row r="9190" spans="6:10" hidden="1">
      <c r="F9190" s="448">
        <v>482</v>
      </c>
      <c r="G9190" s="438" t="s">
        <v>4196</v>
      </c>
      <c r="J9190" s="635">
        <f t="shared" si="286"/>
        <v>0</v>
      </c>
    </row>
    <row r="9191" spans="6:10" hidden="1">
      <c r="F9191" s="448">
        <v>483</v>
      </c>
      <c r="G9191" s="443" t="s">
        <v>4197</v>
      </c>
      <c r="J9191" s="635">
        <f t="shared" si="286"/>
        <v>0</v>
      </c>
    </row>
    <row r="9192" spans="6:10" ht="30" hidden="1">
      <c r="F9192" s="448">
        <v>484</v>
      </c>
      <c r="G9192" s="438" t="s">
        <v>4198</v>
      </c>
      <c r="J9192" s="635">
        <f t="shared" si="286"/>
        <v>0</v>
      </c>
    </row>
    <row r="9193" spans="6:10" ht="30" hidden="1">
      <c r="F9193" s="448">
        <v>485</v>
      </c>
      <c r="G9193" s="438" t="s">
        <v>4199</v>
      </c>
      <c r="J9193" s="635">
        <f t="shared" si="286"/>
        <v>0</v>
      </c>
    </row>
    <row r="9194" spans="6:10" ht="30" hidden="1">
      <c r="F9194" s="448">
        <v>489</v>
      </c>
      <c r="G9194" s="438" t="s">
        <v>3827</v>
      </c>
      <c r="J9194" s="635">
        <f t="shared" si="286"/>
        <v>0</v>
      </c>
    </row>
    <row r="9195" spans="6:10" hidden="1">
      <c r="F9195" s="448">
        <v>494</v>
      </c>
      <c r="G9195" s="438" t="s">
        <v>4177</v>
      </c>
      <c r="J9195" s="635">
        <f t="shared" si="286"/>
        <v>0</v>
      </c>
    </row>
    <row r="9196" spans="6:10" ht="30" hidden="1">
      <c r="F9196" s="448">
        <v>495</v>
      </c>
      <c r="G9196" s="438" t="s">
        <v>4178</v>
      </c>
      <c r="J9196" s="635">
        <f t="shared" si="286"/>
        <v>0</v>
      </c>
    </row>
    <row r="9197" spans="6:10" ht="30" hidden="1">
      <c r="F9197" s="448">
        <v>496</v>
      </c>
      <c r="G9197" s="438" t="s">
        <v>4179</v>
      </c>
      <c r="J9197" s="635">
        <f t="shared" si="286"/>
        <v>0</v>
      </c>
    </row>
    <row r="9198" spans="6:10" hidden="1">
      <c r="F9198" s="448">
        <v>499</v>
      </c>
      <c r="G9198" s="438" t="s">
        <v>4180</v>
      </c>
      <c r="J9198" s="635">
        <f t="shared" si="286"/>
        <v>0</v>
      </c>
    </row>
    <row r="9199" spans="6:10" ht="15.75" hidden="1" thickBot="1">
      <c r="F9199" s="448">
        <v>511</v>
      </c>
      <c r="G9199" s="443" t="s">
        <v>4200</v>
      </c>
      <c r="J9199" s="635">
        <f t="shared" si="286"/>
        <v>0</v>
      </c>
    </row>
    <row r="9200" spans="6:10" ht="15.75" hidden="1" thickBot="1">
      <c r="F9200" s="448">
        <v>512</v>
      </c>
      <c r="G9200" s="443" t="s">
        <v>4201</v>
      </c>
      <c r="J9200" s="635">
        <f t="shared" si="286"/>
        <v>0</v>
      </c>
    </row>
    <row r="9201" spans="5:10" ht="15.75" hidden="1" thickBot="1">
      <c r="F9201" s="448">
        <v>513</v>
      </c>
      <c r="G9201" s="443" t="s">
        <v>4202</v>
      </c>
      <c r="J9201" s="635">
        <f t="shared" si="286"/>
        <v>0</v>
      </c>
    </row>
    <row r="9202" spans="5:10" ht="15.75" hidden="1" thickBot="1">
      <c r="F9202" s="448">
        <v>514</v>
      </c>
      <c r="G9202" s="438" t="s">
        <v>4203</v>
      </c>
      <c r="J9202" s="635">
        <f t="shared" si="286"/>
        <v>0</v>
      </c>
    </row>
    <row r="9203" spans="5:10" ht="15.75" hidden="1" thickBot="1">
      <c r="F9203" s="448">
        <v>515</v>
      </c>
      <c r="G9203" s="438" t="s">
        <v>3838</v>
      </c>
      <c r="J9203" s="635">
        <f t="shared" si="286"/>
        <v>0</v>
      </c>
    </row>
    <row r="9204" spans="5:10" ht="15.75" hidden="1" thickBot="1">
      <c r="F9204" s="448">
        <v>521</v>
      </c>
      <c r="G9204" s="438" t="s">
        <v>4204</v>
      </c>
      <c r="J9204" s="635">
        <f t="shared" si="286"/>
        <v>0</v>
      </c>
    </row>
    <row r="9205" spans="5:10" ht="15.75" hidden="1" thickBot="1">
      <c r="F9205" s="448">
        <v>522</v>
      </c>
      <c r="G9205" s="438" t="s">
        <v>4205</v>
      </c>
      <c r="J9205" s="635">
        <f t="shared" si="286"/>
        <v>0</v>
      </c>
    </row>
    <row r="9206" spans="5:10" ht="15.75" hidden="1" thickBot="1">
      <c r="F9206" s="448">
        <v>523</v>
      </c>
      <c r="G9206" s="438" t="s">
        <v>3843</v>
      </c>
      <c r="J9206" s="635">
        <f t="shared" si="286"/>
        <v>0</v>
      </c>
    </row>
    <row r="9207" spans="5:10" ht="15.75" hidden="1" thickBot="1">
      <c r="F9207" s="448">
        <v>531</v>
      </c>
      <c r="G9207" s="436" t="s">
        <v>4181</v>
      </c>
      <c r="J9207" s="635">
        <f t="shared" si="286"/>
        <v>0</v>
      </c>
    </row>
    <row r="9208" spans="5:10" ht="15.75" hidden="1" thickBot="1">
      <c r="F9208" s="448">
        <v>541</v>
      </c>
      <c r="G9208" s="438" t="s">
        <v>4206</v>
      </c>
      <c r="J9208" s="635">
        <f t="shared" si="286"/>
        <v>0</v>
      </c>
    </row>
    <row r="9209" spans="5:10" ht="15.75" hidden="1" thickBot="1">
      <c r="F9209" s="448">
        <v>542</v>
      </c>
      <c r="G9209" s="438" t="s">
        <v>4207</v>
      </c>
      <c r="J9209" s="635">
        <f t="shared" si="286"/>
        <v>0</v>
      </c>
    </row>
    <row r="9210" spans="5:10" ht="15.75" hidden="1" thickBot="1">
      <c r="F9210" s="448">
        <v>543</v>
      </c>
      <c r="G9210" s="438" t="s">
        <v>3848</v>
      </c>
      <c r="J9210" s="635">
        <f t="shared" si="286"/>
        <v>0</v>
      </c>
    </row>
    <row r="9211" spans="5:10" ht="30.75" hidden="1" thickBot="1">
      <c r="F9211" s="448">
        <v>551</v>
      </c>
      <c r="G9211" s="438" t="s">
        <v>4182</v>
      </c>
      <c r="J9211" s="635">
        <f t="shared" si="286"/>
        <v>0</v>
      </c>
    </row>
    <row r="9212" spans="5:10" ht="15.75" hidden="1" thickBot="1">
      <c r="F9212" s="449">
        <v>611</v>
      </c>
      <c r="G9212" s="447" t="s">
        <v>3854</v>
      </c>
      <c r="J9212" s="635">
        <f t="shared" si="286"/>
        <v>0</v>
      </c>
    </row>
    <row r="9213" spans="5:10" ht="15.75" hidden="1" thickBot="1">
      <c r="F9213" s="449">
        <v>620</v>
      </c>
      <c r="G9213" s="447" t="s">
        <v>88</v>
      </c>
      <c r="J9213" s="635">
        <f t="shared" si="286"/>
        <v>0</v>
      </c>
    </row>
    <row r="9214" spans="5:10" hidden="1">
      <c r="E9214" s="437"/>
      <c r="F9214" s="449"/>
      <c r="G9214" s="371" t="s">
        <v>4367</v>
      </c>
      <c r="H9214" s="636"/>
      <c r="I9214" s="662"/>
      <c r="J9214" s="637"/>
    </row>
    <row r="9215" spans="5:10" ht="15.75" hidden="1" thickBot="1">
      <c r="E9215" s="267"/>
      <c r="F9215" s="294" t="s">
        <v>234</v>
      </c>
      <c r="G9215" s="297" t="s">
        <v>235</v>
      </c>
      <c r="H9215" s="638">
        <f>SUM(H9154:H9213)</f>
        <v>0</v>
      </c>
      <c r="I9215" s="639"/>
      <c r="J9215" s="639">
        <f>SUM(H9215:I9215)</f>
        <v>0</v>
      </c>
    </row>
    <row r="9216" spans="5:10" ht="15.75" hidden="1" thickBot="1">
      <c r="F9216" s="294" t="s">
        <v>236</v>
      </c>
      <c r="G9216" s="297" t="s">
        <v>237</v>
      </c>
      <c r="J9216" s="639">
        <f t="shared" ref="J9216:J9230" si="287">SUM(H9216:I9216)</f>
        <v>0</v>
      </c>
    </row>
    <row r="9217" spans="5:10" ht="15.75" hidden="1" thickBot="1">
      <c r="F9217" s="294" t="s">
        <v>238</v>
      </c>
      <c r="G9217" s="297" t="s">
        <v>239</v>
      </c>
      <c r="J9217" s="639">
        <f t="shared" si="287"/>
        <v>0</v>
      </c>
    </row>
    <row r="9218" spans="5:10" ht="15.75" hidden="1" thickBot="1">
      <c r="F9218" s="294" t="s">
        <v>240</v>
      </c>
      <c r="G9218" s="297" t="s">
        <v>241</v>
      </c>
      <c r="J9218" s="639">
        <f t="shared" si="287"/>
        <v>0</v>
      </c>
    </row>
    <row r="9219" spans="5:10" ht="15.75" hidden="1" thickBot="1">
      <c r="F9219" s="294" t="s">
        <v>242</v>
      </c>
      <c r="G9219" s="297" t="s">
        <v>243</v>
      </c>
      <c r="J9219" s="639">
        <f t="shared" si="287"/>
        <v>0</v>
      </c>
    </row>
    <row r="9220" spans="5:10" ht="15.75" hidden="1" thickBot="1">
      <c r="F9220" s="294" t="s">
        <v>244</v>
      </c>
      <c r="G9220" s="297" t="s">
        <v>245</v>
      </c>
      <c r="J9220" s="639">
        <f t="shared" si="287"/>
        <v>0</v>
      </c>
    </row>
    <row r="9221" spans="5:10" ht="15.75" hidden="1" thickBot="1">
      <c r="F9221" s="294" t="s">
        <v>246</v>
      </c>
      <c r="G9221" s="683" t="s">
        <v>5121</v>
      </c>
      <c r="J9221" s="639">
        <f t="shared" si="287"/>
        <v>0</v>
      </c>
    </row>
    <row r="9222" spans="5:10" ht="15.75" hidden="1" thickBot="1">
      <c r="F9222" s="294" t="s">
        <v>247</v>
      </c>
      <c r="G9222" s="683" t="s">
        <v>5120</v>
      </c>
      <c r="J9222" s="639">
        <f t="shared" si="287"/>
        <v>0</v>
      </c>
    </row>
    <row r="9223" spans="5:10" ht="15.75" hidden="1" thickBot="1">
      <c r="F9223" s="294" t="s">
        <v>248</v>
      </c>
      <c r="G9223" s="297" t="s">
        <v>57</v>
      </c>
      <c r="J9223" s="639">
        <f t="shared" si="287"/>
        <v>0</v>
      </c>
    </row>
    <row r="9224" spans="5:10" ht="15.75" hidden="1" thickBot="1">
      <c r="F9224" s="294" t="s">
        <v>249</v>
      </c>
      <c r="G9224" s="297" t="s">
        <v>250</v>
      </c>
      <c r="J9224" s="639">
        <f t="shared" si="287"/>
        <v>0</v>
      </c>
    </row>
    <row r="9225" spans="5:10" ht="15.75" hidden="1" thickBot="1">
      <c r="F9225" s="294" t="s">
        <v>251</v>
      </c>
      <c r="G9225" s="297" t="s">
        <v>252</v>
      </c>
      <c r="J9225" s="639">
        <f t="shared" si="287"/>
        <v>0</v>
      </c>
    </row>
    <row r="9226" spans="5:10" ht="15.75" hidden="1" thickBot="1">
      <c r="F9226" s="294" t="s">
        <v>253</v>
      </c>
      <c r="G9226" s="297" t="s">
        <v>254</v>
      </c>
      <c r="J9226" s="639">
        <f t="shared" si="287"/>
        <v>0</v>
      </c>
    </row>
    <row r="9227" spans="5:10" ht="15.75" hidden="1" thickBot="1">
      <c r="F9227" s="294" t="s">
        <v>255</v>
      </c>
      <c r="G9227" s="297" t="s">
        <v>256</v>
      </c>
      <c r="J9227" s="639">
        <f t="shared" si="287"/>
        <v>0</v>
      </c>
    </row>
    <row r="9228" spans="5:10" ht="15.75" hidden="1" thickBot="1">
      <c r="F9228" s="294" t="s">
        <v>257</v>
      </c>
      <c r="G9228" s="297" t="s">
        <v>258</v>
      </c>
      <c r="J9228" s="639">
        <f t="shared" si="287"/>
        <v>0</v>
      </c>
    </row>
    <row r="9229" spans="5:10" ht="15.75" hidden="1" thickBot="1">
      <c r="F9229" s="294" t="s">
        <v>259</v>
      </c>
      <c r="G9229" s="297" t="s">
        <v>260</v>
      </c>
      <c r="J9229" s="639">
        <f t="shared" si="287"/>
        <v>0</v>
      </c>
    </row>
    <row r="9230" spans="5:10" ht="15.75" hidden="1" thickBot="1">
      <c r="F9230" s="294" t="s">
        <v>261</v>
      </c>
      <c r="G9230" s="297" t="s">
        <v>262</v>
      </c>
      <c r="H9230" s="638"/>
      <c r="I9230" s="639"/>
      <c r="J9230" s="639">
        <f t="shared" si="287"/>
        <v>0</v>
      </c>
    </row>
    <row r="9231" spans="5:10" ht="15.75" hidden="1" thickBot="1">
      <c r="G9231" s="274" t="s">
        <v>4366</v>
      </c>
      <c r="H9231" s="640">
        <f>SUM(H9215:H9230)</f>
        <v>0</v>
      </c>
      <c r="I9231" s="641">
        <f>SUM(I9216:I9230)</f>
        <v>0</v>
      </c>
      <c r="J9231" s="641">
        <f>SUM(J9215:J9230)</f>
        <v>0</v>
      </c>
    </row>
    <row r="9232" spans="5:10" hidden="1" collapsed="1">
      <c r="E9232" s="437"/>
      <c r="F9232" s="449"/>
      <c r="G9232" s="276" t="s">
        <v>5033</v>
      </c>
      <c r="H9232" s="642"/>
      <c r="I9232" s="663"/>
      <c r="J9232" s="643"/>
    </row>
    <row r="9233" spans="5:10" ht="15.75" hidden="1" thickBot="1">
      <c r="E9233" s="267"/>
      <c r="F9233" s="294" t="s">
        <v>234</v>
      </c>
      <c r="G9233" s="297" t="s">
        <v>235</v>
      </c>
      <c r="H9233" s="638">
        <f>SUM(H9154:H9213)</f>
        <v>0</v>
      </c>
      <c r="I9233" s="639"/>
      <c r="J9233" s="639">
        <f>SUM(H9233:I9233)</f>
        <v>0</v>
      </c>
    </row>
    <row r="9234" spans="5:10" ht="15.75" hidden="1" thickBot="1">
      <c r="F9234" s="294" t="s">
        <v>236</v>
      </c>
      <c r="G9234" s="297" t="s">
        <v>237</v>
      </c>
      <c r="J9234" s="639">
        <f t="shared" ref="J9234:J9248" si="288">SUM(H9234:I9234)</f>
        <v>0</v>
      </c>
    </row>
    <row r="9235" spans="5:10" ht="15.75" hidden="1" thickBot="1">
      <c r="F9235" s="294" t="s">
        <v>238</v>
      </c>
      <c r="G9235" s="297" t="s">
        <v>239</v>
      </c>
      <c r="J9235" s="639">
        <f t="shared" si="288"/>
        <v>0</v>
      </c>
    </row>
    <row r="9236" spans="5:10" ht="15.75" hidden="1" thickBot="1">
      <c r="F9236" s="294" t="s">
        <v>240</v>
      </c>
      <c r="G9236" s="297" t="s">
        <v>241</v>
      </c>
      <c r="J9236" s="639">
        <f t="shared" si="288"/>
        <v>0</v>
      </c>
    </row>
    <row r="9237" spans="5:10" ht="15.75" hidden="1" thickBot="1">
      <c r="F9237" s="294" t="s">
        <v>242</v>
      </c>
      <c r="G9237" s="297" t="s">
        <v>243</v>
      </c>
      <c r="J9237" s="639">
        <f t="shared" si="288"/>
        <v>0</v>
      </c>
    </row>
    <row r="9238" spans="5:10" ht="15.75" hidden="1" thickBot="1">
      <c r="F9238" s="294" t="s">
        <v>244</v>
      </c>
      <c r="G9238" s="297" t="s">
        <v>245</v>
      </c>
      <c r="J9238" s="639">
        <f t="shared" si="288"/>
        <v>0</v>
      </c>
    </row>
    <row r="9239" spans="5:10" ht="15.75" hidden="1" thickBot="1">
      <c r="F9239" s="294" t="s">
        <v>246</v>
      </c>
      <c r="G9239" s="683" t="s">
        <v>5121</v>
      </c>
      <c r="J9239" s="639">
        <f t="shared" si="288"/>
        <v>0</v>
      </c>
    </row>
    <row r="9240" spans="5:10" ht="15.75" hidden="1" thickBot="1">
      <c r="F9240" s="294" t="s">
        <v>247</v>
      </c>
      <c r="G9240" s="683" t="s">
        <v>5120</v>
      </c>
      <c r="J9240" s="639">
        <f t="shared" si="288"/>
        <v>0</v>
      </c>
    </row>
    <row r="9241" spans="5:10" ht="15.75" hidden="1" thickBot="1">
      <c r="F9241" s="294" t="s">
        <v>248</v>
      </c>
      <c r="G9241" s="297" t="s">
        <v>57</v>
      </c>
      <c r="J9241" s="639">
        <f t="shared" si="288"/>
        <v>0</v>
      </c>
    </row>
    <row r="9242" spans="5:10" ht="15.75" hidden="1" thickBot="1">
      <c r="F9242" s="294" t="s">
        <v>249</v>
      </c>
      <c r="G9242" s="297" t="s">
        <v>250</v>
      </c>
      <c r="J9242" s="639">
        <f t="shared" si="288"/>
        <v>0</v>
      </c>
    </row>
    <row r="9243" spans="5:10" ht="15.75" hidden="1" thickBot="1">
      <c r="F9243" s="294" t="s">
        <v>251</v>
      </c>
      <c r="G9243" s="297" t="s">
        <v>252</v>
      </c>
      <c r="J9243" s="639">
        <f t="shared" si="288"/>
        <v>0</v>
      </c>
    </row>
    <row r="9244" spans="5:10" ht="15.75" hidden="1" thickBot="1">
      <c r="F9244" s="294" t="s">
        <v>253</v>
      </c>
      <c r="G9244" s="297" t="s">
        <v>254</v>
      </c>
      <c r="J9244" s="639">
        <f t="shared" si="288"/>
        <v>0</v>
      </c>
    </row>
    <row r="9245" spans="5:10" ht="15.75" hidden="1" thickBot="1">
      <c r="F9245" s="294" t="s">
        <v>255</v>
      </c>
      <c r="G9245" s="297" t="s">
        <v>256</v>
      </c>
      <c r="J9245" s="639">
        <f t="shared" si="288"/>
        <v>0</v>
      </c>
    </row>
    <row r="9246" spans="5:10" ht="15.75" hidden="1" thickBot="1">
      <c r="F9246" s="294" t="s">
        <v>257</v>
      </c>
      <c r="G9246" s="297" t="s">
        <v>258</v>
      </c>
      <c r="J9246" s="639">
        <f t="shared" si="288"/>
        <v>0</v>
      </c>
    </row>
    <row r="9247" spans="5:10" ht="15.75" hidden="1" thickBot="1">
      <c r="F9247" s="294" t="s">
        <v>259</v>
      </c>
      <c r="G9247" s="297" t="s">
        <v>260</v>
      </c>
      <c r="J9247" s="639">
        <f t="shared" si="288"/>
        <v>0</v>
      </c>
    </row>
    <row r="9248" spans="5:10" ht="15.75" hidden="1" thickBot="1">
      <c r="F9248" s="294" t="s">
        <v>261</v>
      </c>
      <c r="G9248" s="297" t="s">
        <v>262</v>
      </c>
      <c r="H9248" s="638"/>
      <c r="I9248" s="639"/>
      <c r="J9248" s="639">
        <f t="shared" si="288"/>
        <v>0</v>
      </c>
    </row>
    <row r="9249" spans="5:10" ht="15.75" hidden="1" thickBot="1">
      <c r="G9249" s="274" t="s">
        <v>5034</v>
      </c>
      <c r="H9249" s="640">
        <f>SUM(H9233:H9248)</f>
        <v>0</v>
      </c>
      <c r="I9249" s="641">
        <f>SUM(I9234:I9248)</f>
        <v>0</v>
      </c>
      <c r="J9249" s="641">
        <f>SUM(J9233:J9248)</f>
        <v>0</v>
      </c>
    </row>
    <row r="9250" spans="5:10" hidden="1"/>
    <row r="9251" spans="5:10" hidden="1">
      <c r="E9251" s="437"/>
      <c r="F9251" s="449"/>
      <c r="G9251" s="295" t="s">
        <v>4255</v>
      </c>
      <c r="H9251" s="646"/>
      <c r="I9251" s="664"/>
      <c r="J9251" s="647"/>
    </row>
    <row r="9252" spans="5:10" ht="15.75" hidden="1" thickBot="1">
      <c r="E9252" s="267"/>
      <c r="F9252" s="294" t="s">
        <v>234</v>
      </c>
      <c r="G9252" s="297" t="s">
        <v>235</v>
      </c>
      <c r="H9252" s="638">
        <f>SUM(H9233,H9134,H9035,H8936,H8837)</f>
        <v>0</v>
      </c>
      <c r="I9252" s="639"/>
      <c r="J9252" s="639">
        <f>SUM(H9252:I9252)</f>
        <v>0</v>
      </c>
    </row>
    <row r="9253" spans="5:10" ht="15.75" hidden="1" thickBot="1">
      <c r="F9253" s="294" t="s">
        <v>236</v>
      </c>
      <c r="G9253" s="297" t="s">
        <v>237</v>
      </c>
      <c r="J9253" s="639">
        <f t="shared" ref="J9253:J9267" si="289">SUM(H9253:I9253)</f>
        <v>0</v>
      </c>
    </row>
    <row r="9254" spans="5:10" ht="15.75" hidden="1" thickBot="1">
      <c r="F9254" s="294" t="s">
        <v>238</v>
      </c>
      <c r="G9254" s="297" t="s">
        <v>239</v>
      </c>
      <c r="J9254" s="639">
        <f t="shared" si="289"/>
        <v>0</v>
      </c>
    </row>
    <row r="9255" spans="5:10" ht="15.75" hidden="1" thickBot="1">
      <c r="F9255" s="294" t="s">
        <v>240</v>
      </c>
      <c r="G9255" s="297" t="s">
        <v>241</v>
      </c>
      <c r="J9255" s="639">
        <f t="shared" si="289"/>
        <v>0</v>
      </c>
    </row>
    <row r="9256" spans="5:10" ht="15.75" hidden="1" thickBot="1">
      <c r="F9256" s="294" t="s">
        <v>242</v>
      </c>
      <c r="G9256" s="297" t="s">
        <v>243</v>
      </c>
      <c r="J9256" s="639">
        <f t="shared" si="289"/>
        <v>0</v>
      </c>
    </row>
    <row r="9257" spans="5:10" ht="15.75" hidden="1" thickBot="1">
      <c r="F9257" s="294" t="s">
        <v>244</v>
      </c>
      <c r="G9257" s="297" t="s">
        <v>245</v>
      </c>
      <c r="J9257" s="639">
        <f t="shared" si="289"/>
        <v>0</v>
      </c>
    </row>
    <row r="9258" spans="5:10" ht="15.75" hidden="1" thickBot="1">
      <c r="F9258" s="294" t="s">
        <v>246</v>
      </c>
      <c r="G9258" s="683" t="s">
        <v>5121</v>
      </c>
      <c r="J9258" s="639">
        <f t="shared" si="289"/>
        <v>0</v>
      </c>
    </row>
    <row r="9259" spans="5:10" ht="15.75" hidden="1" thickBot="1">
      <c r="F9259" s="294" t="s">
        <v>247</v>
      </c>
      <c r="G9259" s="683" t="s">
        <v>5120</v>
      </c>
      <c r="J9259" s="639">
        <f t="shared" si="289"/>
        <v>0</v>
      </c>
    </row>
    <row r="9260" spans="5:10" ht="15.75" hidden="1" thickBot="1">
      <c r="F9260" s="294" t="s">
        <v>248</v>
      </c>
      <c r="G9260" s="297" t="s">
        <v>57</v>
      </c>
      <c r="J9260" s="639">
        <f t="shared" si="289"/>
        <v>0</v>
      </c>
    </row>
    <row r="9261" spans="5:10" ht="15.75" hidden="1" thickBot="1">
      <c r="F9261" s="294" t="s">
        <v>249</v>
      </c>
      <c r="G9261" s="297" t="s">
        <v>250</v>
      </c>
      <c r="J9261" s="639">
        <f t="shared" si="289"/>
        <v>0</v>
      </c>
    </row>
    <row r="9262" spans="5:10" ht="15.75" hidden="1" thickBot="1">
      <c r="F9262" s="294" t="s">
        <v>251</v>
      </c>
      <c r="G9262" s="297" t="s">
        <v>252</v>
      </c>
      <c r="J9262" s="639">
        <f t="shared" si="289"/>
        <v>0</v>
      </c>
    </row>
    <row r="9263" spans="5:10" ht="15.75" hidden="1" thickBot="1">
      <c r="F9263" s="294" t="s">
        <v>253</v>
      </c>
      <c r="G9263" s="297" t="s">
        <v>254</v>
      </c>
      <c r="J9263" s="639">
        <f t="shared" si="289"/>
        <v>0</v>
      </c>
    </row>
    <row r="9264" spans="5:10" ht="15.75" hidden="1" thickBot="1">
      <c r="F9264" s="294" t="s">
        <v>255</v>
      </c>
      <c r="G9264" s="297" t="s">
        <v>256</v>
      </c>
      <c r="J9264" s="639">
        <f t="shared" si="289"/>
        <v>0</v>
      </c>
    </row>
    <row r="9265" spans="5:10" ht="15.75" hidden="1" thickBot="1">
      <c r="F9265" s="294" t="s">
        <v>257</v>
      </c>
      <c r="G9265" s="297" t="s">
        <v>258</v>
      </c>
      <c r="J9265" s="639">
        <f t="shared" si="289"/>
        <v>0</v>
      </c>
    </row>
    <row r="9266" spans="5:10" ht="15.75" hidden="1" thickBot="1">
      <c r="F9266" s="294" t="s">
        <v>259</v>
      </c>
      <c r="G9266" s="297" t="s">
        <v>260</v>
      </c>
      <c r="J9266" s="639">
        <f t="shared" si="289"/>
        <v>0</v>
      </c>
    </row>
    <row r="9267" spans="5:10" ht="15.75" hidden="1" thickBot="1">
      <c r="F9267" s="294" t="s">
        <v>261</v>
      </c>
      <c r="G9267" s="297" t="s">
        <v>262</v>
      </c>
      <c r="H9267" s="638"/>
      <c r="I9267" s="639"/>
      <c r="J9267" s="639">
        <f t="shared" si="289"/>
        <v>0</v>
      </c>
    </row>
    <row r="9268" spans="5:10" ht="15.75" hidden="1" thickBot="1">
      <c r="G9268" s="274" t="s">
        <v>4256</v>
      </c>
      <c r="H9268" s="640">
        <f>SUM(H9252:H9267)</f>
        <v>0</v>
      </c>
      <c r="I9268" s="641">
        <f>SUM(I9253:I9267)</f>
        <v>0</v>
      </c>
      <c r="J9268" s="641">
        <f>SUM(J9252:J9267)</f>
        <v>0</v>
      </c>
    </row>
    <row r="9269" spans="5:10" hidden="1"/>
    <row r="9270" spans="5:10" hidden="1">
      <c r="E9270" s="437"/>
      <c r="F9270" s="449"/>
      <c r="G9270" s="295" t="s">
        <v>4436</v>
      </c>
      <c r="H9270" s="646"/>
      <c r="I9270" s="664"/>
      <c r="J9270" s="647"/>
    </row>
    <row r="9271" spans="5:10" ht="15.75" hidden="1" thickBot="1">
      <c r="E9271" s="267"/>
      <c r="F9271" s="294" t="s">
        <v>234</v>
      </c>
      <c r="G9271" s="297" t="s">
        <v>235</v>
      </c>
      <c r="H9271" s="638">
        <f>SUM(H9252,H8736,H7922)</f>
        <v>66230000</v>
      </c>
      <c r="I9271" s="639"/>
      <c r="J9271" s="639">
        <f>SUM(H9271:I9271)</f>
        <v>66230000</v>
      </c>
    </row>
    <row r="9272" spans="5:10" ht="15.75" hidden="1" thickBot="1">
      <c r="F9272" s="294" t="s">
        <v>236</v>
      </c>
      <c r="G9272" s="297" t="s">
        <v>237</v>
      </c>
      <c r="J9272" s="639">
        <f t="shared" ref="J9272:J9286" si="290">SUM(H9272:I9272)</f>
        <v>0</v>
      </c>
    </row>
    <row r="9273" spans="5:10" ht="15.75" hidden="1" thickBot="1">
      <c r="F9273" s="294" t="s">
        <v>238</v>
      </c>
      <c r="G9273" s="297" t="s">
        <v>239</v>
      </c>
      <c r="J9273" s="639">
        <f t="shared" si="290"/>
        <v>0</v>
      </c>
    </row>
    <row r="9274" spans="5:10" ht="15.75" hidden="1" thickBot="1">
      <c r="F9274" s="294" t="s">
        <v>240</v>
      </c>
      <c r="G9274" s="297" t="s">
        <v>241</v>
      </c>
      <c r="J9274" s="639">
        <f t="shared" si="290"/>
        <v>0</v>
      </c>
    </row>
    <row r="9275" spans="5:10" ht="15.75" hidden="1" thickBot="1">
      <c r="F9275" s="294" t="s">
        <v>242</v>
      </c>
      <c r="G9275" s="297" t="s">
        <v>243</v>
      </c>
      <c r="J9275" s="639">
        <f t="shared" si="290"/>
        <v>0</v>
      </c>
    </row>
    <row r="9276" spans="5:10" ht="15.75" hidden="1" thickBot="1">
      <c r="F9276" s="294" t="s">
        <v>244</v>
      </c>
      <c r="G9276" s="297" t="s">
        <v>245</v>
      </c>
      <c r="J9276" s="639">
        <f t="shared" si="290"/>
        <v>0</v>
      </c>
    </row>
    <row r="9277" spans="5:10" ht="15.75" hidden="1" thickBot="1">
      <c r="F9277" s="294" t="s">
        <v>246</v>
      </c>
      <c r="G9277" s="683" t="s">
        <v>5121</v>
      </c>
      <c r="J9277" s="639">
        <f t="shared" si="290"/>
        <v>0</v>
      </c>
    </row>
    <row r="9278" spans="5:10" ht="15.75" hidden="1" thickBot="1">
      <c r="F9278" s="294" t="s">
        <v>247</v>
      </c>
      <c r="G9278" s="683" t="s">
        <v>5120</v>
      </c>
      <c r="J9278" s="639">
        <f t="shared" si="290"/>
        <v>0</v>
      </c>
    </row>
    <row r="9279" spans="5:10" ht="15.75" hidden="1" thickBot="1">
      <c r="F9279" s="294" t="s">
        <v>248</v>
      </c>
      <c r="G9279" s="297" t="s">
        <v>57</v>
      </c>
      <c r="J9279" s="639">
        <f t="shared" si="290"/>
        <v>0</v>
      </c>
    </row>
    <row r="9280" spans="5:10" ht="15.75" hidden="1" thickBot="1">
      <c r="F9280" s="294" t="s">
        <v>249</v>
      </c>
      <c r="G9280" s="297" t="s">
        <v>250</v>
      </c>
      <c r="J9280" s="639">
        <f t="shared" si="290"/>
        <v>0</v>
      </c>
    </row>
    <row r="9281" spans="1:10" ht="15.75" hidden="1" thickBot="1">
      <c r="F9281" s="294" t="s">
        <v>251</v>
      </c>
      <c r="G9281" s="297" t="s">
        <v>252</v>
      </c>
      <c r="J9281" s="639">
        <f t="shared" si="290"/>
        <v>0</v>
      </c>
    </row>
    <row r="9282" spans="1:10" ht="15.75" hidden="1" thickBot="1">
      <c r="F9282" s="294" t="s">
        <v>253</v>
      </c>
      <c r="G9282" s="297" t="s">
        <v>254</v>
      </c>
      <c r="J9282" s="639">
        <f t="shared" si="290"/>
        <v>0</v>
      </c>
    </row>
    <row r="9283" spans="1:10" ht="15.75" hidden="1" thickBot="1">
      <c r="F9283" s="294" t="s">
        <v>255</v>
      </c>
      <c r="G9283" s="297" t="s">
        <v>256</v>
      </c>
      <c r="J9283" s="639">
        <f t="shared" si="290"/>
        <v>0</v>
      </c>
    </row>
    <row r="9284" spans="1:10" ht="15.75" hidden="1" thickBot="1">
      <c r="F9284" s="294" t="s">
        <v>257</v>
      </c>
      <c r="G9284" s="297" t="s">
        <v>258</v>
      </c>
      <c r="J9284" s="639">
        <f t="shared" si="290"/>
        <v>0</v>
      </c>
    </row>
    <row r="9285" spans="1:10" ht="15.75" hidden="1" thickBot="1">
      <c r="F9285" s="294" t="s">
        <v>259</v>
      </c>
      <c r="G9285" s="297" t="s">
        <v>260</v>
      </c>
      <c r="J9285" s="639">
        <f t="shared" si="290"/>
        <v>0</v>
      </c>
    </row>
    <row r="9286" spans="1:10" ht="15.75" hidden="1" thickBot="1">
      <c r="F9286" s="294" t="s">
        <v>261</v>
      </c>
      <c r="G9286" s="297" t="s">
        <v>262</v>
      </c>
      <c r="H9286" s="638"/>
      <c r="I9286" s="639"/>
      <c r="J9286" s="639">
        <f t="shared" si="290"/>
        <v>0</v>
      </c>
    </row>
    <row r="9287" spans="1:10" ht="15.75" hidden="1" thickBot="1">
      <c r="G9287" s="274" t="s">
        <v>4437</v>
      </c>
      <c r="H9287" s="640">
        <f>SUM(H9271:H9286)</f>
        <v>66230000</v>
      </c>
      <c r="I9287" s="641">
        <f>SUM(I9272:I9286)</f>
        <v>0</v>
      </c>
      <c r="J9287" s="641">
        <f>SUM(J9271:J9286)</f>
        <v>66230000</v>
      </c>
    </row>
    <row r="9288" spans="1:10" hidden="1"/>
    <row r="9289" spans="1:10" hidden="1"/>
    <row r="9290" spans="1:10" hidden="1">
      <c r="A9290" s="440">
        <v>4</v>
      </c>
      <c r="B9290" s="450">
        <v>8</v>
      </c>
      <c r="C9290" s="440"/>
      <c r="D9290" s="441"/>
      <c r="E9290" s="445"/>
      <c r="F9290" s="445"/>
      <c r="G9290" s="446" t="s">
        <v>4320</v>
      </c>
      <c r="H9290" s="665"/>
      <c r="I9290" s="671"/>
      <c r="J9290" s="657"/>
    </row>
    <row r="9291" spans="1:10" hidden="1">
      <c r="C9291" s="273" t="s">
        <v>3594</v>
      </c>
      <c r="G9291" s="472" t="s">
        <v>4321</v>
      </c>
    </row>
    <row r="9292" spans="1:10" hidden="1">
      <c r="C9292" s="273" t="s">
        <v>4129</v>
      </c>
      <c r="D9292" s="264"/>
      <c r="G9292" s="480" t="s">
        <v>4322</v>
      </c>
    </row>
    <row r="9293" spans="1:10" hidden="1">
      <c r="C9293" s="273"/>
      <c r="D9293" s="357">
        <v>820</v>
      </c>
      <c r="E9293" s="357"/>
      <c r="F9293" s="357"/>
      <c r="G9293" s="358" t="s">
        <v>207</v>
      </c>
    </row>
    <row r="9294" spans="1:10" hidden="1">
      <c r="F9294" s="476">
        <v>411</v>
      </c>
      <c r="G9294" s="473" t="s">
        <v>4173</v>
      </c>
      <c r="J9294" s="635">
        <f>SUM(H9294:I9294)</f>
        <v>0</v>
      </c>
    </row>
    <row r="9295" spans="1:10" hidden="1">
      <c r="F9295" s="476">
        <v>412</v>
      </c>
      <c r="G9295" s="470" t="s">
        <v>3770</v>
      </c>
      <c r="J9295" s="635">
        <f t="shared" ref="J9295:J9353" si="291">SUM(H9295:I9295)</f>
        <v>0</v>
      </c>
    </row>
    <row r="9296" spans="1:10" hidden="1">
      <c r="F9296" s="476">
        <v>413</v>
      </c>
      <c r="G9296" s="473" t="s">
        <v>4174</v>
      </c>
      <c r="J9296" s="635">
        <f t="shared" si="291"/>
        <v>0</v>
      </c>
    </row>
    <row r="9297" spans="6:10" hidden="1">
      <c r="F9297" s="476">
        <v>414</v>
      </c>
      <c r="G9297" s="473" t="s">
        <v>3773</v>
      </c>
      <c r="J9297" s="635">
        <f t="shared" si="291"/>
        <v>0</v>
      </c>
    </row>
    <row r="9298" spans="6:10" hidden="1">
      <c r="F9298" s="476">
        <v>415</v>
      </c>
      <c r="G9298" s="473" t="s">
        <v>4183</v>
      </c>
      <c r="J9298" s="635">
        <f t="shared" si="291"/>
        <v>0</v>
      </c>
    </row>
    <row r="9299" spans="6:10" hidden="1">
      <c r="F9299" s="476">
        <v>416</v>
      </c>
      <c r="G9299" s="473" t="s">
        <v>4184</v>
      </c>
      <c r="J9299" s="635">
        <f t="shared" si="291"/>
        <v>0</v>
      </c>
    </row>
    <row r="9300" spans="6:10" hidden="1">
      <c r="F9300" s="476">
        <v>417</v>
      </c>
      <c r="G9300" s="473" t="s">
        <v>4185</v>
      </c>
      <c r="J9300" s="635">
        <f t="shared" si="291"/>
        <v>0</v>
      </c>
    </row>
    <row r="9301" spans="6:10" hidden="1">
      <c r="F9301" s="476">
        <v>418</v>
      </c>
      <c r="G9301" s="473" t="s">
        <v>3779</v>
      </c>
      <c r="J9301" s="635">
        <f t="shared" si="291"/>
        <v>0</v>
      </c>
    </row>
    <row r="9302" spans="6:10" hidden="1">
      <c r="F9302" s="476">
        <v>421</v>
      </c>
      <c r="G9302" s="473" t="s">
        <v>3783</v>
      </c>
      <c r="J9302" s="635">
        <f t="shared" si="291"/>
        <v>0</v>
      </c>
    </row>
    <row r="9303" spans="6:10" hidden="1">
      <c r="F9303" s="476">
        <v>422</v>
      </c>
      <c r="G9303" s="473" t="s">
        <v>3784</v>
      </c>
      <c r="J9303" s="635">
        <f t="shared" si="291"/>
        <v>0</v>
      </c>
    </row>
    <row r="9304" spans="6:10" hidden="1">
      <c r="F9304" s="476">
        <v>423</v>
      </c>
      <c r="G9304" s="473" t="s">
        <v>3785</v>
      </c>
      <c r="J9304" s="635">
        <f t="shared" si="291"/>
        <v>0</v>
      </c>
    </row>
    <row r="9305" spans="6:10" hidden="1">
      <c r="F9305" s="476">
        <v>424</v>
      </c>
      <c r="G9305" s="473" t="s">
        <v>3787</v>
      </c>
      <c r="J9305" s="635">
        <f t="shared" si="291"/>
        <v>0</v>
      </c>
    </row>
    <row r="9306" spans="6:10" hidden="1">
      <c r="F9306" s="476">
        <v>425</v>
      </c>
      <c r="G9306" s="473" t="s">
        <v>4186</v>
      </c>
      <c r="J9306" s="635">
        <f t="shared" si="291"/>
        <v>0</v>
      </c>
    </row>
    <row r="9307" spans="6:10" hidden="1">
      <c r="F9307" s="476">
        <v>426</v>
      </c>
      <c r="G9307" s="473" t="s">
        <v>3791</v>
      </c>
      <c r="J9307" s="635">
        <f t="shared" si="291"/>
        <v>0</v>
      </c>
    </row>
    <row r="9308" spans="6:10" hidden="1">
      <c r="F9308" s="476">
        <v>431</v>
      </c>
      <c r="G9308" s="473" t="s">
        <v>4187</v>
      </c>
      <c r="J9308" s="635">
        <f t="shared" si="291"/>
        <v>0</v>
      </c>
    </row>
    <row r="9309" spans="6:10" hidden="1">
      <c r="F9309" s="476">
        <v>432</v>
      </c>
      <c r="G9309" s="473" t="s">
        <v>4188</v>
      </c>
      <c r="J9309" s="635">
        <f t="shared" si="291"/>
        <v>0</v>
      </c>
    </row>
    <row r="9310" spans="6:10" hidden="1">
      <c r="F9310" s="476">
        <v>433</v>
      </c>
      <c r="G9310" s="473" t="s">
        <v>4189</v>
      </c>
      <c r="J9310" s="635">
        <f t="shared" si="291"/>
        <v>0</v>
      </c>
    </row>
    <row r="9311" spans="6:10" hidden="1">
      <c r="F9311" s="476">
        <v>434</v>
      </c>
      <c r="G9311" s="473" t="s">
        <v>4190</v>
      </c>
      <c r="J9311" s="635">
        <f t="shared" si="291"/>
        <v>0</v>
      </c>
    </row>
    <row r="9312" spans="6:10" hidden="1">
      <c r="F9312" s="476">
        <v>435</v>
      </c>
      <c r="G9312" s="473" t="s">
        <v>3798</v>
      </c>
      <c r="J9312" s="635">
        <f t="shared" si="291"/>
        <v>0</v>
      </c>
    </row>
    <row r="9313" spans="6:10" hidden="1">
      <c r="F9313" s="476">
        <v>441</v>
      </c>
      <c r="G9313" s="473" t="s">
        <v>4191</v>
      </c>
      <c r="J9313" s="635">
        <f t="shared" si="291"/>
        <v>0</v>
      </c>
    </row>
    <row r="9314" spans="6:10" hidden="1">
      <c r="F9314" s="476">
        <v>442</v>
      </c>
      <c r="G9314" s="473" t="s">
        <v>4192</v>
      </c>
      <c r="J9314" s="635">
        <f t="shared" si="291"/>
        <v>0</v>
      </c>
    </row>
    <row r="9315" spans="6:10" hidden="1">
      <c r="F9315" s="476">
        <v>443</v>
      </c>
      <c r="G9315" s="473" t="s">
        <v>3803</v>
      </c>
      <c r="J9315" s="635">
        <f t="shared" si="291"/>
        <v>0</v>
      </c>
    </row>
    <row r="9316" spans="6:10" hidden="1">
      <c r="F9316" s="476">
        <v>444</v>
      </c>
      <c r="G9316" s="473" t="s">
        <v>3804</v>
      </c>
      <c r="J9316" s="635">
        <f t="shared" si="291"/>
        <v>0</v>
      </c>
    </row>
    <row r="9317" spans="6:10" ht="30" hidden="1">
      <c r="F9317" s="476">
        <v>4511</v>
      </c>
      <c r="G9317" s="268" t="s">
        <v>1690</v>
      </c>
      <c r="J9317" s="635">
        <f t="shared" si="291"/>
        <v>0</v>
      </c>
    </row>
    <row r="9318" spans="6:10" ht="19.5" hidden="1" customHeight="1">
      <c r="F9318" s="476">
        <v>4512</v>
      </c>
      <c r="G9318" s="268" t="s">
        <v>1699</v>
      </c>
      <c r="J9318" s="635">
        <f t="shared" si="291"/>
        <v>0</v>
      </c>
    </row>
    <row r="9319" spans="6:10" hidden="1">
      <c r="F9319" s="476">
        <v>452</v>
      </c>
      <c r="G9319" s="473" t="s">
        <v>4193</v>
      </c>
      <c r="J9319" s="635">
        <f t="shared" si="291"/>
        <v>0</v>
      </c>
    </row>
    <row r="9320" spans="6:10" hidden="1">
      <c r="F9320" s="476">
        <v>453</v>
      </c>
      <c r="G9320" s="473" t="s">
        <v>4194</v>
      </c>
      <c r="J9320" s="635">
        <f t="shared" si="291"/>
        <v>0</v>
      </c>
    </row>
    <row r="9321" spans="6:10" hidden="1">
      <c r="F9321" s="476">
        <v>454</v>
      </c>
      <c r="G9321" s="473" t="s">
        <v>3809</v>
      </c>
      <c r="J9321" s="635">
        <f t="shared" si="291"/>
        <v>0</v>
      </c>
    </row>
    <row r="9322" spans="6:10" hidden="1">
      <c r="F9322" s="476">
        <v>461</v>
      </c>
      <c r="G9322" s="473" t="s">
        <v>4175</v>
      </c>
      <c r="J9322" s="635">
        <f t="shared" si="291"/>
        <v>0</v>
      </c>
    </row>
    <row r="9323" spans="6:10" hidden="1">
      <c r="F9323" s="476">
        <v>462</v>
      </c>
      <c r="G9323" s="473" t="s">
        <v>3812</v>
      </c>
      <c r="J9323" s="635">
        <f t="shared" si="291"/>
        <v>0</v>
      </c>
    </row>
    <row r="9324" spans="6:10" hidden="1">
      <c r="F9324" s="476">
        <v>4631</v>
      </c>
      <c r="G9324" s="473" t="s">
        <v>3813</v>
      </c>
      <c r="J9324" s="635">
        <f t="shared" si="291"/>
        <v>0</v>
      </c>
    </row>
    <row r="9325" spans="6:10" hidden="1">
      <c r="F9325" s="476">
        <v>4632</v>
      </c>
      <c r="G9325" s="473" t="s">
        <v>3814</v>
      </c>
      <c r="J9325" s="635">
        <f t="shared" si="291"/>
        <v>0</v>
      </c>
    </row>
    <row r="9326" spans="6:10" hidden="1">
      <c r="F9326" s="476">
        <v>464</v>
      </c>
      <c r="G9326" s="473" t="s">
        <v>3815</v>
      </c>
      <c r="J9326" s="635">
        <f t="shared" si="291"/>
        <v>0</v>
      </c>
    </row>
    <row r="9327" spans="6:10" hidden="1">
      <c r="F9327" s="476">
        <v>465</v>
      </c>
      <c r="G9327" s="473" t="s">
        <v>4176</v>
      </c>
      <c r="J9327" s="635">
        <f t="shared" si="291"/>
        <v>0</v>
      </c>
    </row>
    <row r="9328" spans="6:10" hidden="1">
      <c r="F9328" s="476">
        <v>472</v>
      </c>
      <c r="G9328" s="473" t="s">
        <v>3819</v>
      </c>
      <c r="J9328" s="635">
        <f t="shared" si="291"/>
        <v>0</v>
      </c>
    </row>
    <row r="9329" spans="6:10" hidden="1">
      <c r="F9329" s="476">
        <v>481</v>
      </c>
      <c r="G9329" s="473" t="s">
        <v>4195</v>
      </c>
      <c r="J9329" s="635">
        <f t="shared" si="291"/>
        <v>0</v>
      </c>
    </row>
    <row r="9330" spans="6:10" hidden="1">
      <c r="F9330" s="476">
        <v>482</v>
      </c>
      <c r="G9330" s="473" t="s">
        <v>4196</v>
      </c>
      <c r="J9330" s="635">
        <f t="shared" si="291"/>
        <v>0</v>
      </c>
    </row>
    <row r="9331" spans="6:10" hidden="1">
      <c r="F9331" s="476">
        <v>483</v>
      </c>
      <c r="G9331" s="474" t="s">
        <v>4197</v>
      </c>
      <c r="J9331" s="635">
        <f t="shared" si="291"/>
        <v>0</v>
      </c>
    </row>
    <row r="9332" spans="6:10" ht="30" hidden="1">
      <c r="F9332" s="476">
        <v>484</v>
      </c>
      <c r="G9332" s="473" t="s">
        <v>4198</v>
      </c>
      <c r="J9332" s="635">
        <f t="shared" si="291"/>
        <v>0</v>
      </c>
    </row>
    <row r="9333" spans="6:10" ht="30" hidden="1">
      <c r="F9333" s="476">
        <v>485</v>
      </c>
      <c r="G9333" s="473" t="s">
        <v>4199</v>
      </c>
      <c r="J9333" s="635">
        <f t="shared" si="291"/>
        <v>0</v>
      </c>
    </row>
    <row r="9334" spans="6:10" ht="30" hidden="1">
      <c r="F9334" s="476">
        <v>489</v>
      </c>
      <c r="G9334" s="473" t="s">
        <v>3827</v>
      </c>
      <c r="J9334" s="635">
        <f t="shared" si="291"/>
        <v>0</v>
      </c>
    </row>
    <row r="9335" spans="6:10" hidden="1">
      <c r="F9335" s="476">
        <v>494</v>
      </c>
      <c r="G9335" s="473" t="s">
        <v>4177</v>
      </c>
      <c r="J9335" s="635">
        <f t="shared" si="291"/>
        <v>0</v>
      </c>
    </row>
    <row r="9336" spans="6:10" ht="30" hidden="1">
      <c r="F9336" s="476">
        <v>495</v>
      </c>
      <c r="G9336" s="473" t="s">
        <v>4178</v>
      </c>
      <c r="J9336" s="635">
        <f t="shared" si="291"/>
        <v>0</v>
      </c>
    </row>
    <row r="9337" spans="6:10" ht="30" hidden="1">
      <c r="F9337" s="476">
        <v>496</v>
      </c>
      <c r="G9337" s="473" t="s">
        <v>4179</v>
      </c>
      <c r="J9337" s="635">
        <f t="shared" si="291"/>
        <v>0</v>
      </c>
    </row>
    <row r="9338" spans="6:10" hidden="1">
      <c r="F9338" s="476">
        <v>499</v>
      </c>
      <c r="G9338" s="473" t="s">
        <v>4180</v>
      </c>
      <c r="J9338" s="635">
        <f t="shared" si="291"/>
        <v>0</v>
      </c>
    </row>
    <row r="9339" spans="6:10" hidden="1">
      <c r="F9339" s="476">
        <v>511</v>
      </c>
      <c r="G9339" s="474" t="s">
        <v>4200</v>
      </c>
      <c r="J9339" s="635">
        <f t="shared" si="291"/>
        <v>0</v>
      </c>
    </row>
    <row r="9340" spans="6:10" hidden="1">
      <c r="F9340" s="476">
        <v>512</v>
      </c>
      <c r="G9340" s="474" t="s">
        <v>4201</v>
      </c>
      <c r="J9340" s="635">
        <f t="shared" si="291"/>
        <v>0</v>
      </c>
    </row>
    <row r="9341" spans="6:10" hidden="1">
      <c r="F9341" s="476">
        <v>513</v>
      </c>
      <c r="G9341" s="474" t="s">
        <v>4202</v>
      </c>
      <c r="J9341" s="635">
        <f t="shared" si="291"/>
        <v>0</v>
      </c>
    </row>
    <row r="9342" spans="6:10" hidden="1">
      <c r="F9342" s="476">
        <v>514</v>
      </c>
      <c r="G9342" s="473" t="s">
        <v>4203</v>
      </c>
      <c r="J9342" s="635">
        <f t="shared" si="291"/>
        <v>0</v>
      </c>
    </row>
    <row r="9343" spans="6:10" hidden="1">
      <c r="F9343" s="476">
        <v>515</v>
      </c>
      <c r="G9343" s="473" t="s">
        <v>3838</v>
      </c>
      <c r="J9343" s="635">
        <f t="shared" si="291"/>
        <v>0</v>
      </c>
    </row>
    <row r="9344" spans="6:10" hidden="1">
      <c r="F9344" s="476">
        <v>521</v>
      </c>
      <c r="G9344" s="473" t="s">
        <v>4204</v>
      </c>
      <c r="J9344" s="635">
        <f t="shared" si="291"/>
        <v>0</v>
      </c>
    </row>
    <row r="9345" spans="5:10" hidden="1">
      <c r="F9345" s="476">
        <v>522</v>
      </c>
      <c r="G9345" s="473" t="s">
        <v>4205</v>
      </c>
      <c r="J9345" s="635">
        <f t="shared" si="291"/>
        <v>0</v>
      </c>
    </row>
    <row r="9346" spans="5:10" hidden="1">
      <c r="F9346" s="476">
        <v>523</v>
      </c>
      <c r="G9346" s="473" t="s">
        <v>3843</v>
      </c>
      <c r="J9346" s="635">
        <f t="shared" si="291"/>
        <v>0</v>
      </c>
    </row>
    <row r="9347" spans="5:10" hidden="1">
      <c r="F9347" s="476">
        <v>531</v>
      </c>
      <c r="G9347" s="470" t="s">
        <v>4181</v>
      </c>
      <c r="J9347" s="635">
        <f t="shared" si="291"/>
        <v>0</v>
      </c>
    </row>
    <row r="9348" spans="5:10" hidden="1">
      <c r="F9348" s="476">
        <v>541</v>
      </c>
      <c r="G9348" s="473" t="s">
        <v>4206</v>
      </c>
      <c r="J9348" s="635">
        <f t="shared" si="291"/>
        <v>0</v>
      </c>
    </row>
    <row r="9349" spans="5:10" hidden="1">
      <c r="F9349" s="476">
        <v>542</v>
      </c>
      <c r="G9349" s="473" t="s">
        <v>4207</v>
      </c>
      <c r="J9349" s="635">
        <f t="shared" si="291"/>
        <v>0</v>
      </c>
    </row>
    <row r="9350" spans="5:10" hidden="1">
      <c r="F9350" s="476">
        <v>543</v>
      </c>
      <c r="G9350" s="473" t="s">
        <v>3848</v>
      </c>
      <c r="J9350" s="635">
        <f t="shared" si="291"/>
        <v>0</v>
      </c>
    </row>
    <row r="9351" spans="5:10" ht="30" hidden="1">
      <c r="F9351" s="476">
        <v>551</v>
      </c>
      <c r="G9351" s="473" t="s">
        <v>4182</v>
      </c>
      <c r="J9351" s="635">
        <f t="shared" si="291"/>
        <v>0</v>
      </c>
    </row>
    <row r="9352" spans="5:10" hidden="1">
      <c r="F9352" s="477">
        <v>611</v>
      </c>
      <c r="G9352" s="475" t="s">
        <v>3854</v>
      </c>
      <c r="H9352" s="638"/>
      <c r="J9352" s="635">
        <f t="shared" si="291"/>
        <v>0</v>
      </c>
    </row>
    <row r="9353" spans="5:10" hidden="1">
      <c r="F9353" s="477">
        <v>620</v>
      </c>
      <c r="G9353" s="475" t="s">
        <v>88</v>
      </c>
      <c r="H9353" s="638"/>
      <c r="J9353" s="635">
        <f t="shared" si="291"/>
        <v>0</v>
      </c>
    </row>
    <row r="9354" spans="5:10" hidden="1">
      <c r="E9354" s="471"/>
      <c r="F9354" s="477"/>
      <c r="G9354" s="372" t="s">
        <v>4439</v>
      </c>
      <c r="H9354" s="636"/>
      <c r="I9354" s="662"/>
      <c r="J9354" s="637"/>
    </row>
    <row r="9355" spans="5:10" hidden="1">
      <c r="E9355" s="267"/>
      <c r="F9355" s="294" t="s">
        <v>234</v>
      </c>
      <c r="G9355" s="297" t="s">
        <v>235</v>
      </c>
      <c r="H9355" s="638">
        <f>SUM(H9294:H9353)</f>
        <v>0</v>
      </c>
      <c r="I9355" s="639"/>
      <c r="J9355" s="639">
        <f t="shared" ref="J9355:J9370" si="292">SUM(H9355:I9355)</f>
        <v>0</v>
      </c>
    </row>
    <row r="9356" spans="5:10" hidden="1">
      <c r="F9356" s="294" t="s">
        <v>236</v>
      </c>
      <c r="G9356" s="297" t="s">
        <v>237</v>
      </c>
      <c r="J9356" s="639">
        <f t="shared" si="292"/>
        <v>0</v>
      </c>
    </row>
    <row r="9357" spans="5:10" hidden="1">
      <c r="F9357" s="294" t="s">
        <v>238</v>
      </c>
      <c r="G9357" s="297" t="s">
        <v>239</v>
      </c>
      <c r="J9357" s="639">
        <f t="shared" si="292"/>
        <v>0</v>
      </c>
    </row>
    <row r="9358" spans="5:10" hidden="1">
      <c r="F9358" s="294" t="s">
        <v>240</v>
      </c>
      <c r="G9358" s="297" t="s">
        <v>241</v>
      </c>
      <c r="J9358" s="639">
        <f t="shared" si="292"/>
        <v>0</v>
      </c>
    </row>
    <row r="9359" spans="5:10" hidden="1">
      <c r="F9359" s="294" t="s">
        <v>242</v>
      </c>
      <c r="G9359" s="297" t="s">
        <v>243</v>
      </c>
      <c r="J9359" s="639">
        <f t="shared" si="292"/>
        <v>0</v>
      </c>
    </row>
    <row r="9360" spans="5:10" hidden="1">
      <c r="F9360" s="294" t="s">
        <v>244</v>
      </c>
      <c r="G9360" s="297" t="s">
        <v>245</v>
      </c>
      <c r="J9360" s="639">
        <f t="shared" si="292"/>
        <v>0</v>
      </c>
    </row>
    <row r="9361" spans="5:10" hidden="1">
      <c r="F9361" s="294" t="s">
        <v>246</v>
      </c>
      <c r="G9361" s="683" t="s">
        <v>5121</v>
      </c>
      <c r="J9361" s="639">
        <f t="shared" si="292"/>
        <v>0</v>
      </c>
    </row>
    <row r="9362" spans="5:10" hidden="1">
      <c r="F9362" s="294" t="s">
        <v>247</v>
      </c>
      <c r="G9362" s="683" t="s">
        <v>5120</v>
      </c>
      <c r="J9362" s="639">
        <f t="shared" si="292"/>
        <v>0</v>
      </c>
    </row>
    <row r="9363" spans="5:10" hidden="1">
      <c r="F9363" s="294" t="s">
        <v>248</v>
      </c>
      <c r="G9363" s="297" t="s">
        <v>57</v>
      </c>
      <c r="J9363" s="639">
        <f t="shared" si="292"/>
        <v>0</v>
      </c>
    </row>
    <row r="9364" spans="5:10" hidden="1">
      <c r="F9364" s="294" t="s">
        <v>249</v>
      </c>
      <c r="G9364" s="297" t="s">
        <v>250</v>
      </c>
      <c r="J9364" s="639">
        <f t="shared" si="292"/>
        <v>0</v>
      </c>
    </row>
    <row r="9365" spans="5:10" hidden="1">
      <c r="F9365" s="294" t="s">
        <v>251</v>
      </c>
      <c r="G9365" s="297" t="s">
        <v>252</v>
      </c>
      <c r="J9365" s="639">
        <f t="shared" si="292"/>
        <v>0</v>
      </c>
    </row>
    <row r="9366" spans="5:10" hidden="1">
      <c r="F9366" s="294" t="s">
        <v>253</v>
      </c>
      <c r="G9366" s="297" t="s">
        <v>254</v>
      </c>
      <c r="J9366" s="639">
        <f t="shared" si="292"/>
        <v>0</v>
      </c>
    </row>
    <row r="9367" spans="5:10" hidden="1">
      <c r="F9367" s="294" t="s">
        <v>255</v>
      </c>
      <c r="G9367" s="297" t="s">
        <v>256</v>
      </c>
      <c r="J9367" s="639">
        <f t="shared" si="292"/>
        <v>0</v>
      </c>
    </row>
    <row r="9368" spans="5:10" hidden="1">
      <c r="F9368" s="294" t="s">
        <v>257</v>
      </c>
      <c r="G9368" s="297" t="s">
        <v>258</v>
      </c>
      <c r="J9368" s="639">
        <f t="shared" si="292"/>
        <v>0</v>
      </c>
    </row>
    <row r="9369" spans="5:10" hidden="1">
      <c r="F9369" s="294" t="s">
        <v>259</v>
      </c>
      <c r="G9369" s="297" t="s">
        <v>260</v>
      </c>
      <c r="J9369" s="639">
        <f t="shared" si="292"/>
        <v>0</v>
      </c>
    </row>
    <row r="9370" spans="5:10" hidden="1">
      <c r="F9370" s="294" t="s">
        <v>261</v>
      </c>
      <c r="G9370" s="297" t="s">
        <v>262</v>
      </c>
      <c r="H9370" s="638"/>
      <c r="I9370" s="639"/>
      <c r="J9370" s="639">
        <f t="shared" si="292"/>
        <v>0</v>
      </c>
    </row>
    <row r="9371" spans="5:10" ht="15.75" hidden="1" thickBot="1">
      <c r="G9371" s="274" t="s">
        <v>4440</v>
      </c>
      <c r="H9371" s="640">
        <f>SUM(H9355:H9370)</f>
        <v>0</v>
      </c>
      <c r="I9371" s="641">
        <f>SUM(I9356:I9370)</f>
        <v>0</v>
      </c>
      <c r="J9371" s="641">
        <f>SUM(J9355:J9370)</f>
        <v>0</v>
      </c>
    </row>
    <row r="9372" spans="5:10" hidden="1" collapsed="1">
      <c r="E9372" s="471"/>
      <c r="F9372" s="477"/>
      <c r="G9372" s="276" t="s">
        <v>4441</v>
      </c>
      <c r="H9372" s="642"/>
      <c r="I9372" s="663"/>
      <c r="J9372" s="643"/>
    </row>
    <row r="9373" spans="5:10" hidden="1">
      <c r="E9373" s="267"/>
      <c r="F9373" s="294" t="s">
        <v>234</v>
      </c>
      <c r="G9373" s="297" t="s">
        <v>235</v>
      </c>
      <c r="H9373" s="638">
        <f>SUM(H9294:H9353)</f>
        <v>0</v>
      </c>
      <c r="I9373" s="639"/>
      <c r="J9373" s="639">
        <f>SUM(H9373:I9373)</f>
        <v>0</v>
      </c>
    </row>
    <row r="9374" spans="5:10" hidden="1">
      <c r="F9374" s="294" t="s">
        <v>236</v>
      </c>
      <c r="G9374" s="297" t="s">
        <v>237</v>
      </c>
      <c r="J9374" s="639">
        <f t="shared" ref="J9374:J9388" si="293">SUM(H9374:I9374)</f>
        <v>0</v>
      </c>
    </row>
    <row r="9375" spans="5:10" hidden="1">
      <c r="F9375" s="294" t="s">
        <v>238</v>
      </c>
      <c r="G9375" s="297" t="s">
        <v>239</v>
      </c>
      <c r="J9375" s="639">
        <f t="shared" si="293"/>
        <v>0</v>
      </c>
    </row>
    <row r="9376" spans="5:10" hidden="1">
      <c r="F9376" s="294" t="s">
        <v>240</v>
      </c>
      <c r="G9376" s="297" t="s">
        <v>241</v>
      </c>
      <c r="J9376" s="639">
        <f t="shared" si="293"/>
        <v>0</v>
      </c>
    </row>
    <row r="9377" spans="3:10" hidden="1">
      <c r="F9377" s="294" t="s">
        <v>242</v>
      </c>
      <c r="G9377" s="297" t="s">
        <v>243</v>
      </c>
      <c r="J9377" s="639">
        <f t="shared" si="293"/>
        <v>0</v>
      </c>
    </row>
    <row r="9378" spans="3:10" hidden="1">
      <c r="F9378" s="294" t="s">
        <v>244</v>
      </c>
      <c r="G9378" s="297" t="s">
        <v>245</v>
      </c>
      <c r="J9378" s="639">
        <f t="shared" si="293"/>
        <v>0</v>
      </c>
    </row>
    <row r="9379" spans="3:10" hidden="1">
      <c r="F9379" s="294" t="s">
        <v>246</v>
      </c>
      <c r="G9379" s="683" t="s">
        <v>5121</v>
      </c>
      <c r="J9379" s="639">
        <f t="shared" si="293"/>
        <v>0</v>
      </c>
    </row>
    <row r="9380" spans="3:10" hidden="1">
      <c r="F9380" s="294" t="s">
        <v>247</v>
      </c>
      <c r="G9380" s="683" t="s">
        <v>5120</v>
      </c>
      <c r="J9380" s="639">
        <f t="shared" si="293"/>
        <v>0</v>
      </c>
    </row>
    <row r="9381" spans="3:10" hidden="1">
      <c r="F9381" s="294" t="s">
        <v>248</v>
      </c>
      <c r="G9381" s="297" t="s">
        <v>57</v>
      </c>
      <c r="J9381" s="639">
        <f t="shared" si="293"/>
        <v>0</v>
      </c>
    </row>
    <row r="9382" spans="3:10" hidden="1">
      <c r="F9382" s="294" t="s">
        <v>249</v>
      </c>
      <c r="G9382" s="297" t="s">
        <v>250</v>
      </c>
      <c r="J9382" s="639">
        <f t="shared" si="293"/>
        <v>0</v>
      </c>
    </row>
    <row r="9383" spans="3:10" hidden="1">
      <c r="F9383" s="294" t="s">
        <v>251</v>
      </c>
      <c r="G9383" s="297" t="s">
        <v>252</v>
      </c>
      <c r="J9383" s="639">
        <f t="shared" si="293"/>
        <v>0</v>
      </c>
    </row>
    <row r="9384" spans="3:10" hidden="1">
      <c r="F9384" s="294" t="s">
        <v>253</v>
      </c>
      <c r="G9384" s="297" t="s">
        <v>254</v>
      </c>
      <c r="J9384" s="639">
        <f t="shared" si="293"/>
        <v>0</v>
      </c>
    </row>
    <row r="9385" spans="3:10" hidden="1">
      <c r="F9385" s="294" t="s">
        <v>255</v>
      </c>
      <c r="G9385" s="297" t="s">
        <v>256</v>
      </c>
      <c r="J9385" s="639">
        <f t="shared" si="293"/>
        <v>0</v>
      </c>
    </row>
    <row r="9386" spans="3:10" hidden="1">
      <c r="F9386" s="294" t="s">
        <v>257</v>
      </c>
      <c r="G9386" s="297" t="s">
        <v>258</v>
      </c>
      <c r="J9386" s="639">
        <f t="shared" si="293"/>
        <v>0</v>
      </c>
    </row>
    <row r="9387" spans="3:10" hidden="1">
      <c r="F9387" s="294" t="s">
        <v>259</v>
      </c>
      <c r="G9387" s="297" t="s">
        <v>260</v>
      </c>
      <c r="J9387" s="639">
        <f t="shared" si="293"/>
        <v>0</v>
      </c>
    </row>
    <row r="9388" spans="3:10" hidden="1">
      <c r="F9388" s="294" t="s">
        <v>261</v>
      </c>
      <c r="G9388" s="297" t="s">
        <v>262</v>
      </c>
      <c r="H9388" s="638"/>
      <c r="I9388" s="639"/>
      <c r="J9388" s="639">
        <f t="shared" si="293"/>
        <v>0</v>
      </c>
    </row>
    <row r="9389" spans="3:10" ht="15.75" hidden="1" collapsed="1" thickBot="1">
      <c r="G9389" s="274" t="s">
        <v>4442</v>
      </c>
      <c r="H9389" s="640">
        <f>SUM(H9373:H9388)</f>
        <v>0</v>
      </c>
      <c r="I9389" s="641">
        <f>SUM(I9374:I9388)</f>
        <v>0</v>
      </c>
      <c r="J9389" s="641">
        <f>SUM(J9373:J9388)</f>
        <v>0</v>
      </c>
    </row>
    <row r="9390" spans="3:10" hidden="1"/>
    <row r="9391" spans="3:10" hidden="1">
      <c r="C9391" s="273" t="s">
        <v>4130</v>
      </c>
      <c r="D9391" s="264"/>
      <c r="G9391" s="482" t="s">
        <v>4240</v>
      </c>
    </row>
    <row r="9392" spans="3:10" hidden="1">
      <c r="C9392" s="273"/>
      <c r="D9392" s="357">
        <v>820</v>
      </c>
      <c r="E9392" s="357"/>
      <c r="F9392" s="357"/>
      <c r="G9392" s="358" t="s">
        <v>207</v>
      </c>
    </row>
    <row r="9393" spans="6:10" hidden="1">
      <c r="F9393" s="485">
        <v>411</v>
      </c>
      <c r="G9393" s="481" t="s">
        <v>4173</v>
      </c>
      <c r="J9393" s="635">
        <f>SUM(H9393:I9393)</f>
        <v>0</v>
      </c>
    </row>
    <row r="9394" spans="6:10" hidden="1">
      <c r="F9394" s="485">
        <v>412</v>
      </c>
      <c r="G9394" s="478" t="s">
        <v>3770</v>
      </c>
      <c r="J9394" s="635">
        <f t="shared" ref="J9394:J9452" si="294">SUM(H9394:I9394)</f>
        <v>0</v>
      </c>
    </row>
    <row r="9395" spans="6:10" hidden="1">
      <c r="F9395" s="485">
        <v>413</v>
      </c>
      <c r="G9395" s="481" t="s">
        <v>4174</v>
      </c>
      <c r="J9395" s="635">
        <f t="shared" si="294"/>
        <v>0</v>
      </c>
    </row>
    <row r="9396" spans="6:10" hidden="1">
      <c r="F9396" s="485">
        <v>414</v>
      </c>
      <c r="G9396" s="481" t="s">
        <v>3773</v>
      </c>
      <c r="J9396" s="635">
        <f t="shared" si="294"/>
        <v>0</v>
      </c>
    </row>
    <row r="9397" spans="6:10" hidden="1">
      <c r="F9397" s="485">
        <v>415</v>
      </c>
      <c r="G9397" s="481" t="s">
        <v>4183</v>
      </c>
      <c r="J9397" s="635">
        <f t="shared" si="294"/>
        <v>0</v>
      </c>
    </row>
    <row r="9398" spans="6:10" hidden="1">
      <c r="F9398" s="485">
        <v>416</v>
      </c>
      <c r="G9398" s="481" t="s">
        <v>4184</v>
      </c>
      <c r="J9398" s="635">
        <f t="shared" si="294"/>
        <v>0</v>
      </c>
    </row>
    <row r="9399" spans="6:10" hidden="1">
      <c r="F9399" s="485">
        <v>417</v>
      </c>
      <c r="G9399" s="481" t="s">
        <v>4185</v>
      </c>
      <c r="J9399" s="635">
        <f t="shared" si="294"/>
        <v>0</v>
      </c>
    </row>
    <row r="9400" spans="6:10" hidden="1">
      <c r="F9400" s="485">
        <v>418</v>
      </c>
      <c r="G9400" s="481" t="s">
        <v>3779</v>
      </c>
      <c r="J9400" s="635">
        <f t="shared" si="294"/>
        <v>0</v>
      </c>
    </row>
    <row r="9401" spans="6:10" hidden="1">
      <c r="F9401" s="485">
        <v>421</v>
      </c>
      <c r="G9401" s="481" t="s">
        <v>3783</v>
      </c>
      <c r="J9401" s="635">
        <f t="shared" si="294"/>
        <v>0</v>
      </c>
    </row>
    <row r="9402" spans="6:10" hidden="1">
      <c r="F9402" s="485">
        <v>422</v>
      </c>
      <c r="G9402" s="481" t="s">
        <v>3784</v>
      </c>
      <c r="J9402" s="635">
        <f t="shared" si="294"/>
        <v>0</v>
      </c>
    </row>
    <row r="9403" spans="6:10" hidden="1">
      <c r="F9403" s="485">
        <v>423</v>
      </c>
      <c r="G9403" s="481" t="s">
        <v>3785</v>
      </c>
      <c r="J9403" s="635">
        <f t="shared" si="294"/>
        <v>0</v>
      </c>
    </row>
    <row r="9404" spans="6:10" hidden="1">
      <c r="F9404" s="485">
        <v>424</v>
      </c>
      <c r="G9404" s="481" t="s">
        <v>3787</v>
      </c>
      <c r="J9404" s="635">
        <f t="shared" si="294"/>
        <v>0</v>
      </c>
    </row>
    <row r="9405" spans="6:10" hidden="1">
      <c r="F9405" s="485">
        <v>425</v>
      </c>
      <c r="G9405" s="481" t="s">
        <v>4186</v>
      </c>
      <c r="J9405" s="635">
        <f t="shared" si="294"/>
        <v>0</v>
      </c>
    </row>
    <row r="9406" spans="6:10" hidden="1">
      <c r="F9406" s="485">
        <v>426</v>
      </c>
      <c r="G9406" s="481" t="s">
        <v>3791</v>
      </c>
      <c r="J9406" s="635">
        <f t="shared" si="294"/>
        <v>0</v>
      </c>
    </row>
    <row r="9407" spans="6:10" hidden="1">
      <c r="F9407" s="485">
        <v>431</v>
      </c>
      <c r="G9407" s="481" t="s">
        <v>4187</v>
      </c>
      <c r="J9407" s="635">
        <f t="shared" si="294"/>
        <v>0</v>
      </c>
    </row>
    <row r="9408" spans="6:10" hidden="1">
      <c r="F9408" s="485">
        <v>432</v>
      </c>
      <c r="G9408" s="481" t="s">
        <v>4188</v>
      </c>
      <c r="J9408" s="635">
        <f t="shared" si="294"/>
        <v>0</v>
      </c>
    </row>
    <row r="9409" spans="6:10" hidden="1">
      <c r="F9409" s="485">
        <v>433</v>
      </c>
      <c r="G9409" s="481" t="s">
        <v>4189</v>
      </c>
      <c r="J9409" s="635">
        <f t="shared" si="294"/>
        <v>0</v>
      </c>
    </row>
    <row r="9410" spans="6:10" hidden="1">
      <c r="F9410" s="485">
        <v>434</v>
      </c>
      <c r="G9410" s="481" t="s">
        <v>4190</v>
      </c>
      <c r="J9410" s="635">
        <f t="shared" si="294"/>
        <v>0</v>
      </c>
    </row>
    <row r="9411" spans="6:10" hidden="1">
      <c r="F9411" s="485">
        <v>435</v>
      </c>
      <c r="G9411" s="481" t="s">
        <v>3798</v>
      </c>
      <c r="J9411" s="635">
        <f t="shared" si="294"/>
        <v>0</v>
      </c>
    </row>
    <row r="9412" spans="6:10" hidden="1">
      <c r="F9412" s="485">
        <v>441</v>
      </c>
      <c r="G9412" s="481" t="s">
        <v>4191</v>
      </c>
      <c r="J9412" s="635">
        <f t="shared" si="294"/>
        <v>0</v>
      </c>
    </row>
    <row r="9413" spans="6:10" hidden="1">
      <c r="F9413" s="485">
        <v>442</v>
      </c>
      <c r="G9413" s="481" t="s">
        <v>4192</v>
      </c>
      <c r="J9413" s="635">
        <f t="shared" si="294"/>
        <v>0</v>
      </c>
    </row>
    <row r="9414" spans="6:10" hidden="1">
      <c r="F9414" s="485">
        <v>443</v>
      </c>
      <c r="G9414" s="481" t="s">
        <v>3803</v>
      </c>
      <c r="J9414" s="635">
        <f t="shared" si="294"/>
        <v>0</v>
      </c>
    </row>
    <row r="9415" spans="6:10" hidden="1">
      <c r="F9415" s="485">
        <v>444</v>
      </c>
      <c r="G9415" s="481" t="s">
        <v>3804</v>
      </c>
      <c r="J9415" s="635">
        <f t="shared" si="294"/>
        <v>0</v>
      </c>
    </row>
    <row r="9416" spans="6:10" ht="30" hidden="1">
      <c r="F9416" s="485">
        <v>4511</v>
      </c>
      <c r="G9416" s="268" t="s">
        <v>1690</v>
      </c>
      <c r="J9416" s="635">
        <f t="shared" si="294"/>
        <v>0</v>
      </c>
    </row>
    <row r="9417" spans="6:10" ht="30" hidden="1">
      <c r="F9417" s="485">
        <v>4512</v>
      </c>
      <c r="G9417" s="268" t="s">
        <v>1699</v>
      </c>
      <c r="J9417" s="635">
        <f t="shared" si="294"/>
        <v>0</v>
      </c>
    </row>
    <row r="9418" spans="6:10" hidden="1">
      <c r="F9418" s="485">
        <v>452</v>
      </c>
      <c r="G9418" s="481" t="s">
        <v>4193</v>
      </c>
      <c r="J9418" s="635">
        <f t="shared" si="294"/>
        <v>0</v>
      </c>
    </row>
    <row r="9419" spans="6:10" hidden="1">
      <c r="F9419" s="485">
        <v>453</v>
      </c>
      <c r="G9419" s="481" t="s">
        <v>4194</v>
      </c>
      <c r="J9419" s="635">
        <f t="shared" si="294"/>
        <v>0</v>
      </c>
    </row>
    <row r="9420" spans="6:10" hidden="1">
      <c r="F9420" s="485">
        <v>454</v>
      </c>
      <c r="G9420" s="481" t="s">
        <v>3809</v>
      </c>
      <c r="J9420" s="635">
        <f t="shared" si="294"/>
        <v>0</v>
      </c>
    </row>
    <row r="9421" spans="6:10" hidden="1">
      <c r="F9421" s="485">
        <v>461</v>
      </c>
      <c r="G9421" s="481" t="s">
        <v>4175</v>
      </c>
      <c r="J9421" s="635">
        <f t="shared" si="294"/>
        <v>0</v>
      </c>
    </row>
    <row r="9422" spans="6:10" hidden="1">
      <c r="F9422" s="485">
        <v>462</v>
      </c>
      <c r="G9422" s="481" t="s">
        <v>3812</v>
      </c>
      <c r="J9422" s="635">
        <f t="shared" si="294"/>
        <v>0</v>
      </c>
    </row>
    <row r="9423" spans="6:10" hidden="1">
      <c r="F9423" s="485">
        <v>4631</v>
      </c>
      <c r="G9423" s="481" t="s">
        <v>3813</v>
      </c>
      <c r="J9423" s="635">
        <f t="shared" si="294"/>
        <v>0</v>
      </c>
    </row>
    <row r="9424" spans="6:10" hidden="1">
      <c r="F9424" s="485">
        <v>4632</v>
      </c>
      <c r="G9424" s="481" t="s">
        <v>3814</v>
      </c>
      <c r="J9424" s="635">
        <f t="shared" si="294"/>
        <v>0</v>
      </c>
    </row>
    <row r="9425" spans="6:10" hidden="1">
      <c r="F9425" s="485">
        <v>464</v>
      </c>
      <c r="G9425" s="481" t="s">
        <v>3815</v>
      </c>
      <c r="J9425" s="635">
        <f t="shared" si="294"/>
        <v>0</v>
      </c>
    </row>
    <row r="9426" spans="6:10" hidden="1">
      <c r="F9426" s="485">
        <v>465</v>
      </c>
      <c r="G9426" s="481" t="s">
        <v>4176</v>
      </c>
      <c r="J9426" s="635">
        <f t="shared" si="294"/>
        <v>0</v>
      </c>
    </row>
    <row r="9427" spans="6:10" hidden="1">
      <c r="F9427" s="485">
        <v>472</v>
      </c>
      <c r="G9427" s="481" t="s">
        <v>3819</v>
      </c>
      <c r="J9427" s="635">
        <f t="shared" si="294"/>
        <v>0</v>
      </c>
    </row>
    <row r="9428" spans="6:10" hidden="1">
      <c r="F9428" s="485">
        <v>481</v>
      </c>
      <c r="G9428" s="481" t="s">
        <v>4195</v>
      </c>
      <c r="J9428" s="635">
        <f t="shared" si="294"/>
        <v>0</v>
      </c>
    </row>
    <row r="9429" spans="6:10" hidden="1">
      <c r="F9429" s="485">
        <v>482</v>
      </c>
      <c r="G9429" s="481" t="s">
        <v>4196</v>
      </c>
      <c r="J9429" s="635">
        <f t="shared" si="294"/>
        <v>0</v>
      </c>
    </row>
    <row r="9430" spans="6:10" hidden="1">
      <c r="F9430" s="485">
        <v>483</v>
      </c>
      <c r="G9430" s="483" t="s">
        <v>4197</v>
      </c>
      <c r="J9430" s="635">
        <f t="shared" si="294"/>
        <v>0</v>
      </c>
    </row>
    <row r="9431" spans="6:10" ht="30" hidden="1">
      <c r="F9431" s="485">
        <v>484</v>
      </c>
      <c r="G9431" s="481" t="s">
        <v>4198</v>
      </c>
      <c r="J9431" s="635">
        <f t="shared" si="294"/>
        <v>0</v>
      </c>
    </row>
    <row r="9432" spans="6:10" ht="30" hidden="1">
      <c r="F9432" s="485">
        <v>485</v>
      </c>
      <c r="G9432" s="481" t="s">
        <v>4199</v>
      </c>
      <c r="J9432" s="635">
        <f t="shared" si="294"/>
        <v>0</v>
      </c>
    </row>
    <row r="9433" spans="6:10" ht="30" hidden="1">
      <c r="F9433" s="485">
        <v>489</v>
      </c>
      <c r="G9433" s="481" t="s">
        <v>3827</v>
      </c>
      <c r="J9433" s="635">
        <f t="shared" si="294"/>
        <v>0</v>
      </c>
    </row>
    <row r="9434" spans="6:10" hidden="1">
      <c r="F9434" s="485">
        <v>494</v>
      </c>
      <c r="G9434" s="481" t="s">
        <v>4177</v>
      </c>
      <c r="J9434" s="635">
        <f t="shared" si="294"/>
        <v>0</v>
      </c>
    </row>
    <row r="9435" spans="6:10" ht="30" hidden="1">
      <c r="F9435" s="485">
        <v>495</v>
      </c>
      <c r="G9435" s="481" t="s">
        <v>4178</v>
      </c>
      <c r="J9435" s="635">
        <f t="shared" si="294"/>
        <v>0</v>
      </c>
    </row>
    <row r="9436" spans="6:10" ht="30" hidden="1">
      <c r="F9436" s="485">
        <v>496</v>
      </c>
      <c r="G9436" s="481" t="s">
        <v>4179</v>
      </c>
      <c r="J9436" s="635">
        <f t="shared" si="294"/>
        <v>0</v>
      </c>
    </row>
    <row r="9437" spans="6:10" hidden="1">
      <c r="F9437" s="485">
        <v>499</v>
      </c>
      <c r="G9437" s="481" t="s">
        <v>4180</v>
      </c>
      <c r="J9437" s="635">
        <f t="shared" si="294"/>
        <v>0</v>
      </c>
    </row>
    <row r="9438" spans="6:10" hidden="1">
      <c r="F9438" s="485">
        <v>511</v>
      </c>
      <c r="G9438" s="483" t="s">
        <v>4200</v>
      </c>
      <c r="J9438" s="635">
        <f t="shared" si="294"/>
        <v>0</v>
      </c>
    </row>
    <row r="9439" spans="6:10" hidden="1">
      <c r="F9439" s="485">
        <v>512</v>
      </c>
      <c r="G9439" s="483" t="s">
        <v>4201</v>
      </c>
      <c r="J9439" s="635">
        <f t="shared" si="294"/>
        <v>0</v>
      </c>
    </row>
    <row r="9440" spans="6:10" hidden="1">
      <c r="F9440" s="485">
        <v>513</v>
      </c>
      <c r="G9440" s="483" t="s">
        <v>4202</v>
      </c>
      <c r="J9440" s="635">
        <f t="shared" si="294"/>
        <v>0</v>
      </c>
    </row>
    <row r="9441" spans="5:10" hidden="1">
      <c r="F9441" s="485">
        <v>514</v>
      </c>
      <c r="G9441" s="481" t="s">
        <v>4203</v>
      </c>
      <c r="J9441" s="635">
        <f t="shared" si="294"/>
        <v>0</v>
      </c>
    </row>
    <row r="9442" spans="5:10" hidden="1">
      <c r="F9442" s="485">
        <v>515</v>
      </c>
      <c r="G9442" s="481" t="s">
        <v>3838</v>
      </c>
      <c r="J9442" s="635">
        <f t="shared" si="294"/>
        <v>0</v>
      </c>
    </row>
    <row r="9443" spans="5:10" hidden="1">
      <c r="F9443" s="485">
        <v>521</v>
      </c>
      <c r="G9443" s="481" t="s">
        <v>4204</v>
      </c>
      <c r="J9443" s="635">
        <f t="shared" si="294"/>
        <v>0</v>
      </c>
    </row>
    <row r="9444" spans="5:10" hidden="1">
      <c r="F9444" s="485">
        <v>522</v>
      </c>
      <c r="G9444" s="481" t="s">
        <v>4205</v>
      </c>
      <c r="J9444" s="635">
        <f t="shared" si="294"/>
        <v>0</v>
      </c>
    </row>
    <row r="9445" spans="5:10" hidden="1">
      <c r="F9445" s="485">
        <v>523</v>
      </c>
      <c r="G9445" s="481" t="s">
        <v>3843</v>
      </c>
      <c r="J9445" s="635">
        <f t="shared" si="294"/>
        <v>0</v>
      </c>
    </row>
    <row r="9446" spans="5:10" hidden="1">
      <c r="F9446" s="485">
        <v>531</v>
      </c>
      <c r="G9446" s="478" t="s">
        <v>4181</v>
      </c>
      <c r="J9446" s="635">
        <f t="shared" si="294"/>
        <v>0</v>
      </c>
    </row>
    <row r="9447" spans="5:10" hidden="1">
      <c r="F9447" s="485">
        <v>541</v>
      </c>
      <c r="G9447" s="481" t="s">
        <v>4206</v>
      </c>
      <c r="J9447" s="635">
        <f t="shared" si="294"/>
        <v>0</v>
      </c>
    </row>
    <row r="9448" spans="5:10" hidden="1">
      <c r="F9448" s="485">
        <v>542</v>
      </c>
      <c r="G9448" s="481" t="s">
        <v>4207</v>
      </c>
      <c r="J9448" s="635">
        <f t="shared" si="294"/>
        <v>0</v>
      </c>
    </row>
    <row r="9449" spans="5:10" hidden="1">
      <c r="F9449" s="485">
        <v>543</v>
      </c>
      <c r="G9449" s="481" t="s">
        <v>3848</v>
      </c>
      <c r="J9449" s="635">
        <f t="shared" si="294"/>
        <v>0</v>
      </c>
    </row>
    <row r="9450" spans="5:10" ht="30" hidden="1">
      <c r="F9450" s="485">
        <v>551</v>
      </c>
      <c r="G9450" s="481" t="s">
        <v>4182</v>
      </c>
      <c r="J9450" s="635">
        <f t="shared" si="294"/>
        <v>0</v>
      </c>
    </row>
    <row r="9451" spans="5:10" hidden="1">
      <c r="F9451" s="486">
        <v>611</v>
      </c>
      <c r="G9451" s="484" t="s">
        <v>3854</v>
      </c>
      <c r="H9451" s="638"/>
      <c r="J9451" s="635">
        <f t="shared" si="294"/>
        <v>0</v>
      </c>
    </row>
    <row r="9452" spans="5:10" hidden="1">
      <c r="F9452" s="486">
        <v>620</v>
      </c>
      <c r="G9452" s="484" t="s">
        <v>88</v>
      </c>
      <c r="H9452" s="638"/>
      <c r="J9452" s="635">
        <f t="shared" si="294"/>
        <v>0</v>
      </c>
    </row>
    <row r="9453" spans="5:10" hidden="1">
      <c r="E9453" s="479"/>
      <c r="F9453" s="486"/>
      <c r="G9453" s="371" t="s">
        <v>4439</v>
      </c>
      <c r="H9453" s="636"/>
      <c r="I9453" s="662"/>
      <c r="J9453" s="637"/>
    </row>
    <row r="9454" spans="5:10" hidden="1">
      <c r="E9454" s="267"/>
      <c r="F9454" s="294" t="s">
        <v>234</v>
      </c>
      <c r="G9454" s="297" t="s">
        <v>235</v>
      </c>
      <c r="H9454" s="638">
        <f>SUM(H9393:H9452)</f>
        <v>0</v>
      </c>
      <c r="I9454" s="639"/>
      <c r="J9454" s="639">
        <f>SUM(H9454:I9454)</f>
        <v>0</v>
      </c>
    </row>
    <row r="9455" spans="5:10" hidden="1">
      <c r="F9455" s="294" t="s">
        <v>236</v>
      </c>
      <c r="G9455" s="297" t="s">
        <v>237</v>
      </c>
      <c r="J9455" s="639">
        <f t="shared" ref="J9455:J9469" si="295">SUM(H9455:I9455)</f>
        <v>0</v>
      </c>
    </row>
    <row r="9456" spans="5:10" hidden="1">
      <c r="F9456" s="294" t="s">
        <v>238</v>
      </c>
      <c r="G9456" s="297" t="s">
        <v>239</v>
      </c>
      <c r="J9456" s="639">
        <f t="shared" si="295"/>
        <v>0</v>
      </c>
    </row>
    <row r="9457" spans="5:10" hidden="1">
      <c r="F9457" s="294" t="s">
        <v>240</v>
      </c>
      <c r="G9457" s="297" t="s">
        <v>241</v>
      </c>
      <c r="J9457" s="639">
        <f t="shared" si="295"/>
        <v>0</v>
      </c>
    </row>
    <row r="9458" spans="5:10" hidden="1">
      <c r="F9458" s="294" t="s">
        <v>242</v>
      </c>
      <c r="G9458" s="297" t="s">
        <v>243</v>
      </c>
      <c r="J9458" s="639">
        <f t="shared" si="295"/>
        <v>0</v>
      </c>
    </row>
    <row r="9459" spans="5:10" hidden="1">
      <c r="F9459" s="294" t="s">
        <v>244</v>
      </c>
      <c r="G9459" s="297" t="s">
        <v>245</v>
      </c>
      <c r="J9459" s="639">
        <f t="shared" si="295"/>
        <v>0</v>
      </c>
    </row>
    <row r="9460" spans="5:10" hidden="1">
      <c r="F9460" s="294" t="s">
        <v>246</v>
      </c>
      <c r="G9460" s="683" t="s">
        <v>5121</v>
      </c>
      <c r="J9460" s="639">
        <f t="shared" si="295"/>
        <v>0</v>
      </c>
    </row>
    <row r="9461" spans="5:10" hidden="1">
      <c r="F9461" s="294" t="s">
        <v>247</v>
      </c>
      <c r="G9461" s="683" t="s">
        <v>5120</v>
      </c>
      <c r="J9461" s="639">
        <f t="shared" si="295"/>
        <v>0</v>
      </c>
    </row>
    <row r="9462" spans="5:10" hidden="1">
      <c r="F9462" s="294" t="s">
        <v>248</v>
      </c>
      <c r="G9462" s="297" t="s">
        <v>57</v>
      </c>
      <c r="J9462" s="639">
        <f t="shared" si="295"/>
        <v>0</v>
      </c>
    </row>
    <row r="9463" spans="5:10" hidden="1">
      <c r="F9463" s="294" t="s">
        <v>249</v>
      </c>
      <c r="G9463" s="297" t="s">
        <v>250</v>
      </c>
      <c r="J9463" s="639">
        <f t="shared" si="295"/>
        <v>0</v>
      </c>
    </row>
    <row r="9464" spans="5:10" hidden="1">
      <c r="F9464" s="294" t="s">
        <v>251</v>
      </c>
      <c r="G9464" s="297" t="s">
        <v>252</v>
      </c>
      <c r="J9464" s="639">
        <f t="shared" si="295"/>
        <v>0</v>
      </c>
    </row>
    <row r="9465" spans="5:10" hidden="1">
      <c r="F9465" s="294" t="s">
        <v>253</v>
      </c>
      <c r="G9465" s="297" t="s">
        <v>254</v>
      </c>
      <c r="J9465" s="639">
        <f t="shared" si="295"/>
        <v>0</v>
      </c>
    </row>
    <row r="9466" spans="5:10" hidden="1">
      <c r="F9466" s="294" t="s">
        <v>255</v>
      </c>
      <c r="G9466" s="297" t="s">
        <v>256</v>
      </c>
      <c r="J9466" s="639">
        <f t="shared" si="295"/>
        <v>0</v>
      </c>
    </row>
    <row r="9467" spans="5:10" hidden="1">
      <c r="F9467" s="294" t="s">
        <v>257</v>
      </c>
      <c r="G9467" s="297" t="s">
        <v>258</v>
      </c>
      <c r="J9467" s="639">
        <f t="shared" si="295"/>
        <v>0</v>
      </c>
    </row>
    <row r="9468" spans="5:10" hidden="1">
      <c r="F9468" s="294" t="s">
        <v>259</v>
      </c>
      <c r="G9468" s="297" t="s">
        <v>260</v>
      </c>
      <c r="J9468" s="639">
        <f t="shared" si="295"/>
        <v>0</v>
      </c>
    </row>
    <row r="9469" spans="5:10" hidden="1">
      <c r="F9469" s="294" t="s">
        <v>261</v>
      </c>
      <c r="G9469" s="297" t="s">
        <v>262</v>
      </c>
      <c r="H9469" s="638"/>
      <c r="I9469" s="639"/>
      <c r="J9469" s="639">
        <f t="shared" si="295"/>
        <v>0</v>
      </c>
    </row>
    <row r="9470" spans="5:10" ht="15.75" hidden="1" thickBot="1">
      <c r="G9470" s="274" t="s">
        <v>4440</v>
      </c>
      <c r="H9470" s="640">
        <f>SUM(H9454:H9469)</f>
        <v>0</v>
      </c>
      <c r="I9470" s="641">
        <f>SUM(I9455:I9469)</f>
        <v>0</v>
      </c>
      <c r="J9470" s="641">
        <f>SUM(J9454:J9469)</f>
        <v>0</v>
      </c>
    </row>
    <row r="9471" spans="5:10" hidden="1" collapsed="1">
      <c r="E9471" s="479"/>
      <c r="F9471" s="486"/>
      <c r="G9471" s="276" t="s">
        <v>4445</v>
      </c>
      <c r="H9471" s="642"/>
      <c r="I9471" s="663"/>
      <c r="J9471" s="643"/>
    </row>
    <row r="9472" spans="5:10" hidden="1">
      <c r="E9472" s="267"/>
      <c r="F9472" s="294" t="s">
        <v>234</v>
      </c>
      <c r="G9472" s="297" t="s">
        <v>235</v>
      </c>
      <c r="H9472" s="638">
        <f>SUM(H9393:H9452)</f>
        <v>0</v>
      </c>
      <c r="I9472" s="639"/>
      <c r="J9472" s="639">
        <f>SUM(H9472:I9472)</f>
        <v>0</v>
      </c>
    </row>
    <row r="9473" spans="6:10" hidden="1">
      <c r="F9473" s="294" t="s">
        <v>236</v>
      </c>
      <c r="G9473" s="297" t="s">
        <v>237</v>
      </c>
      <c r="J9473" s="639">
        <f t="shared" ref="J9473:J9487" si="296">SUM(H9473:I9473)</f>
        <v>0</v>
      </c>
    </row>
    <row r="9474" spans="6:10" hidden="1">
      <c r="F9474" s="294" t="s">
        <v>238</v>
      </c>
      <c r="G9474" s="297" t="s">
        <v>239</v>
      </c>
      <c r="J9474" s="639">
        <f t="shared" si="296"/>
        <v>0</v>
      </c>
    </row>
    <row r="9475" spans="6:10" hidden="1">
      <c r="F9475" s="294" t="s">
        <v>240</v>
      </c>
      <c r="G9475" s="297" t="s">
        <v>241</v>
      </c>
      <c r="J9475" s="639">
        <f t="shared" si="296"/>
        <v>0</v>
      </c>
    </row>
    <row r="9476" spans="6:10" hidden="1">
      <c r="F9476" s="294" t="s">
        <v>242</v>
      </c>
      <c r="G9476" s="297" t="s">
        <v>243</v>
      </c>
      <c r="J9476" s="639">
        <f t="shared" si="296"/>
        <v>0</v>
      </c>
    </row>
    <row r="9477" spans="6:10" hidden="1">
      <c r="F9477" s="294" t="s">
        <v>244</v>
      </c>
      <c r="G9477" s="297" t="s">
        <v>245</v>
      </c>
      <c r="J9477" s="639">
        <f t="shared" si="296"/>
        <v>0</v>
      </c>
    </row>
    <row r="9478" spans="6:10" hidden="1">
      <c r="F9478" s="294" t="s">
        <v>246</v>
      </c>
      <c r="G9478" s="683" t="s">
        <v>5121</v>
      </c>
      <c r="J9478" s="639">
        <f t="shared" si="296"/>
        <v>0</v>
      </c>
    </row>
    <row r="9479" spans="6:10" hidden="1">
      <c r="F9479" s="294" t="s">
        <v>247</v>
      </c>
      <c r="G9479" s="683" t="s">
        <v>5120</v>
      </c>
      <c r="J9479" s="639">
        <f t="shared" si="296"/>
        <v>0</v>
      </c>
    </row>
    <row r="9480" spans="6:10" hidden="1">
      <c r="F9480" s="294" t="s">
        <v>248</v>
      </c>
      <c r="G9480" s="297" t="s">
        <v>57</v>
      </c>
      <c r="J9480" s="639">
        <f t="shared" si="296"/>
        <v>0</v>
      </c>
    </row>
    <row r="9481" spans="6:10" hidden="1">
      <c r="F9481" s="294" t="s">
        <v>249</v>
      </c>
      <c r="G9481" s="297" t="s">
        <v>250</v>
      </c>
      <c r="J9481" s="639">
        <f t="shared" si="296"/>
        <v>0</v>
      </c>
    </row>
    <row r="9482" spans="6:10" hidden="1">
      <c r="F9482" s="294" t="s">
        <v>251</v>
      </c>
      <c r="G9482" s="297" t="s">
        <v>252</v>
      </c>
      <c r="J9482" s="639">
        <f t="shared" si="296"/>
        <v>0</v>
      </c>
    </row>
    <row r="9483" spans="6:10" hidden="1">
      <c r="F9483" s="294" t="s">
        <v>253</v>
      </c>
      <c r="G9483" s="297" t="s">
        <v>254</v>
      </c>
      <c r="J9483" s="639">
        <f t="shared" si="296"/>
        <v>0</v>
      </c>
    </row>
    <row r="9484" spans="6:10" hidden="1">
      <c r="F9484" s="294" t="s">
        <v>255</v>
      </c>
      <c r="G9484" s="297" t="s">
        <v>256</v>
      </c>
      <c r="J9484" s="639">
        <f t="shared" si="296"/>
        <v>0</v>
      </c>
    </row>
    <row r="9485" spans="6:10" hidden="1">
      <c r="F9485" s="294" t="s">
        <v>257</v>
      </c>
      <c r="G9485" s="297" t="s">
        <v>258</v>
      </c>
      <c r="J9485" s="639">
        <f t="shared" si="296"/>
        <v>0</v>
      </c>
    </row>
    <row r="9486" spans="6:10" hidden="1">
      <c r="F9486" s="294" t="s">
        <v>259</v>
      </c>
      <c r="G9486" s="297" t="s">
        <v>260</v>
      </c>
      <c r="J9486" s="639">
        <f t="shared" si="296"/>
        <v>0</v>
      </c>
    </row>
    <row r="9487" spans="6:10" hidden="1">
      <c r="F9487" s="294" t="s">
        <v>261</v>
      </c>
      <c r="G9487" s="297" t="s">
        <v>262</v>
      </c>
      <c r="H9487" s="638"/>
      <c r="I9487" s="639"/>
      <c r="J9487" s="639">
        <f t="shared" si="296"/>
        <v>0</v>
      </c>
    </row>
    <row r="9488" spans="6:10" ht="15.75" hidden="1" thickBot="1">
      <c r="G9488" s="274" t="s">
        <v>5024</v>
      </c>
      <c r="H9488" s="640">
        <f>SUM(H9472:H9487)</f>
        <v>0</v>
      </c>
      <c r="I9488" s="641">
        <f>SUM(I9473:I9487)</f>
        <v>0</v>
      </c>
      <c r="J9488" s="641">
        <f>SUM(J9472:J9487)</f>
        <v>0</v>
      </c>
    </row>
    <row r="9489" spans="3:10" hidden="1"/>
    <row r="9490" spans="3:10" hidden="1">
      <c r="C9490" s="273" t="s">
        <v>4443</v>
      </c>
      <c r="D9490" s="264"/>
      <c r="G9490" s="482" t="s">
        <v>4240</v>
      </c>
    </row>
    <row r="9491" spans="3:10" hidden="1">
      <c r="C9491" s="273"/>
      <c r="D9491" s="357">
        <v>820</v>
      </c>
      <c r="E9491" s="357"/>
      <c r="F9491" s="357"/>
      <c r="G9491" s="358" t="s">
        <v>207</v>
      </c>
    </row>
    <row r="9492" spans="3:10" hidden="1">
      <c r="F9492" s="485">
        <v>411</v>
      </c>
      <c r="G9492" s="481" t="s">
        <v>4173</v>
      </c>
      <c r="J9492" s="635">
        <f>SUM(H9492:I9492)</f>
        <v>0</v>
      </c>
    </row>
    <row r="9493" spans="3:10" hidden="1">
      <c r="F9493" s="485">
        <v>412</v>
      </c>
      <c r="G9493" s="478" t="s">
        <v>3770</v>
      </c>
      <c r="J9493" s="635">
        <f t="shared" ref="J9493:J9551" si="297">SUM(H9493:I9493)</f>
        <v>0</v>
      </c>
    </row>
    <row r="9494" spans="3:10" hidden="1">
      <c r="F9494" s="485">
        <v>413</v>
      </c>
      <c r="G9494" s="481" t="s">
        <v>4174</v>
      </c>
      <c r="J9494" s="635">
        <f t="shared" si="297"/>
        <v>0</v>
      </c>
    </row>
    <row r="9495" spans="3:10" hidden="1">
      <c r="F9495" s="485">
        <v>414</v>
      </c>
      <c r="G9495" s="481" t="s">
        <v>3773</v>
      </c>
      <c r="J9495" s="635">
        <f t="shared" si="297"/>
        <v>0</v>
      </c>
    </row>
    <row r="9496" spans="3:10" hidden="1">
      <c r="F9496" s="485">
        <v>415</v>
      </c>
      <c r="G9496" s="481" t="s">
        <v>4183</v>
      </c>
      <c r="J9496" s="635">
        <f t="shared" si="297"/>
        <v>0</v>
      </c>
    </row>
    <row r="9497" spans="3:10" hidden="1">
      <c r="F9497" s="485">
        <v>416</v>
      </c>
      <c r="G9497" s="481" t="s">
        <v>4184</v>
      </c>
      <c r="J9497" s="635">
        <f t="shared" si="297"/>
        <v>0</v>
      </c>
    </row>
    <row r="9498" spans="3:10" hidden="1">
      <c r="F9498" s="485">
        <v>417</v>
      </c>
      <c r="G9498" s="481" t="s">
        <v>4185</v>
      </c>
      <c r="J9498" s="635">
        <f t="shared" si="297"/>
        <v>0</v>
      </c>
    </row>
    <row r="9499" spans="3:10" hidden="1">
      <c r="F9499" s="485">
        <v>418</v>
      </c>
      <c r="G9499" s="481" t="s">
        <v>3779</v>
      </c>
      <c r="J9499" s="635">
        <f t="shared" si="297"/>
        <v>0</v>
      </c>
    </row>
    <row r="9500" spans="3:10" hidden="1">
      <c r="F9500" s="485">
        <v>421</v>
      </c>
      <c r="G9500" s="481" t="s">
        <v>3783</v>
      </c>
      <c r="J9500" s="635">
        <f t="shared" si="297"/>
        <v>0</v>
      </c>
    </row>
    <row r="9501" spans="3:10" hidden="1">
      <c r="F9501" s="485">
        <v>422</v>
      </c>
      <c r="G9501" s="481" t="s">
        <v>3784</v>
      </c>
      <c r="J9501" s="635">
        <f t="shared" si="297"/>
        <v>0</v>
      </c>
    </row>
    <row r="9502" spans="3:10" hidden="1">
      <c r="F9502" s="485">
        <v>423</v>
      </c>
      <c r="G9502" s="481" t="s">
        <v>3785</v>
      </c>
      <c r="J9502" s="635">
        <f t="shared" si="297"/>
        <v>0</v>
      </c>
    </row>
    <row r="9503" spans="3:10" hidden="1">
      <c r="F9503" s="485">
        <v>424</v>
      </c>
      <c r="G9503" s="481" t="s">
        <v>3787</v>
      </c>
      <c r="J9503" s="635">
        <f t="shared" si="297"/>
        <v>0</v>
      </c>
    </row>
    <row r="9504" spans="3:10" hidden="1">
      <c r="F9504" s="485">
        <v>425</v>
      </c>
      <c r="G9504" s="481" t="s">
        <v>4186</v>
      </c>
      <c r="J9504" s="635">
        <f t="shared" si="297"/>
        <v>0</v>
      </c>
    </row>
    <row r="9505" spans="6:10" hidden="1">
      <c r="F9505" s="485">
        <v>426</v>
      </c>
      <c r="G9505" s="481" t="s">
        <v>3791</v>
      </c>
      <c r="J9505" s="635">
        <f t="shared" si="297"/>
        <v>0</v>
      </c>
    </row>
    <row r="9506" spans="6:10" hidden="1">
      <c r="F9506" s="485">
        <v>431</v>
      </c>
      <c r="G9506" s="481" t="s">
        <v>4187</v>
      </c>
      <c r="J9506" s="635">
        <f t="shared" si="297"/>
        <v>0</v>
      </c>
    </row>
    <row r="9507" spans="6:10" hidden="1">
      <c r="F9507" s="485">
        <v>432</v>
      </c>
      <c r="G9507" s="481" t="s">
        <v>4188</v>
      </c>
      <c r="J9507" s="635">
        <f t="shared" si="297"/>
        <v>0</v>
      </c>
    </row>
    <row r="9508" spans="6:10" hidden="1">
      <c r="F9508" s="485">
        <v>433</v>
      </c>
      <c r="G9508" s="481" t="s">
        <v>4189</v>
      </c>
      <c r="J9508" s="635">
        <f t="shared" si="297"/>
        <v>0</v>
      </c>
    </row>
    <row r="9509" spans="6:10" hidden="1">
      <c r="F9509" s="485">
        <v>434</v>
      </c>
      <c r="G9509" s="481" t="s">
        <v>4190</v>
      </c>
      <c r="J9509" s="635">
        <f t="shared" si="297"/>
        <v>0</v>
      </c>
    </row>
    <row r="9510" spans="6:10" hidden="1">
      <c r="F9510" s="485">
        <v>435</v>
      </c>
      <c r="G9510" s="481" t="s">
        <v>3798</v>
      </c>
      <c r="J9510" s="635">
        <f t="shared" si="297"/>
        <v>0</v>
      </c>
    </row>
    <row r="9511" spans="6:10" hidden="1">
      <c r="F9511" s="485">
        <v>441</v>
      </c>
      <c r="G9511" s="481" t="s">
        <v>4191</v>
      </c>
      <c r="J9511" s="635">
        <f t="shared" si="297"/>
        <v>0</v>
      </c>
    </row>
    <row r="9512" spans="6:10" hidden="1">
      <c r="F9512" s="485">
        <v>442</v>
      </c>
      <c r="G9512" s="481" t="s">
        <v>4192</v>
      </c>
      <c r="J9512" s="635">
        <f t="shared" si="297"/>
        <v>0</v>
      </c>
    </row>
    <row r="9513" spans="6:10" hidden="1">
      <c r="F9513" s="485">
        <v>443</v>
      </c>
      <c r="G9513" s="481" t="s">
        <v>3803</v>
      </c>
      <c r="J9513" s="635">
        <f t="shared" si="297"/>
        <v>0</v>
      </c>
    </row>
    <row r="9514" spans="6:10" hidden="1">
      <c r="F9514" s="485">
        <v>444</v>
      </c>
      <c r="G9514" s="481" t="s">
        <v>3804</v>
      </c>
      <c r="J9514" s="635">
        <f t="shared" si="297"/>
        <v>0</v>
      </c>
    </row>
    <row r="9515" spans="6:10" ht="30" hidden="1">
      <c r="F9515" s="485">
        <v>4511</v>
      </c>
      <c r="G9515" s="268" t="s">
        <v>1690</v>
      </c>
      <c r="J9515" s="635">
        <f t="shared" si="297"/>
        <v>0</v>
      </c>
    </row>
    <row r="9516" spans="6:10" ht="30" hidden="1">
      <c r="F9516" s="485">
        <v>4512</v>
      </c>
      <c r="G9516" s="268" t="s">
        <v>1699</v>
      </c>
      <c r="J9516" s="635">
        <f t="shared" si="297"/>
        <v>0</v>
      </c>
    </row>
    <row r="9517" spans="6:10" hidden="1">
      <c r="F9517" s="485">
        <v>452</v>
      </c>
      <c r="G9517" s="481" t="s">
        <v>4193</v>
      </c>
      <c r="J9517" s="635">
        <f t="shared" si="297"/>
        <v>0</v>
      </c>
    </row>
    <row r="9518" spans="6:10" hidden="1">
      <c r="F9518" s="485">
        <v>453</v>
      </c>
      <c r="G9518" s="481" t="s">
        <v>4194</v>
      </c>
      <c r="J9518" s="635">
        <f t="shared" si="297"/>
        <v>0</v>
      </c>
    </row>
    <row r="9519" spans="6:10" hidden="1">
      <c r="F9519" s="485">
        <v>454</v>
      </c>
      <c r="G9519" s="481" t="s">
        <v>3809</v>
      </c>
      <c r="J9519" s="635">
        <f t="shared" si="297"/>
        <v>0</v>
      </c>
    </row>
    <row r="9520" spans="6:10" hidden="1">
      <c r="F9520" s="485">
        <v>461</v>
      </c>
      <c r="G9520" s="481" t="s">
        <v>4175</v>
      </c>
      <c r="J9520" s="635">
        <f t="shared" si="297"/>
        <v>0</v>
      </c>
    </row>
    <row r="9521" spans="6:10" hidden="1">
      <c r="F9521" s="485">
        <v>462</v>
      </c>
      <c r="G9521" s="481" t="s">
        <v>3812</v>
      </c>
      <c r="J9521" s="635">
        <f t="shared" si="297"/>
        <v>0</v>
      </c>
    </row>
    <row r="9522" spans="6:10" hidden="1">
      <c r="F9522" s="485">
        <v>4631</v>
      </c>
      <c r="G9522" s="481" t="s">
        <v>3813</v>
      </c>
      <c r="J9522" s="635">
        <f t="shared" si="297"/>
        <v>0</v>
      </c>
    </row>
    <row r="9523" spans="6:10" hidden="1">
      <c r="F9523" s="485">
        <v>4632</v>
      </c>
      <c r="G9523" s="481" t="s">
        <v>3814</v>
      </c>
      <c r="J9523" s="635">
        <f t="shared" si="297"/>
        <v>0</v>
      </c>
    </row>
    <row r="9524" spans="6:10" hidden="1">
      <c r="F9524" s="485">
        <v>464</v>
      </c>
      <c r="G9524" s="481" t="s">
        <v>3815</v>
      </c>
      <c r="J9524" s="635">
        <f t="shared" si="297"/>
        <v>0</v>
      </c>
    </row>
    <row r="9525" spans="6:10" hidden="1">
      <c r="F9525" s="485">
        <v>465</v>
      </c>
      <c r="G9525" s="481" t="s">
        <v>4176</v>
      </c>
      <c r="J9525" s="635">
        <f t="shared" si="297"/>
        <v>0</v>
      </c>
    </row>
    <row r="9526" spans="6:10" hidden="1">
      <c r="F9526" s="485">
        <v>472</v>
      </c>
      <c r="G9526" s="481" t="s">
        <v>3819</v>
      </c>
      <c r="J9526" s="635">
        <f t="shared" si="297"/>
        <v>0</v>
      </c>
    </row>
    <row r="9527" spans="6:10" hidden="1">
      <c r="F9527" s="485">
        <v>481</v>
      </c>
      <c r="G9527" s="481" t="s">
        <v>4195</v>
      </c>
      <c r="J9527" s="635">
        <f t="shared" si="297"/>
        <v>0</v>
      </c>
    </row>
    <row r="9528" spans="6:10" hidden="1">
      <c r="F9528" s="485">
        <v>482</v>
      </c>
      <c r="G9528" s="481" t="s">
        <v>4196</v>
      </c>
      <c r="J9528" s="635">
        <f t="shared" si="297"/>
        <v>0</v>
      </c>
    </row>
    <row r="9529" spans="6:10" hidden="1">
      <c r="F9529" s="485">
        <v>483</v>
      </c>
      <c r="G9529" s="483" t="s">
        <v>4197</v>
      </c>
      <c r="J9529" s="635">
        <f t="shared" si="297"/>
        <v>0</v>
      </c>
    </row>
    <row r="9530" spans="6:10" ht="30" hidden="1">
      <c r="F9530" s="485">
        <v>484</v>
      </c>
      <c r="G9530" s="481" t="s">
        <v>4198</v>
      </c>
      <c r="J9530" s="635">
        <f t="shared" si="297"/>
        <v>0</v>
      </c>
    </row>
    <row r="9531" spans="6:10" ht="30" hidden="1">
      <c r="F9531" s="485">
        <v>485</v>
      </c>
      <c r="G9531" s="481" t="s">
        <v>4199</v>
      </c>
      <c r="J9531" s="635">
        <f t="shared" si="297"/>
        <v>0</v>
      </c>
    </row>
    <row r="9532" spans="6:10" ht="30" hidden="1">
      <c r="F9532" s="485">
        <v>489</v>
      </c>
      <c r="G9532" s="481" t="s">
        <v>3827</v>
      </c>
      <c r="J9532" s="635">
        <f t="shared" si="297"/>
        <v>0</v>
      </c>
    </row>
    <row r="9533" spans="6:10" hidden="1">
      <c r="F9533" s="485">
        <v>494</v>
      </c>
      <c r="G9533" s="481" t="s">
        <v>4177</v>
      </c>
      <c r="J9533" s="635">
        <f t="shared" si="297"/>
        <v>0</v>
      </c>
    </row>
    <row r="9534" spans="6:10" ht="30" hidden="1">
      <c r="F9534" s="485">
        <v>495</v>
      </c>
      <c r="G9534" s="481" t="s">
        <v>4178</v>
      </c>
      <c r="J9534" s="635">
        <f t="shared" si="297"/>
        <v>0</v>
      </c>
    </row>
    <row r="9535" spans="6:10" ht="30" hidden="1">
      <c r="F9535" s="485">
        <v>496</v>
      </c>
      <c r="G9535" s="481" t="s">
        <v>4179</v>
      </c>
      <c r="J9535" s="635">
        <f t="shared" si="297"/>
        <v>0</v>
      </c>
    </row>
    <row r="9536" spans="6:10" hidden="1">
      <c r="F9536" s="485">
        <v>499</v>
      </c>
      <c r="G9536" s="481" t="s">
        <v>4180</v>
      </c>
      <c r="J9536" s="635">
        <f t="shared" si="297"/>
        <v>0</v>
      </c>
    </row>
    <row r="9537" spans="5:10" hidden="1">
      <c r="F9537" s="485">
        <v>511</v>
      </c>
      <c r="G9537" s="483" t="s">
        <v>4200</v>
      </c>
      <c r="J9537" s="635">
        <f t="shared" si="297"/>
        <v>0</v>
      </c>
    </row>
    <row r="9538" spans="5:10" hidden="1">
      <c r="F9538" s="485">
        <v>512</v>
      </c>
      <c r="G9538" s="483" t="s">
        <v>4201</v>
      </c>
      <c r="J9538" s="635">
        <f t="shared" si="297"/>
        <v>0</v>
      </c>
    </row>
    <row r="9539" spans="5:10" hidden="1">
      <c r="F9539" s="485">
        <v>513</v>
      </c>
      <c r="G9539" s="483" t="s">
        <v>4202</v>
      </c>
      <c r="J9539" s="635">
        <f t="shared" si="297"/>
        <v>0</v>
      </c>
    </row>
    <row r="9540" spans="5:10" hidden="1">
      <c r="F9540" s="485">
        <v>514</v>
      </c>
      <c r="G9540" s="481" t="s">
        <v>4203</v>
      </c>
      <c r="J9540" s="635">
        <f t="shared" si="297"/>
        <v>0</v>
      </c>
    </row>
    <row r="9541" spans="5:10" hidden="1">
      <c r="F9541" s="485">
        <v>515</v>
      </c>
      <c r="G9541" s="481" t="s">
        <v>3838</v>
      </c>
      <c r="J9541" s="635">
        <f t="shared" si="297"/>
        <v>0</v>
      </c>
    </row>
    <row r="9542" spans="5:10" hidden="1">
      <c r="F9542" s="485">
        <v>521</v>
      </c>
      <c r="G9542" s="481" t="s">
        <v>4204</v>
      </c>
      <c r="J9542" s="635">
        <f t="shared" si="297"/>
        <v>0</v>
      </c>
    </row>
    <row r="9543" spans="5:10" hidden="1">
      <c r="F9543" s="485">
        <v>522</v>
      </c>
      <c r="G9543" s="481" t="s">
        <v>4205</v>
      </c>
      <c r="J9543" s="635">
        <f t="shared" si="297"/>
        <v>0</v>
      </c>
    </row>
    <row r="9544" spans="5:10" hidden="1">
      <c r="F9544" s="485">
        <v>523</v>
      </c>
      <c r="G9544" s="481" t="s">
        <v>3843</v>
      </c>
      <c r="J9544" s="635">
        <f t="shared" si="297"/>
        <v>0</v>
      </c>
    </row>
    <row r="9545" spans="5:10" hidden="1">
      <c r="F9545" s="485">
        <v>531</v>
      </c>
      <c r="G9545" s="478" t="s">
        <v>4181</v>
      </c>
      <c r="J9545" s="635">
        <f t="shared" si="297"/>
        <v>0</v>
      </c>
    </row>
    <row r="9546" spans="5:10" hidden="1">
      <c r="F9546" s="485">
        <v>541</v>
      </c>
      <c r="G9546" s="481" t="s">
        <v>4206</v>
      </c>
      <c r="J9546" s="635">
        <f t="shared" si="297"/>
        <v>0</v>
      </c>
    </row>
    <row r="9547" spans="5:10" hidden="1">
      <c r="F9547" s="485">
        <v>542</v>
      </c>
      <c r="G9547" s="481" t="s">
        <v>4207</v>
      </c>
      <c r="J9547" s="635">
        <f t="shared" si="297"/>
        <v>0</v>
      </c>
    </row>
    <row r="9548" spans="5:10" hidden="1">
      <c r="F9548" s="485">
        <v>543</v>
      </c>
      <c r="G9548" s="481" t="s">
        <v>3848</v>
      </c>
      <c r="J9548" s="635">
        <f t="shared" si="297"/>
        <v>0</v>
      </c>
    </row>
    <row r="9549" spans="5:10" ht="30" hidden="1">
      <c r="F9549" s="485">
        <v>551</v>
      </c>
      <c r="G9549" s="481" t="s">
        <v>4182</v>
      </c>
      <c r="J9549" s="635">
        <f t="shared" si="297"/>
        <v>0</v>
      </c>
    </row>
    <row r="9550" spans="5:10" hidden="1">
      <c r="F9550" s="486">
        <v>611</v>
      </c>
      <c r="G9550" s="484" t="s">
        <v>3854</v>
      </c>
      <c r="H9550" s="638"/>
      <c r="J9550" s="635">
        <f t="shared" si="297"/>
        <v>0</v>
      </c>
    </row>
    <row r="9551" spans="5:10" hidden="1">
      <c r="F9551" s="486">
        <v>620</v>
      </c>
      <c r="G9551" s="484" t="s">
        <v>88</v>
      </c>
      <c r="H9551" s="638"/>
      <c r="J9551" s="635">
        <f t="shared" si="297"/>
        <v>0</v>
      </c>
    </row>
    <row r="9552" spans="5:10" hidden="1">
      <c r="E9552" s="479"/>
      <c r="F9552" s="486"/>
      <c r="G9552" s="371" t="s">
        <v>4439</v>
      </c>
      <c r="H9552" s="636"/>
      <c r="I9552" s="662"/>
      <c r="J9552" s="637"/>
    </row>
    <row r="9553" spans="5:10" hidden="1">
      <c r="E9553" s="267"/>
      <c r="F9553" s="294" t="s">
        <v>234</v>
      </c>
      <c r="G9553" s="297" t="s">
        <v>235</v>
      </c>
      <c r="H9553" s="638">
        <f>SUM(H9492:H9551)</f>
        <v>0</v>
      </c>
      <c r="I9553" s="639"/>
      <c r="J9553" s="639">
        <f>SUM(H9553:I9553)</f>
        <v>0</v>
      </c>
    </row>
    <row r="9554" spans="5:10" hidden="1">
      <c r="F9554" s="294" t="s">
        <v>236</v>
      </c>
      <c r="G9554" s="297" t="s">
        <v>237</v>
      </c>
      <c r="J9554" s="639">
        <f t="shared" ref="J9554:J9568" si="298">SUM(H9554:I9554)</f>
        <v>0</v>
      </c>
    </row>
    <row r="9555" spans="5:10" hidden="1">
      <c r="F9555" s="294" t="s">
        <v>238</v>
      </c>
      <c r="G9555" s="297" t="s">
        <v>239</v>
      </c>
      <c r="J9555" s="639">
        <f t="shared" si="298"/>
        <v>0</v>
      </c>
    </row>
    <row r="9556" spans="5:10" hidden="1">
      <c r="F9556" s="294" t="s">
        <v>240</v>
      </c>
      <c r="G9556" s="297" t="s">
        <v>241</v>
      </c>
      <c r="J9556" s="639">
        <f t="shared" si="298"/>
        <v>0</v>
      </c>
    </row>
    <row r="9557" spans="5:10" hidden="1">
      <c r="F9557" s="294" t="s">
        <v>242</v>
      </c>
      <c r="G9557" s="297" t="s">
        <v>243</v>
      </c>
      <c r="J9557" s="639">
        <f t="shared" si="298"/>
        <v>0</v>
      </c>
    </row>
    <row r="9558" spans="5:10" hidden="1">
      <c r="F9558" s="294" t="s">
        <v>244</v>
      </c>
      <c r="G9558" s="297" t="s">
        <v>245</v>
      </c>
      <c r="J9558" s="639">
        <f t="shared" si="298"/>
        <v>0</v>
      </c>
    </row>
    <row r="9559" spans="5:10" hidden="1">
      <c r="F9559" s="294" t="s">
        <v>246</v>
      </c>
      <c r="G9559" s="683" t="s">
        <v>5121</v>
      </c>
      <c r="J9559" s="639">
        <f t="shared" si="298"/>
        <v>0</v>
      </c>
    </row>
    <row r="9560" spans="5:10" hidden="1">
      <c r="F9560" s="294" t="s">
        <v>247</v>
      </c>
      <c r="G9560" s="683" t="s">
        <v>5120</v>
      </c>
      <c r="J9560" s="639">
        <f t="shared" si="298"/>
        <v>0</v>
      </c>
    </row>
    <row r="9561" spans="5:10" hidden="1">
      <c r="F9561" s="294" t="s">
        <v>248</v>
      </c>
      <c r="G9561" s="297" t="s">
        <v>57</v>
      </c>
      <c r="J9561" s="639">
        <f t="shared" si="298"/>
        <v>0</v>
      </c>
    </row>
    <row r="9562" spans="5:10" hidden="1">
      <c r="F9562" s="294" t="s">
        <v>249</v>
      </c>
      <c r="G9562" s="297" t="s">
        <v>250</v>
      </c>
      <c r="J9562" s="639">
        <f t="shared" si="298"/>
        <v>0</v>
      </c>
    </row>
    <row r="9563" spans="5:10" hidden="1">
      <c r="F9563" s="294" t="s">
        <v>251</v>
      </c>
      <c r="G9563" s="297" t="s">
        <v>252</v>
      </c>
      <c r="J9563" s="639">
        <f t="shared" si="298"/>
        <v>0</v>
      </c>
    </row>
    <row r="9564" spans="5:10" hidden="1">
      <c r="F9564" s="294" t="s">
        <v>253</v>
      </c>
      <c r="G9564" s="297" t="s">
        <v>254</v>
      </c>
      <c r="J9564" s="639">
        <f t="shared" si="298"/>
        <v>0</v>
      </c>
    </row>
    <row r="9565" spans="5:10" hidden="1">
      <c r="F9565" s="294" t="s">
        <v>255</v>
      </c>
      <c r="G9565" s="297" t="s">
        <v>256</v>
      </c>
      <c r="J9565" s="639">
        <f t="shared" si="298"/>
        <v>0</v>
      </c>
    </row>
    <row r="9566" spans="5:10" hidden="1">
      <c r="F9566" s="294" t="s">
        <v>257</v>
      </c>
      <c r="G9566" s="297" t="s">
        <v>258</v>
      </c>
      <c r="J9566" s="639">
        <f t="shared" si="298"/>
        <v>0</v>
      </c>
    </row>
    <row r="9567" spans="5:10" hidden="1">
      <c r="F9567" s="294" t="s">
        <v>259</v>
      </c>
      <c r="G9567" s="297" t="s">
        <v>260</v>
      </c>
      <c r="J9567" s="639">
        <f t="shared" si="298"/>
        <v>0</v>
      </c>
    </row>
    <row r="9568" spans="5:10" hidden="1">
      <c r="F9568" s="294" t="s">
        <v>261</v>
      </c>
      <c r="G9568" s="297" t="s">
        <v>262</v>
      </c>
      <c r="H9568" s="638"/>
      <c r="I9568" s="639"/>
      <c r="J9568" s="639">
        <f t="shared" si="298"/>
        <v>0</v>
      </c>
    </row>
    <row r="9569" spans="5:10" ht="15.75" hidden="1" thickBot="1">
      <c r="G9569" s="274" t="s">
        <v>4440</v>
      </c>
      <c r="H9569" s="640">
        <f>SUM(H9553:H9568)</f>
        <v>0</v>
      </c>
      <c r="I9569" s="641">
        <f>SUM(I9554:I9568)</f>
        <v>0</v>
      </c>
      <c r="J9569" s="641">
        <f>SUM(J9553:J9568)</f>
        <v>0</v>
      </c>
    </row>
    <row r="9570" spans="5:10" hidden="1" collapsed="1">
      <c r="E9570" s="479"/>
      <c r="F9570" s="486"/>
      <c r="G9570" s="276" t="s">
        <v>4446</v>
      </c>
      <c r="H9570" s="642"/>
      <c r="I9570" s="663"/>
      <c r="J9570" s="643"/>
    </row>
    <row r="9571" spans="5:10" hidden="1">
      <c r="E9571" s="267"/>
      <c r="F9571" s="294" t="s">
        <v>234</v>
      </c>
      <c r="G9571" s="297" t="s">
        <v>235</v>
      </c>
      <c r="H9571" s="638">
        <f>SUM(H9492:H9551)</f>
        <v>0</v>
      </c>
      <c r="I9571" s="639"/>
      <c r="J9571" s="639">
        <f>SUM(H9571:I9571)</f>
        <v>0</v>
      </c>
    </row>
    <row r="9572" spans="5:10" hidden="1">
      <c r="F9572" s="294" t="s">
        <v>236</v>
      </c>
      <c r="G9572" s="297" t="s">
        <v>237</v>
      </c>
      <c r="J9572" s="639">
        <f t="shared" ref="J9572:J9586" si="299">SUM(H9572:I9572)</f>
        <v>0</v>
      </c>
    </row>
    <row r="9573" spans="5:10" hidden="1">
      <c r="F9573" s="294" t="s">
        <v>238</v>
      </c>
      <c r="G9573" s="297" t="s">
        <v>239</v>
      </c>
      <c r="J9573" s="639">
        <f t="shared" si="299"/>
        <v>0</v>
      </c>
    </row>
    <row r="9574" spans="5:10" hidden="1">
      <c r="F9574" s="294" t="s">
        <v>240</v>
      </c>
      <c r="G9574" s="297" t="s">
        <v>241</v>
      </c>
      <c r="J9574" s="639">
        <f t="shared" si="299"/>
        <v>0</v>
      </c>
    </row>
    <row r="9575" spans="5:10" hidden="1">
      <c r="F9575" s="294" t="s">
        <v>242</v>
      </c>
      <c r="G9575" s="297" t="s">
        <v>243</v>
      </c>
      <c r="J9575" s="639">
        <f t="shared" si="299"/>
        <v>0</v>
      </c>
    </row>
    <row r="9576" spans="5:10" hidden="1">
      <c r="F9576" s="294" t="s">
        <v>244</v>
      </c>
      <c r="G9576" s="297" t="s">
        <v>245</v>
      </c>
      <c r="J9576" s="639">
        <f t="shared" si="299"/>
        <v>0</v>
      </c>
    </row>
    <row r="9577" spans="5:10" hidden="1">
      <c r="F9577" s="294" t="s">
        <v>246</v>
      </c>
      <c r="G9577" s="683" t="s">
        <v>5121</v>
      </c>
      <c r="J9577" s="639">
        <f t="shared" si="299"/>
        <v>0</v>
      </c>
    </row>
    <row r="9578" spans="5:10" hidden="1">
      <c r="F9578" s="294" t="s">
        <v>247</v>
      </c>
      <c r="G9578" s="683" t="s">
        <v>5120</v>
      </c>
      <c r="J9578" s="639">
        <f t="shared" si="299"/>
        <v>0</v>
      </c>
    </row>
    <row r="9579" spans="5:10" hidden="1">
      <c r="F9579" s="294" t="s">
        <v>248</v>
      </c>
      <c r="G9579" s="297" t="s">
        <v>57</v>
      </c>
      <c r="J9579" s="639">
        <f t="shared" si="299"/>
        <v>0</v>
      </c>
    </row>
    <row r="9580" spans="5:10" hidden="1">
      <c r="F9580" s="294" t="s">
        <v>249</v>
      </c>
      <c r="G9580" s="297" t="s">
        <v>250</v>
      </c>
      <c r="J9580" s="639">
        <f t="shared" si="299"/>
        <v>0</v>
      </c>
    </row>
    <row r="9581" spans="5:10" hidden="1">
      <c r="F9581" s="294" t="s">
        <v>251</v>
      </c>
      <c r="G9581" s="297" t="s">
        <v>252</v>
      </c>
      <c r="J9581" s="639">
        <f t="shared" si="299"/>
        <v>0</v>
      </c>
    </row>
    <row r="9582" spans="5:10" hidden="1">
      <c r="F9582" s="294" t="s">
        <v>253</v>
      </c>
      <c r="G9582" s="297" t="s">
        <v>254</v>
      </c>
      <c r="J9582" s="639">
        <f t="shared" si="299"/>
        <v>0</v>
      </c>
    </row>
    <row r="9583" spans="5:10" hidden="1">
      <c r="F9583" s="294" t="s">
        <v>255</v>
      </c>
      <c r="G9583" s="297" t="s">
        <v>256</v>
      </c>
      <c r="J9583" s="639">
        <f t="shared" si="299"/>
        <v>0</v>
      </c>
    </row>
    <row r="9584" spans="5:10" hidden="1">
      <c r="F9584" s="294" t="s">
        <v>257</v>
      </c>
      <c r="G9584" s="297" t="s">
        <v>258</v>
      </c>
      <c r="J9584" s="639">
        <f t="shared" si="299"/>
        <v>0</v>
      </c>
    </row>
    <row r="9585" spans="3:10" hidden="1">
      <c r="F9585" s="294" t="s">
        <v>259</v>
      </c>
      <c r="G9585" s="297" t="s">
        <v>260</v>
      </c>
      <c r="J9585" s="639">
        <f t="shared" si="299"/>
        <v>0</v>
      </c>
    </row>
    <row r="9586" spans="3:10" hidden="1">
      <c r="F9586" s="294" t="s">
        <v>261</v>
      </c>
      <c r="G9586" s="297" t="s">
        <v>262</v>
      </c>
      <c r="H9586" s="638"/>
      <c r="I9586" s="639"/>
      <c r="J9586" s="639">
        <f t="shared" si="299"/>
        <v>0</v>
      </c>
    </row>
    <row r="9587" spans="3:10" ht="15.75" hidden="1" thickBot="1">
      <c r="G9587" s="274" t="s">
        <v>5023</v>
      </c>
      <c r="H9587" s="640">
        <f>SUM(H9571:H9586)</f>
        <v>0</v>
      </c>
      <c r="I9587" s="641">
        <f>SUM(I9572:I9586)</f>
        <v>0</v>
      </c>
      <c r="J9587" s="641">
        <f>SUM(J9571:J9586)</f>
        <v>0</v>
      </c>
    </row>
    <row r="9588" spans="3:10" hidden="1"/>
    <row r="9589" spans="3:10" hidden="1">
      <c r="C9589" s="273" t="s">
        <v>4444</v>
      </c>
      <c r="D9589" s="264"/>
      <c r="G9589" s="482" t="s">
        <v>4240</v>
      </c>
    </row>
    <row r="9590" spans="3:10" hidden="1">
      <c r="C9590" s="273"/>
      <c r="D9590" s="357">
        <v>820</v>
      </c>
      <c r="E9590" s="357"/>
      <c r="F9590" s="357"/>
      <c r="G9590" s="358" t="s">
        <v>207</v>
      </c>
    </row>
    <row r="9591" spans="3:10" hidden="1">
      <c r="F9591" s="485">
        <v>411</v>
      </c>
      <c r="G9591" s="481" t="s">
        <v>4173</v>
      </c>
      <c r="J9591" s="635">
        <f>SUM(H9591:I9591)</f>
        <v>0</v>
      </c>
    </row>
    <row r="9592" spans="3:10" hidden="1">
      <c r="F9592" s="485">
        <v>412</v>
      </c>
      <c r="G9592" s="478" t="s">
        <v>3770</v>
      </c>
      <c r="J9592" s="635">
        <f t="shared" ref="J9592:J9650" si="300">SUM(H9592:I9592)</f>
        <v>0</v>
      </c>
    </row>
    <row r="9593" spans="3:10" hidden="1">
      <c r="F9593" s="485">
        <v>413</v>
      </c>
      <c r="G9593" s="481" t="s">
        <v>4174</v>
      </c>
      <c r="J9593" s="635">
        <f t="shared" si="300"/>
        <v>0</v>
      </c>
    </row>
    <row r="9594" spans="3:10" hidden="1">
      <c r="F9594" s="485">
        <v>414</v>
      </c>
      <c r="G9594" s="481" t="s">
        <v>3773</v>
      </c>
      <c r="J9594" s="635">
        <f t="shared" si="300"/>
        <v>0</v>
      </c>
    </row>
    <row r="9595" spans="3:10" hidden="1">
      <c r="F9595" s="485">
        <v>415</v>
      </c>
      <c r="G9595" s="481" t="s">
        <v>4183</v>
      </c>
      <c r="J9595" s="635">
        <f t="shared" si="300"/>
        <v>0</v>
      </c>
    </row>
    <row r="9596" spans="3:10" hidden="1">
      <c r="F9596" s="485">
        <v>416</v>
      </c>
      <c r="G9596" s="481" t="s">
        <v>4184</v>
      </c>
      <c r="J9596" s="635">
        <f t="shared" si="300"/>
        <v>0</v>
      </c>
    </row>
    <row r="9597" spans="3:10" hidden="1">
      <c r="F9597" s="485">
        <v>417</v>
      </c>
      <c r="G9597" s="481" t="s">
        <v>4185</v>
      </c>
      <c r="J9597" s="635">
        <f t="shared" si="300"/>
        <v>0</v>
      </c>
    </row>
    <row r="9598" spans="3:10" hidden="1">
      <c r="F9598" s="485">
        <v>418</v>
      </c>
      <c r="G9598" s="481" t="s">
        <v>3779</v>
      </c>
      <c r="J9598" s="635">
        <f t="shared" si="300"/>
        <v>0</v>
      </c>
    </row>
    <row r="9599" spans="3:10" hidden="1">
      <c r="F9599" s="485">
        <v>421</v>
      </c>
      <c r="G9599" s="481" t="s">
        <v>3783</v>
      </c>
      <c r="J9599" s="635">
        <f t="shared" si="300"/>
        <v>0</v>
      </c>
    </row>
    <row r="9600" spans="3:10" hidden="1">
      <c r="F9600" s="485">
        <v>422</v>
      </c>
      <c r="G9600" s="481" t="s">
        <v>3784</v>
      </c>
      <c r="J9600" s="635">
        <f t="shared" si="300"/>
        <v>0</v>
      </c>
    </row>
    <row r="9601" spans="6:10" hidden="1">
      <c r="F9601" s="485">
        <v>423</v>
      </c>
      <c r="G9601" s="481" t="s">
        <v>3785</v>
      </c>
      <c r="J9601" s="635">
        <f t="shared" si="300"/>
        <v>0</v>
      </c>
    </row>
    <row r="9602" spans="6:10" hidden="1">
      <c r="F9602" s="485">
        <v>424</v>
      </c>
      <c r="G9602" s="481" t="s">
        <v>3787</v>
      </c>
      <c r="J9602" s="635">
        <f t="shared" si="300"/>
        <v>0</v>
      </c>
    </row>
    <row r="9603" spans="6:10" hidden="1">
      <c r="F9603" s="485">
        <v>425</v>
      </c>
      <c r="G9603" s="481" t="s">
        <v>4186</v>
      </c>
      <c r="J9603" s="635">
        <f t="shared" si="300"/>
        <v>0</v>
      </c>
    </row>
    <row r="9604" spans="6:10" hidden="1">
      <c r="F9604" s="485">
        <v>426</v>
      </c>
      <c r="G9604" s="481" t="s">
        <v>3791</v>
      </c>
      <c r="J9604" s="635">
        <f t="shared" si="300"/>
        <v>0</v>
      </c>
    </row>
    <row r="9605" spans="6:10" hidden="1">
      <c r="F9605" s="485">
        <v>431</v>
      </c>
      <c r="G9605" s="481" t="s">
        <v>4187</v>
      </c>
      <c r="J9605" s="635">
        <f t="shared" si="300"/>
        <v>0</v>
      </c>
    </row>
    <row r="9606" spans="6:10" hidden="1">
      <c r="F9606" s="485">
        <v>432</v>
      </c>
      <c r="G9606" s="481" t="s">
        <v>4188</v>
      </c>
      <c r="J9606" s="635">
        <f t="shared" si="300"/>
        <v>0</v>
      </c>
    </row>
    <row r="9607" spans="6:10" hidden="1">
      <c r="F9607" s="485">
        <v>433</v>
      </c>
      <c r="G9607" s="481" t="s">
        <v>4189</v>
      </c>
      <c r="J9607" s="635">
        <f t="shared" si="300"/>
        <v>0</v>
      </c>
    </row>
    <row r="9608" spans="6:10" hidden="1">
      <c r="F9608" s="485">
        <v>434</v>
      </c>
      <c r="G9608" s="481" t="s">
        <v>4190</v>
      </c>
      <c r="J9608" s="635">
        <f t="shared" si="300"/>
        <v>0</v>
      </c>
    </row>
    <row r="9609" spans="6:10" hidden="1">
      <c r="F9609" s="485">
        <v>435</v>
      </c>
      <c r="G9609" s="481" t="s">
        <v>3798</v>
      </c>
      <c r="J9609" s="635">
        <f t="shared" si="300"/>
        <v>0</v>
      </c>
    </row>
    <row r="9610" spans="6:10" hidden="1">
      <c r="F9610" s="485">
        <v>441</v>
      </c>
      <c r="G9610" s="481" t="s">
        <v>4191</v>
      </c>
      <c r="J9610" s="635">
        <f t="shared" si="300"/>
        <v>0</v>
      </c>
    </row>
    <row r="9611" spans="6:10" hidden="1">
      <c r="F9611" s="485">
        <v>442</v>
      </c>
      <c r="G9611" s="481" t="s">
        <v>4192</v>
      </c>
      <c r="J9611" s="635">
        <f t="shared" si="300"/>
        <v>0</v>
      </c>
    </row>
    <row r="9612" spans="6:10" hidden="1">
      <c r="F9612" s="485">
        <v>443</v>
      </c>
      <c r="G9612" s="481" t="s">
        <v>3803</v>
      </c>
      <c r="J9612" s="635">
        <f t="shared" si="300"/>
        <v>0</v>
      </c>
    </row>
    <row r="9613" spans="6:10" hidden="1">
      <c r="F9613" s="485">
        <v>444</v>
      </c>
      <c r="G9613" s="481" t="s">
        <v>3804</v>
      </c>
      <c r="J9613" s="635">
        <f t="shared" si="300"/>
        <v>0</v>
      </c>
    </row>
    <row r="9614" spans="6:10" ht="30" hidden="1">
      <c r="F9614" s="485">
        <v>4511</v>
      </c>
      <c r="G9614" s="268" t="s">
        <v>1690</v>
      </c>
      <c r="J9614" s="635">
        <f t="shared" si="300"/>
        <v>0</v>
      </c>
    </row>
    <row r="9615" spans="6:10" ht="30" hidden="1">
      <c r="F9615" s="485">
        <v>4512</v>
      </c>
      <c r="G9615" s="268" t="s">
        <v>1699</v>
      </c>
      <c r="J9615" s="635">
        <f t="shared" si="300"/>
        <v>0</v>
      </c>
    </row>
    <row r="9616" spans="6:10" hidden="1">
      <c r="F9616" s="485">
        <v>452</v>
      </c>
      <c r="G9616" s="481" t="s">
        <v>4193</v>
      </c>
      <c r="J9616" s="635">
        <f t="shared" si="300"/>
        <v>0</v>
      </c>
    </row>
    <row r="9617" spans="6:10" hidden="1">
      <c r="F9617" s="485">
        <v>453</v>
      </c>
      <c r="G9617" s="481" t="s">
        <v>4194</v>
      </c>
      <c r="J9617" s="635">
        <f t="shared" si="300"/>
        <v>0</v>
      </c>
    </row>
    <row r="9618" spans="6:10" hidden="1">
      <c r="F9618" s="485">
        <v>454</v>
      </c>
      <c r="G9618" s="481" t="s">
        <v>3809</v>
      </c>
      <c r="J9618" s="635">
        <f t="shared" si="300"/>
        <v>0</v>
      </c>
    </row>
    <row r="9619" spans="6:10" hidden="1">
      <c r="F9619" s="485">
        <v>461</v>
      </c>
      <c r="G9619" s="481" t="s">
        <v>4175</v>
      </c>
      <c r="J9619" s="635">
        <f t="shared" si="300"/>
        <v>0</v>
      </c>
    </row>
    <row r="9620" spans="6:10" hidden="1">
      <c r="F9620" s="485">
        <v>462</v>
      </c>
      <c r="G9620" s="481" t="s">
        <v>3812</v>
      </c>
      <c r="J9620" s="635">
        <f t="shared" si="300"/>
        <v>0</v>
      </c>
    </row>
    <row r="9621" spans="6:10" hidden="1">
      <c r="F9621" s="485">
        <v>4631</v>
      </c>
      <c r="G9621" s="481" t="s">
        <v>3813</v>
      </c>
      <c r="J9621" s="635">
        <f t="shared" si="300"/>
        <v>0</v>
      </c>
    </row>
    <row r="9622" spans="6:10" hidden="1">
      <c r="F9622" s="485">
        <v>4632</v>
      </c>
      <c r="G9622" s="481" t="s">
        <v>3814</v>
      </c>
      <c r="J9622" s="635">
        <f t="shared" si="300"/>
        <v>0</v>
      </c>
    </row>
    <row r="9623" spans="6:10" hidden="1">
      <c r="F9623" s="485">
        <v>464</v>
      </c>
      <c r="G9623" s="481" t="s">
        <v>3815</v>
      </c>
      <c r="J9623" s="635">
        <f t="shared" si="300"/>
        <v>0</v>
      </c>
    </row>
    <row r="9624" spans="6:10" hidden="1">
      <c r="F9624" s="485">
        <v>465</v>
      </c>
      <c r="G9624" s="481" t="s">
        <v>4176</v>
      </c>
      <c r="J9624" s="635">
        <f t="shared" si="300"/>
        <v>0</v>
      </c>
    </row>
    <row r="9625" spans="6:10" hidden="1">
      <c r="F9625" s="485">
        <v>472</v>
      </c>
      <c r="G9625" s="481" t="s">
        <v>3819</v>
      </c>
      <c r="J9625" s="635">
        <f t="shared" si="300"/>
        <v>0</v>
      </c>
    </row>
    <row r="9626" spans="6:10" hidden="1">
      <c r="F9626" s="485">
        <v>481</v>
      </c>
      <c r="G9626" s="481" t="s">
        <v>4195</v>
      </c>
      <c r="J9626" s="635">
        <f t="shared" si="300"/>
        <v>0</v>
      </c>
    </row>
    <row r="9627" spans="6:10" hidden="1">
      <c r="F9627" s="485">
        <v>482</v>
      </c>
      <c r="G9627" s="481" t="s">
        <v>4196</v>
      </c>
      <c r="J9627" s="635">
        <f t="shared" si="300"/>
        <v>0</v>
      </c>
    </row>
    <row r="9628" spans="6:10" hidden="1">
      <c r="F9628" s="485">
        <v>483</v>
      </c>
      <c r="G9628" s="483" t="s">
        <v>4197</v>
      </c>
      <c r="J9628" s="635">
        <f t="shared" si="300"/>
        <v>0</v>
      </c>
    </row>
    <row r="9629" spans="6:10" ht="30" hidden="1">
      <c r="F9629" s="485">
        <v>484</v>
      </c>
      <c r="G9629" s="481" t="s">
        <v>4198</v>
      </c>
      <c r="J9629" s="635">
        <f t="shared" si="300"/>
        <v>0</v>
      </c>
    </row>
    <row r="9630" spans="6:10" ht="30" hidden="1">
      <c r="F9630" s="485">
        <v>485</v>
      </c>
      <c r="G9630" s="481" t="s">
        <v>4199</v>
      </c>
      <c r="J9630" s="635">
        <f t="shared" si="300"/>
        <v>0</v>
      </c>
    </row>
    <row r="9631" spans="6:10" ht="30" hidden="1">
      <c r="F9631" s="485">
        <v>489</v>
      </c>
      <c r="G9631" s="481" t="s">
        <v>3827</v>
      </c>
      <c r="J9631" s="635">
        <f t="shared" si="300"/>
        <v>0</v>
      </c>
    </row>
    <row r="9632" spans="6:10" hidden="1">
      <c r="F9632" s="485">
        <v>494</v>
      </c>
      <c r="G9632" s="481" t="s">
        <v>4177</v>
      </c>
      <c r="J9632" s="635">
        <f t="shared" si="300"/>
        <v>0</v>
      </c>
    </row>
    <row r="9633" spans="6:10" ht="30" hidden="1">
      <c r="F9633" s="485">
        <v>495</v>
      </c>
      <c r="G9633" s="481" t="s">
        <v>4178</v>
      </c>
      <c r="J9633" s="635">
        <f t="shared" si="300"/>
        <v>0</v>
      </c>
    </row>
    <row r="9634" spans="6:10" ht="30" hidden="1">
      <c r="F9634" s="485">
        <v>496</v>
      </c>
      <c r="G9634" s="481" t="s">
        <v>4179</v>
      </c>
      <c r="J9634" s="635">
        <f t="shared" si="300"/>
        <v>0</v>
      </c>
    </row>
    <row r="9635" spans="6:10" hidden="1">
      <c r="F9635" s="485">
        <v>499</v>
      </c>
      <c r="G9635" s="481" t="s">
        <v>4180</v>
      </c>
      <c r="J9635" s="635">
        <f t="shared" si="300"/>
        <v>0</v>
      </c>
    </row>
    <row r="9636" spans="6:10" hidden="1">
      <c r="F9636" s="485">
        <v>511</v>
      </c>
      <c r="G9636" s="483" t="s">
        <v>4200</v>
      </c>
      <c r="J9636" s="635">
        <f t="shared" si="300"/>
        <v>0</v>
      </c>
    </row>
    <row r="9637" spans="6:10" hidden="1">
      <c r="F9637" s="485">
        <v>512</v>
      </c>
      <c r="G9637" s="483" t="s">
        <v>4201</v>
      </c>
      <c r="J9637" s="635">
        <f t="shared" si="300"/>
        <v>0</v>
      </c>
    </row>
    <row r="9638" spans="6:10" hidden="1">
      <c r="F9638" s="485">
        <v>513</v>
      </c>
      <c r="G9638" s="483" t="s">
        <v>4202</v>
      </c>
      <c r="J9638" s="635">
        <f t="shared" si="300"/>
        <v>0</v>
      </c>
    </row>
    <row r="9639" spans="6:10" hidden="1">
      <c r="F9639" s="485">
        <v>514</v>
      </c>
      <c r="G9639" s="481" t="s">
        <v>4203</v>
      </c>
      <c r="J9639" s="635">
        <f t="shared" si="300"/>
        <v>0</v>
      </c>
    </row>
    <row r="9640" spans="6:10" hidden="1">
      <c r="F9640" s="485">
        <v>515</v>
      </c>
      <c r="G9640" s="481" t="s">
        <v>3838</v>
      </c>
      <c r="J9640" s="635">
        <f t="shared" si="300"/>
        <v>0</v>
      </c>
    </row>
    <row r="9641" spans="6:10" hidden="1">
      <c r="F9641" s="485">
        <v>521</v>
      </c>
      <c r="G9641" s="481" t="s">
        <v>4204</v>
      </c>
      <c r="J9641" s="635">
        <f t="shared" si="300"/>
        <v>0</v>
      </c>
    </row>
    <row r="9642" spans="6:10" hidden="1">
      <c r="F9642" s="485">
        <v>522</v>
      </c>
      <c r="G9642" s="481" t="s">
        <v>4205</v>
      </c>
      <c r="J9642" s="635">
        <f t="shared" si="300"/>
        <v>0</v>
      </c>
    </row>
    <row r="9643" spans="6:10" hidden="1">
      <c r="F9643" s="485">
        <v>523</v>
      </c>
      <c r="G9643" s="481" t="s">
        <v>3843</v>
      </c>
      <c r="J9643" s="635">
        <f t="shared" si="300"/>
        <v>0</v>
      </c>
    </row>
    <row r="9644" spans="6:10" hidden="1">
      <c r="F9644" s="485">
        <v>531</v>
      </c>
      <c r="G9644" s="478" t="s">
        <v>4181</v>
      </c>
      <c r="J9644" s="635">
        <f t="shared" si="300"/>
        <v>0</v>
      </c>
    </row>
    <row r="9645" spans="6:10" hidden="1">
      <c r="F9645" s="485">
        <v>541</v>
      </c>
      <c r="G9645" s="481" t="s">
        <v>4206</v>
      </c>
      <c r="J9645" s="635">
        <f t="shared" si="300"/>
        <v>0</v>
      </c>
    </row>
    <row r="9646" spans="6:10" hidden="1">
      <c r="F9646" s="485">
        <v>542</v>
      </c>
      <c r="G9646" s="481" t="s">
        <v>4207</v>
      </c>
      <c r="J9646" s="635">
        <f t="shared" si="300"/>
        <v>0</v>
      </c>
    </row>
    <row r="9647" spans="6:10" hidden="1">
      <c r="F9647" s="485">
        <v>543</v>
      </c>
      <c r="G9647" s="481" t="s">
        <v>3848</v>
      </c>
      <c r="J9647" s="635">
        <f t="shared" si="300"/>
        <v>0</v>
      </c>
    </row>
    <row r="9648" spans="6:10" ht="30" hidden="1">
      <c r="F9648" s="485">
        <v>551</v>
      </c>
      <c r="G9648" s="481" t="s">
        <v>4182</v>
      </c>
      <c r="J9648" s="635">
        <f t="shared" si="300"/>
        <v>0</v>
      </c>
    </row>
    <row r="9649" spans="5:10" hidden="1">
      <c r="F9649" s="486">
        <v>611</v>
      </c>
      <c r="G9649" s="484" t="s">
        <v>3854</v>
      </c>
      <c r="H9649" s="638"/>
      <c r="J9649" s="635">
        <f t="shared" si="300"/>
        <v>0</v>
      </c>
    </row>
    <row r="9650" spans="5:10" hidden="1">
      <c r="F9650" s="486">
        <v>620</v>
      </c>
      <c r="G9650" s="484" t="s">
        <v>88</v>
      </c>
      <c r="H9650" s="638"/>
      <c r="J9650" s="635">
        <f t="shared" si="300"/>
        <v>0</v>
      </c>
    </row>
    <row r="9651" spans="5:10" hidden="1">
      <c r="E9651" s="479"/>
      <c r="F9651" s="486"/>
      <c r="G9651" s="371" t="s">
        <v>4439</v>
      </c>
      <c r="H9651" s="636"/>
      <c r="I9651" s="662"/>
      <c r="J9651" s="637"/>
    </row>
    <row r="9652" spans="5:10" hidden="1">
      <c r="E9652" s="267"/>
      <c r="F9652" s="294" t="s">
        <v>234</v>
      </c>
      <c r="G9652" s="297" t="s">
        <v>235</v>
      </c>
      <c r="H9652" s="638">
        <f>SUM(H9591:H9650)</f>
        <v>0</v>
      </c>
      <c r="I9652" s="639"/>
      <c r="J9652" s="639">
        <f>SUM(H9652:I9652)</f>
        <v>0</v>
      </c>
    </row>
    <row r="9653" spans="5:10" hidden="1">
      <c r="F9653" s="294" t="s">
        <v>236</v>
      </c>
      <c r="G9653" s="297" t="s">
        <v>237</v>
      </c>
      <c r="J9653" s="639">
        <f t="shared" ref="J9653:J9667" si="301">SUM(H9653:I9653)</f>
        <v>0</v>
      </c>
    </row>
    <row r="9654" spans="5:10" hidden="1">
      <c r="F9654" s="294" t="s">
        <v>238</v>
      </c>
      <c r="G9654" s="297" t="s">
        <v>239</v>
      </c>
      <c r="J9654" s="639">
        <f t="shared" si="301"/>
        <v>0</v>
      </c>
    </row>
    <row r="9655" spans="5:10" hidden="1">
      <c r="F9655" s="294" t="s">
        <v>240</v>
      </c>
      <c r="G9655" s="297" t="s">
        <v>241</v>
      </c>
      <c r="J9655" s="639">
        <f t="shared" si="301"/>
        <v>0</v>
      </c>
    </row>
    <row r="9656" spans="5:10" hidden="1">
      <c r="F9656" s="294" t="s">
        <v>242</v>
      </c>
      <c r="G9656" s="297" t="s">
        <v>243</v>
      </c>
      <c r="J9656" s="639">
        <f t="shared" si="301"/>
        <v>0</v>
      </c>
    </row>
    <row r="9657" spans="5:10" hidden="1">
      <c r="F9657" s="294" t="s">
        <v>244</v>
      </c>
      <c r="G9657" s="297" t="s">
        <v>245</v>
      </c>
      <c r="J9657" s="639">
        <f t="shared" si="301"/>
        <v>0</v>
      </c>
    </row>
    <row r="9658" spans="5:10" hidden="1">
      <c r="F9658" s="294" t="s">
        <v>246</v>
      </c>
      <c r="G9658" s="683" t="s">
        <v>5121</v>
      </c>
      <c r="J9658" s="639">
        <f t="shared" si="301"/>
        <v>0</v>
      </c>
    </row>
    <row r="9659" spans="5:10" hidden="1">
      <c r="F9659" s="294" t="s">
        <v>247</v>
      </c>
      <c r="G9659" s="683" t="s">
        <v>5120</v>
      </c>
      <c r="J9659" s="639">
        <f t="shared" si="301"/>
        <v>0</v>
      </c>
    </row>
    <row r="9660" spans="5:10" hidden="1">
      <c r="F9660" s="294" t="s">
        <v>248</v>
      </c>
      <c r="G9660" s="297" t="s">
        <v>57</v>
      </c>
      <c r="J9660" s="639">
        <f t="shared" si="301"/>
        <v>0</v>
      </c>
    </row>
    <row r="9661" spans="5:10" hidden="1">
      <c r="F9661" s="294" t="s">
        <v>249</v>
      </c>
      <c r="G9661" s="297" t="s">
        <v>250</v>
      </c>
      <c r="J9661" s="639">
        <f t="shared" si="301"/>
        <v>0</v>
      </c>
    </row>
    <row r="9662" spans="5:10" hidden="1">
      <c r="F9662" s="294" t="s">
        <v>251</v>
      </c>
      <c r="G9662" s="297" t="s">
        <v>252</v>
      </c>
      <c r="J9662" s="639">
        <f t="shared" si="301"/>
        <v>0</v>
      </c>
    </row>
    <row r="9663" spans="5:10" hidden="1">
      <c r="F9663" s="294" t="s">
        <v>253</v>
      </c>
      <c r="G9663" s="297" t="s">
        <v>254</v>
      </c>
      <c r="J9663" s="639">
        <f t="shared" si="301"/>
        <v>0</v>
      </c>
    </row>
    <row r="9664" spans="5:10" hidden="1">
      <c r="F9664" s="294" t="s">
        <v>255</v>
      </c>
      <c r="G9664" s="297" t="s">
        <v>256</v>
      </c>
      <c r="J9664" s="639">
        <f t="shared" si="301"/>
        <v>0</v>
      </c>
    </row>
    <row r="9665" spans="5:10" hidden="1">
      <c r="F9665" s="294" t="s">
        <v>257</v>
      </c>
      <c r="G9665" s="297" t="s">
        <v>258</v>
      </c>
      <c r="J9665" s="639">
        <f t="shared" si="301"/>
        <v>0</v>
      </c>
    </row>
    <row r="9666" spans="5:10" hidden="1">
      <c r="F9666" s="294" t="s">
        <v>259</v>
      </c>
      <c r="G9666" s="297" t="s">
        <v>260</v>
      </c>
      <c r="J9666" s="639">
        <f t="shared" si="301"/>
        <v>0</v>
      </c>
    </row>
    <row r="9667" spans="5:10" hidden="1">
      <c r="F9667" s="294" t="s">
        <v>261</v>
      </c>
      <c r="G9667" s="297" t="s">
        <v>262</v>
      </c>
      <c r="H9667" s="638"/>
      <c r="I9667" s="639"/>
      <c r="J9667" s="639">
        <f t="shared" si="301"/>
        <v>0</v>
      </c>
    </row>
    <row r="9668" spans="5:10" ht="15.75" hidden="1" thickBot="1">
      <c r="G9668" s="274" t="s">
        <v>4440</v>
      </c>
      <c r="H9668" s="640">
        <f>SUM(H9652:H9667)</f>
        <v>0</v>
      </c>
      <c r="I9668" s="641">
        <f>SUM(I9653:I9667)</f>
        <v>0</v>
      </c>
      <c r="J9668" s="641">
        <f>SUM(J9652:J9667)</f>
        <v>0</v>
      </c>
    </row>
    <row r="9669" spans="5:10" hidden="1" collapsed="1">
      <c r="E9669" s="479"/>
      <c r="F9669" s="486"/>
      <c r="G9669" s="276" t="s">
        <v>4447</v>
      </c>
      <c r="H9669" s="642"/>
      <c r="I9669" s="663"/>
      <c r="J9669" s="643"/>
    </row>
    <row r="9670" spans="5:10" hidden="1">
      <c r="E9670" s="267"/>
      <c r="F9670" s="294" t="s">
        <v>234</v>
      </c>
      <c r="G9670" s="297" t="s">
        <v>235</v>
      </c>
      <c r="H9670" s="638">
        <f>SUM(H9591:H9650)</f>
        <v>0</v>
      </c>
      <c r="I9670" s="639"/>
      <c r="J9670" s="639">
        <f>SUM(H9670:I9670)</f>
        <v>0</v>
      </c>
    </row>
    <row r="9671" spans="5:10" hidden="1">
      <c r="F9671" s="294" t="s">
        <v>236</v>
      </c>
      <c r="G9671" s="297" t="s">
        <v>237</v>
      </c>
      <c r="J9671" s="639">
        <f t="shared" ref="J9671:J9685" si="302">SUM(H9671:I9671)</f>
        <v>0</v>
      </c>
    </row>
    <row r="9672" spans="5:10" hidden="1">
      <c r="F9672" s="294" t="s">
        <v>238</v>
      </c>
      <c r="G9672" s="297" t="s">
        <v>239</v>
      </c>
      <c r="J9672" s="639">
        <f t="shared" si="302"/>
        <v>0</v>
      </c>
    </row>
    <row r="9673" spans="5:10" hidden="1">
      <c r="F9673" s="294" t="s">
        <v>240</v>
      </c>
      <c r="G9673" s="297" t="s">
        <v>241</v>
      </c>
      <c r="J9673" s="639">
        <f t="shared" si="302"/>
        <v>0</v>
      </c>
    </row>
    <row r="9674" spans="5:10" hidden="1">
      <c r="F9674" s="294" t="s">
        <v>242</v>
      </c>
      <c r="G9674" s="297" t="s">
        <v>243</v>
      </c>
      <c r="J9674" s="639">
        <f t="shared" si="302"/>
        <v>0</v>
      </c>
    </row>
    <row r="9675" spans="5:10" hidden="1">
      <c r="F9675" s="294" t="s">
        <v>244</v>
      </c>
      <c r="G9675" s="297" t="s">
        <v>245</v>
      </c>
      <c r="J9675" s="639">
        <f t="shared" si="302"/>
        <v>0</v>
      </c>
    </row>
    <row r="9676" spans="5:10" hidden="1">
      <c r="F9676" s="294" t="s">
        <v>246</v>
      </c>
      <c r="G9676" s="683" t="s">
        <v>5121</v>
      </c>
      <c r="J9676" s="639">
        <f t="shared" si="302"/>
        <v>0</v>
      </c>
    </row>
    <row r="9677" spans="5:10" hidden="1">
      <c r="F9677" s="294" t="s">
        <v>247</v>
      </c>
      <c r="G9677" s="683" t="s">
        <v>5120</v>
      </c>
      <c r="J9677" s="639">
        <f t="shared" si="302"/>
        <v>0</v>
      </c>
    </row>
    <row r="9678" spans="5:10" hidden="1">
      <c r="F9678" s="294" t="s">
        <v>248</v>
      </c>
      <c r="G9678" s="297" t="s">
        <v>57</v>
      </c>
      <c r="J9678" s="639">
        <f t="shared" si="302"/>
        <v>0</v>
      </c>
    </row>
    <row r="9679" spans="5:10" hidden="1">
      <c r="F9679" s="294" t="s">
        <v>249</v>
      </c>
      <c r="G9679" s="297" t="s">
        <v>250</v>
      </c>
      <c r="J9679" s="639">
        <f t="shared" si="302"/>
        <v>0</v>
      </c>
    </row>
    <row r="9680" spans="5:10" hidden="1">
      <c r="F9680" s="294" t="s">
        <v>251</v>
      </c>
      <c r="G9680" s="297" t="s">
        <v>252</v>
      </c>
      <c r="J9680" s="639">
        <f t="shared" si="302"/>
        <v>0</v>
      </c>
    </row>
    <row r="9681" spans="1:10" hidden="1">
      <c r="F9681" s="294" t="s">
        <v>253</v>
      </c>
      <c r="G9681" s="297" t="s">
        <v>254</v>
      </c>
      <c r="J9681" s="639">
        <f t="shared" si="302"/>
        <v>0</v>
      </c>
    </row>
    <row r="9682" spans="1:10" hidden="1">
      <c r="F9682" s="294" t="s">
        <v>255</v>
      </c>
      <c r="G9682" s="297" t="s">
        <v>256</v>
      </c>
      <c r="J9682" s="639">
        <f t="shared" si="302"/>
        <v>0</v>
      </c>
    </row>
    <row r="9683" spans="1:10" hidden="1">
      <c r="F9683" s="294" t="s">
        <v>257</v>
      </c>
      <c r="G9683" s="297" t="s">
        <v>258</v>
      </c>
      <c r="J9683" s="639">
        <f t="shared" si="302"/>
        <v>0</v>
      </c>
    </row>
    <row r="9684" spans="1:10" hidden="1">
      <c r="F9684" s="294" t="s">
        <v>259</v>
      </c>
      <c r="G9684" s="297" t="s">
        <v>260</v>
      </c>
      <c r="J9684" s="639">
        <f t="shared" si="302"/>
        <v>0</v>
      </c>
    </row>
    <row r="9685" spans="1:10" hidden="1">
      <c r="F9685" s="294" t="s">
        <v>261</v>
      </c>
      <c r="G9685" s="297" t="s">
        <v>262</v>
      </c>
      <c r="H9685" s="638"/>
      <c r="I9685" s="639"/>
      <c r="J9685" s="639">
        <f t="shared" si="302"/>
        <v>0</v>
      </c>
    </row>
    <row r="9686" spans="1:10" ht="15.75" hidden="1" thickBot="1">
      <c r="G9686" s="274" t="s">
        <v>5023</v>
      </c>
      <c r="H9686" s="640">
        <f>SUM(H9670:H9685)</f>
        <v>0</v>
      </c>
      <c r="I9686" s="641">
        <f>SUM(I9671:I9685)</f>
        <v>0</v>
      </c>
      <c r="J9686" s="641">
        <f>SUM(J9670:J9685)</f>
        <v>0</v>
      </c>
    </row>
    <row r="9687" spans="1:10" hidden="1"/>
    <row r="9688" spans="1:10" hidden="1"/>
    <row r="9689" spans="1:10">
      <c r="A9689" s="487"/>
      <c r="B9689" s="522" t="s">
        <v>5211</v>
      </c>
      <c r="C9689" s="487"/>
      <c r="D9689" s="488"/>
      <c r="E9689" s="489"/>
      <c r="F9689" s="489"/>
      <c r="G9689" s="525" t="s">
        <v>5223</v>
      </c>
      <c r="H9689" s="672"/>
      <c r="I9689" s="673"/>
      <c r="J9689" s="658"/>
    </row>
    <row r="9690" spans="1:10" ht="13.5" customHeight="1">
      <c r="C9690" s="273" t="s">
        <v>3594</v>
      </c>
      <c r="G9690" s="517" t="s">
        <v>4321</v>
      </c>
    </row>
    <row r="9691" spans="1:10" ht="12" customHeight="1">
      <c r="C9691" s="273" t="s">
        <v>4129</v>
      </c>
      <c r="D9691" s="264"/>
      <c r="G9691" s="517" t="s">
        <v>4322</v>
      </c>
    </row>
    <row r="9692" spans="1:10" ht="12" customHeight="1">
      <c r="C9692" s="273"/>
      <c r="D9692" s="357">
        <v>820</v>
      </c>
      <c r="E9692" s="357"/>
      <c r="F9692" s="357"/>
      <c r="G9692" s="358" t="s">
        <v>207</v>
      </c>
    </row>
    <row r="9693" spans="1:10">
      <c r="E9693" s="263">
        <v>101</v>
      </c>
      <c r="F9693" s="527">
        <v>411</v>
      </c>
      <c r="G9693" s="518" t="s">
        <v>4173</v>
      </c>
      <c r="H9693" s="634">
        <v>4124900</v>
      </c>
      <c r="J9693" s="635">
        <f>SUM(H9693:I9693)</f>
        <v>4124900</v>
      </c>
    </row>
    <row r="9694" spans="1:10">
      <c r="E9694" s="263">
        <v>102</v>
      </c>
      <c r="F9694" s="527">
        <v>412</v>
      </c>
      <c r="G9694" s="515" t="s">
        <v>3770</v>
      </c>
      <c r="H9694" s="634">
        <v>738400</v>
      </c>
      <c r="J9694" s="635">
        <f t="shared" ref="J9694:J9752" si="303">SUM(H9694:I9694)</f>
        <v>738400</v>
      </c>
    </row>
    <row r="9695" spans="1:10" ht="12.75" customHeight="1">
      <c r="F9695" s="527">
        <v>413</v>
      </c>
      <c r="G9695" s="518" t="s">
        <v>4174</v>
      </c>
      <c r="I9695" s="635">
        <v>50000</v>
      </c>
      <c r="J9695" s="635">
        <f t="shared" si="303"/>
        <v>50000</v>
      </c>
    </row>
    <row r="9696" spans="1:10" ht="14.25" customHeight="1">
      <c r="E9696" s="263">
        <v>103</v>
      </c>
      <c r="F9696" s="527">
        <v>414</v>
      </c>
      <c r="G9696" s="518" t="s">
        <v>3773</v>
      </c>
      <c r="H9696" s="634">
        <v>100000</v>
      </c>
      <c r="J9696" s="635">
        <f t="shared" si="303"/>
        <v>100000</v>
      </c>
    </row>
    <row r="9697" spans="5:10" hidden="1">
      <c r="F9697" s="527">
        <v>415</v>
      </c>
      <c r="G9697" s="518" t="s">
        <v>4183</v>
      </c>
      <c r="J9697" s="635">
        <f t="shared" si="303"/>
        <v>0</v>
      </c>
    </row>
    <row r="9698" spans="5:10">
      <c r="E9698" s="263">
        <v>104</v>
      </c>
      <c r="F9698" s="527">
        <v>416</v>
      </c>
      <c r="G9698" s="518" t="s">
        <v>4184</v>
      </c>
      <c r="H9698" s="634">
        <v>130000</v>
      </c>
      <c r="J9698" s="635">
        <f t="shared" si="303"/>
        <v>130000</v>
      </c>
    </row>
    <row r="9699" spans="5:10" hidden="1">
      <c r="F9699" s="527">
        <v>417</v>
      </c>
      <c r="G9699" s="518" t="s">
        <v>4185</v>
      </c>
      <c r="J9699" s="635">
        <f t="shared" si="303"/>
        <v>0</v>
      </c>
    </row>
    <row r="9700" spans="5:10" hidden="1">
      <c r="F9700" s="527">
        <v>418</v>
      </c>
      <c r="G9700" s="518" t="s">
        <v>3779</v>
      </c>
      <c r="J9700" s="635">
        <f t="shared" si="303"/>
        <v>0</v>
      </c>
    </row>
    <row r="9701" spans="5:10">
      <c r="E9701" s="263">
        <v>105</v>
      </c>
      <c r="F9701" s="527">
        <v>421</v>
      </c>
      <c r="G9701" s="518" t="s">
        <v>3783</v>
      </c>
      <c r="H9701" s="634">
        <v>725315</v>
      </c>
      <c r="I9701" s="635">
        <v>67600</v>
      </c>
      <c r="J9701" s="635">
        <f t="shared" si="303"/>
        <v>792915</v>
      </c>
    </row>
    <row r="9702" spans="5:10">
      <c r="E9702" s="263">
        <v>106</v>
      </c>
      <c r="F9702" s="527">
        <v>422</v>
      </c>
      <c r="G9702" s="518" t="s">
        <v>3784</v>
      </c>
      <c r="H9702" s="634">
        <v>158000</v>
      </c>
      <c r="I9702" s="635">
        <v>31200</v>
      </c>
      <c r="J9702" s="635">
        <f t="shared" si="303"/>
        <v>189200</v>
      </c>
    </row>
    <row r="9703" spans="5:10" ht="12" customHeight="1">
      <c r="E9703" s="263">
        <v>107</v>
      </c>
      <c r="F9703" s="527">
        <v>423</v>
      </c>
      <c r="G9703" s="518" t="s">
        <v>3785</v>
      </c>
      <c r="H9703" s="634">
        <v>399400</v>
      </c>
      <c r="I9703" s="635">
        <v>185120</v>
      </c>
      <c r="J9703" s="635">
        <f t="shared" si="303"/>
        <v>584520</v>
      </c>
    </row>
    <row r="9704" spans="5:10">
      <c r="E9704" s="263">
        <v>108</v>
      </c>
      <c r="F9704" s="527">
        <v>424</v>
      </c>
      <c r="G9704" s="518" t="s">
        <v>3787</v>
      </c>
      <c r="H9704" s="634">
        <v>1999904</v>
      </c>
      <c r="I9704" s="635">
        <v>52000</v>
      </c>
      <c r="J9704" s="635">
        <f t="shared" si="303"/>
        <v>2051904</v>
      </c>
    </row>
    <row r="9705" spans="5:10">
      <c r="E9705" s="263">
        <v>109</v>
      </c>
      <c r="F9705" s="527">
        <v>425</v>
      </c>
      <c r="G9705" s="518" t="s">
        <v>4186</v>
      </c>
      <c r="H9705" s="634">
        <v>223810</v>
      </c>
      <c r="I9705" s="635">
        <v>104000</v>
      </c>
      <c r="J9705" s="635">
        <f t="shared" si="303"/>
        <v>327810</v>
      </c>
    </row>
    <row r="9706" spans="5:10">
      <c r="E9706" s="263">
        <v>110</v>
      </c>
      <c r="F9706" s="527">
        <v>426</v>
      </c>
      <c r="G9706" s="518" t="s">
        <v>3791</v>
      </c>
      <c r="H9706" s="634">
        <v>334640</v>
      </c>
      <c r="I9706" s="635">
        <v>135200</v>
      </c>
      <c r="J9706" s="635">
        <f t="shared" si="303"/>
        <v>469840</v>
      </c>
    </row>
    <row r="9707" spans="5:10" hidden="1">
      <c r="F9707" s="527">
        <v>431</v>
      </c>
      <c r="G9707" s="518" t="s">
        <v>4187</v>
      </c>
      <c r="J9707" s="635">
        <f t="shared" si="303"/>
        <v>0</v>
      </c>
    </row>
    <row r="9708" spans="5:10" hidden="1">
      <c r="F9708" s="527">
        <v>432</v>
      </c>
      <c r="G9708" s="518" t="s">
        <v>4188</v>
      </c>
      <c r="J9708" s="635">
        <f t="shared" si="303"/>
        <v>0</v>
      </c>
    </row>
    <row r="9709" spans="5:10" hidden="1">
      <c r="F9709" s="527">
        <v>433</v>
      </c>
      <c r="G9709" s="518" t="s">
        <v>4189</v>
      </c>
      <c r="J9709" s="635">
        <f t="shared" si="303"/>
        <v>0</v>
      </c>
    </row>
    <row r="9710" spans="5:10" hidden="1">
      <c r="F9710" s="527">
        <v>434</v>
      </c>
      <c r="G9710" s="518" t="s">
        <v>4190</v>
      </c>
      <c r="J9710" s="635">
        <f t="shared" si="303"/>
        <v>0</v>
      </c>
    </row>
    <row r="9711" spans="5:10" hidden="1">
      <c r="F9711" s="527">
        <v>435</v>
      </c>
      <c r="G9711" s="518" t="s">
        <v>3798</v>
      </c>
      <c r="J9711" s="635">
        <f t="shared" si="303"/>
        <v>0</v>
      </c>
    </row>
    <row r="9712" spans="5:10" hidden="1">
      <c r="F9712" s="527">
        <v>441</v>
      </c>
      <c r="G9712" s="518" t="s">
        <v>4191</v>
      </c>
      <c r="J9712" s="635">
        <f t="shared" si="303"/>
        <v>0</v>
      </c>
    </row>
    <row r="9713" spans="5:10" hidden="1">
      <c r="F9713" s="527">
        <v>442</v>
      </c>
      <c r="G9713" s="518" t="s">
        <v>4192</v>
      </c>
      <c r="J9713" s="635">
        <f t="shared" si="303"/>
        <v>0</v>
      </c>
    </row>
    <row r="9714" spans="5:10" hidden="1">
      <c r="F9714" s="527">
        <v>443</v>
      </c>
      <c r="G9714" s="518" t="s">
        <v>3803</v>
      </c>
      <c r="J9714" s="635">
        <f t="shared" si="303"/>
        <v>0</v>
      </c>
    </row>
    <row r="9715" spans="5:10" hidden="1">
      <c r="F9715" s="527">
        <v>444</v>
      </c>
      <c r="G9715" s="518" t="s">
        <v>3804</v>
      </c>
      <c r="J9715" s="635">
        <f t="shared" si="303"/>
        <v>0</v>
      </c>
    </row>
    <row r="9716" spans="5:10" ht="30" hidden="1">
      <c r="F9716" s="527">
        <v>4511</v>
      </c>
      <c r="G9716" s="268" t="s">
        <v>1690</v>
      </c>
      <c r="J9716" s="635">
        <f t="shared" si="303"/>
        <v>0</v>
      </c>
    </row>
    <row r="9717" spans="5:10" ht="19.5" hidden="1" customHeight="1">
      <c r="F9717" s="527">
        <v>4512</v>
      </c>
      <c r="G9717" s="268" t="s">
        <v>1699</v>
      </c>
      <c r="J9717" s="635">
        <f t="shared" si="303"/>
        <v>0</v>
      </c>
    </row>
    <row r="9718" spans="5:10" hidden="1">
      <c r="F9718" s="527">
        <v>452</v>
      </c>
      <c r="G9718" s="518" t="s">
        <v>4193</v>
      </c>
      <c r="J9718" s="635">
        <f t="shared" si="303"/>
        <v>0</v>
      </c>
    </row>
    <row r="9719" spans="5:10" hidden="1">
      <c r="F9719" s="527">
        <v>453</v>
      </c>
      <c r="G9719" s="518" t="s">
        <v>4194</v>
      </c>
      <c r="J9719" s="635">
        <f t="shared" si="303"/>
        <v>0</v>
      </c>
    </row>
    <row r="9720" spans="5:10" hidden="1">
      <c r="F9720" s="527">
        <v>454</v>
      </c>
      <c r="G9720" s="518" t="s">
        <v>3809</v>
      </c>
      <c r="J9720" s="635">
        <f t="shared" si="303"/>
        <v>0</v>
      </c>
    </row>
    <row r="9721" spans="5:10" hidden="1">
      <c r="F9721" s="527">
        <v>461</v>
      </c>
      <c r="G9721" s="518" t="s">
        <v>4175</v>
      </c>
      <c r="J9721" s="635">
        <f t="shared" si="303"/>
        <v>0</v>
      </c>
    </row>
    <row r="9722" spans="5:10" hidden="1">
      <c r="F9722" s="527">
        <v>462</v>
      </c>
      <c r="G9722" s="518" t="s">
        <v>3812</v>
      </c>
      <c r="J9722" s="635">
        <f t="shared" si="303"/>
        <v>0</v>
      </c>
    </row>
    <row r="9723" spans="5:10" hidden="1">
      <c r="F9723" s="527">
        <v>4631</v>
      </c>
      <c r="G9723" s="518" t="s">
        <v>3813</v>
      </c>
      <c r="J9723" s="635">
        <f t="shared" si="303"/>
        <v>0</v>
      </c>
    </row>
    <row r="9724" spans="5:10" hidden="1">
      <c r="F9724" s="527">
        <v>4632</v>
      </c>
      <c r="G9724" s="518" t="s">
        <v>3814</v>
      </c>
      <c r="J9724" s="635">
        <f t="shared" si="303"/>
        <v>0</v>
      </c>
    </row>
    <row r="9725" spans="5:10" hidden="1">
      <c r="F9725" s="527">
        <v>464</v>
      </c>
      <c r="G9725" s="518" t="s">
        <v>3815</v>
      </c>
      <c r="J9725" s="635">
        <f t="shared" si="303"/>
        <v>0</v>
      </c>
    </row>
    <row r="9726" spans="5:10" ht="12.75" customHeight="1">
      <c r="E9726" s="263">
        <v>111</v>
      </c>
      <c r="F9726" s="527">
        <v>465</v>
      </c>
      <c r="G9726" s="518" t="s">
        <v>4176</v>
      </c>
      <c r="H9726" s="634">
        <v>591031</v>
      </c>
      <c r="J9726" s="635">
        <f t="shared" si="303"/>
        <v>591031</v>
      </c>
    </row>
    <row r="9727" spans="5:10" hidden="1">
      <c r="F9727" s="527">
        <v>472</v>
      </c>
      <c r="G9727" s="518" t="s">
        <v>3819</v>
      </c>
      <c r="J9727" s="635">
        <f t="shared" si="303"/>
        <v>0</v>
      </c>
    </row>
    <row r="9728" spans="5:10" hidden="1">
      <c r="F9728" s="527">
        <v>481</v>
      </c>
      <c r="G9728" s="518" t="s">
        <v>4195</v>
      </c>
      <c r="J9728" s="635">
        <f t="shared" si="303"/>
        <v>0</v>
      </c>
    </row>
    <row r="9729" spans="5:10">
      <c r="F9729" s="527">
        <v>482</v>
      </c>
      <c r="G9729" s="518" t="s">
        <v>4196</v>
      </c>
      <c r="I9729" s="635">
        <v>1040</v>
      </c>
      <c r="J9729" s="635">
        <f t="shared" si="303"/>
        <v>1040</v>
      </c>
    </row>
    <row r="9730" spans="5:10" hidden="1">
      <c r="F9730" s="527">
        <v>483</v>
      </c>
      <c r="G9730" s="520" t="s">
        <v>4197</v>
      </c>
      <c r="J9730" s="635">
        <f t="shared" si="303"/>
        <v>0</v>
      </c>
    </row>
    <row r="9731" spans="5:10" ht="30" hidden="1">
      <c r="F9731" s="527">
        <v>484</v>
      </c>
      <c r="G9731" s="518" t="s">
        <v>4198</v>
      </c>
      <c r="J9731" s="635">
        <f t="shared" si="303"/>
        <v>0</v>
      </c>
    </row>
    <row r="9732" spans="5:10" ht="30" hidden="1">
      <c r="F9732" s="527">
        <v>485</v>
      </c>
      <c r="G9732" s="518" t="s">
        <v>4199</v>
      </c>
      <c r="J9732" s="635">
        <f t="shared" si="303"/>
        <v>0</v>
      </c>
    </row>
    <row r="9733" spans="5:10" ht="30" hidden="1">
      <c r="F9733" s="527">
        <v>489</v>
      </c>
      <c r="G9733" s="518" t="s">
        <v>3827</v>
      </c>
      <c r="J9733" s="635">
        <f t="shared" si="303"/>
        <v>0</v>
      </c>
    </row>
    <row r="9734" spans="5:10" hidden="1">
      <c r="F9734" s="527">
        <v>494</v>
      </c>
      <c r="G9734" s="518" t="s">
        <v>4177</v>
      </c>
      <c r="J9734" s="635">
        <f t="shared" si="303"/>
        <v>0</v>
      </c>
    </row>
    <row r="9735" spans="5:10" ht="30" hidden="1">
      <c r="F9735" s="527">
        <v>495</v>
      </c>
      <c r="G9735" s="518" t="s">
        <v>4178</v>
      </c>
      <c r="J9735" s="635">
        <f t="shared" si="303"/>
        <v>0</v>
      </c>
    </row>
    <row r="9736" spans="5:10" ht="30" hidden="1">
      <c r="F9736" s="527">
        <v>496</v>
      </c>
      <c r="G9736" s="518" t="s">
        <v>4179</v>
      </c>
      <c r="J9736" s="635">
        <f t="shared" si="303"/>
        <v>0</v>
      </c>
    </row>
    <row r="9737" spans="5:10" hidden="1">
      <c r="F9737" s="527">
        <v>499</v>
      </c>
      <c r="G9737" s="518" t="s">
        <v>4180</v>
      </c>
      <c r="J9737" s="635">
        <f t="shared" si="303"/>
        <v>0</v>
      </c>
    </row>
    <row r="9738" spans="5:10" hidden="1">
      <c r="F9738" s="527">
        <v>511</v>
      </c>
      <c r="G9738" s="520" t="s">
        <v>4200</v>
      </c>
      <c r="J9738" s="635">
        <f t="shared" si="303"/>
        <v>0</v>
      </c>
    </row>
    <row r="9739" spans="5:10">
      <c r="E9739" s="263">
        <v>112</v>
      </c>
      <c r="F9739" s="527">
        <v>512</v>
      </c>
      <c r="G9739" s="520" t="s">
        <v>4201</v>
      </c>
      <c r="H9739" s="634">
        <v>74500</v>
      </c>
      <c r="I9739" s="635">
        <v>31200</v>
      </c>
      <c r="J9739" s="635">
        <f t="shared" si="303"/>
        <v>105700</v>
      </c>
    </row>
    <row r="9740" spans="5:10" hidden="1">
      <c r="F9740" s="527">
        <v>513</v>
      </c>
      <c r="G9740" s="520" t="s">
        <v>4202</v>
      </c>
      <c r="J9740" s="635">
        <f t="shared" si="303"/>
        <v>0</v>
      </c>
    </row>
    <row r="9741" spans="5:10" hidden="1">
      <c r="F9741" s="527">
        <v>514</v>
      </c>
      <c r="G9741" s="518" t="s">
        <v>4203</v>
      </c>
      <c r="J9741" s="635">
        <f t="shared" si="303"/>
        <v>0</v>
      </c>
    </row>
    <row r="9742" spans="5:10" ht="15.75" thickBot="1">
      <c r="E9742" s="263">
        <v>113</v>
      </c>
      <c r="F9742" s="527">
        <v>515</v>
      </c>
      <c r="G9742" s="518" t="s">
        <v>3838</v>
      </c>
      <c r="H9742" s="634">
        <v>290000</v>
      </c>
      <c r="I9742" s="635">
        <v>62400</v>
      </c>
      <c r="J9742" s="635">
        <f t="shared" si="303"/>
        <v>352400</v>
      </c>
    </row>
    <row r="9743" spans="5:10" hidden="1">
      <c r="F9743" s="527">
        <v>521</v>
      </c>
      <c r="G9743" s="518" t="s">
        <v>4204</v>
      </c>
      <c r="J9743" s="635">
        <f t="shared" si="303"/>
        <v>0</v>
      </c>
    </row>
    <row r="9744" spans="5:10" hidden="1">
      <c r="F9744" s="527">
        <v>522</v>
      </c>
      <c r="G9744" s="518" t="s">
        <v>4205</v>
      </c>
      <c r="J9744" s="635">
        <f t="shared" si="303"/>
        <v>0</v>
      </c>
    </row>
    <row r="9745" spans="5:10" hidden="1">
      <c r="F9745" s="527">
        <v>523</v>
      </c>
      <c r="G9745" s="518" t="s">
        <v>3843</v>
      </c>
      <c r="J9745" s="635">
        <f t="shared" si="303"/>
        <v>0</v>
      </c>
    </row>
    <row r="9746" spans="5:10" hidden="1">
      <c r="F9746" s="527">
        <v>531</v>
      </c>
      <c r="G9746" s="515" t="s">
        <v>4181</v>
      </c>
      <c r="J9746" s="635">
        <f t="shared" si="303"/>
        <v>0</v>
      </c>
    </row>
    <row r="9747" spans="5:10" hidden="1">
      <c r="F9747" s="527">
        <v>541</v>
      </c>
      <c r="G9747" s="518" t="s">
        <v>4206</v>
      </c>
      <c r="J9747" s="635">
        <f t="shared" si="303"/>
        <v>0</v>
      </c>
    </row>
    <row r="9748" spans="5:10" hidden="1">
      <c r="F9748" s="527">
        <v>542</v>
      </c>
      <c r="G9748" s="518" t="s">
        <v>4207</v>
      </c>
      <c r="J9748" s="635">
        <f t="shared" si="303"/>
        <v>0</v>
      </c>
    </row>
    <row r="9749" spans="5:10" hidden="1">
      <c r="F9749" s="527">
        <v>543</v>
      </c>
      <c r="G9749" s="518" t="s">
        <v>3848</v>
      </c>
      <c r="J9749" s="635">
        <f t="shared" si="303"/>
        <v>0</v>
      </c>
    </row>
    <row r="9750" spans="5:10" ht="30" hidden="1">
      <c r="F9750" s="527">
        <v>551</v>
      </c>
      <c r="G9750" s="518" t="s">
        <v>4182</v>
      </c>
      <c r="J9750" s="635">
        <f t="shared" si="303"/>
        <v>0</v>
      </c>
    </row>
    <row r="9751" spans="5:10" hidden="1">
      <c r="F9751" s="528">
        <v>611</v>
      </c>
      <c r="G9751" s="526" t="s">
        <v>3854</v>
      </c>
      <c r="J9751" s="635">
        <f t="shared" si="303"/>
        <v>0</v>
      </c>
    </row>
    <row r="9752" spans="5:10" ht="15.75" hidden="1" thickBot="1">
      <c r="F9752" s="528">
        <v>620</v>
      </c>
      <c r="G9752" s="526" t="s">
        <v>88</v>
      </c>
      <c r="J9752" s="635">
        <f t="shared" si="303"/>
        <v>0</v>
      </c>
    </row>
    <row r="9753" spans="5:10">
      <c r="E9753" s="516"/>
      <c r="F9753" s="528"/>
      <c r="G9753" s="372" t="s">
        <v>4439</v>
      </c>
      <c r="H9753" s="636"/>
      <c r="I9753" s="662"/>
      <c r="J9753" s="637"/>
    </row>
    <row r="9754" spans="5:10">
      <c r="E9754" s="267"/>
      <c r="F9754" s="294" t="s">
        <v>234</v>
      </c>
      <c r="G9754" s="297" t="s">
        <v>235</v>
      </c>
      <c r="H9754" s="638">
        <f>SUM(H9693:H9752)</f>
        <v>9889900</v>
      </c>
      <c r="I9754" s="639"/>
      <c r="J9754" s="639">
        <f t="shared" ref="J9754:J9769" si="304">SUM(H9754:I9754)</f>
        <v>9889900</v>
      </c>
    </row>
    <row r="9755" spans="5:10" hidden="1">
      <c r="F9755" s="294" t="s">
        <v>236</v>
      </c>
      <c r="G9755" s="297" t="s">
        <v>237</v>
      </c>
      <c r="J9755" s="639">
        <f t="shared" si="304"/>
        <v>0</v>
      </c>
    </row>
    <row r="9756" spans="5:10" hidden="1">
      <c r="F9756" s="294" t="s">
        <v>238</v>
      </c>
      <c r="G9756" s="297" t="s">
        <v>239</v>
      </c>
      <c r="J9756" s="639">
        <f t="shared" si="304"/>
        <v>0</v>
      </c>
    </row>
    <row r="9757" spans="5:10" ht="15.75" thickBot="1">
      <c r="F9757" s="294" t="s">
        <v>240</v>
      </c>
      <c r="G9757" s="297" t="s">
        <v>241</v>
      </c>
      <c r="I9757" s="635">
        <f>SUM(I9693:I9742)</f>
        <v>719760</v>
      </c>
      <c r="J9757" s="639">
        <f t="shared" si="304"/>
        <v>719760</v>
      </c>
    </row>
    <row r="9758" spans="5:10" hidden="1">
      <c r="F9758" s="294" t="s">
        <v>242</v>
      </c>
      <c r="G9758" s="297" t="s">
        <v>243</v>
      </c>
      <c r="J9758" s="639">
        <f t="shared" si="304"/>
        <v>0</v>
      </c>
    </row>
    <row r="9759" spans="5:10" hidden="1">
      <c r="F9759" s="294" t="s">
        <v>244</v>
      </c>
      <c r="G9759" s="297" t="s">
        <v>245</v>
      </c>
      <c r="J9759" s="639">
        <f t="shared" si="304"/>
        <v>0</v>
      </c>
    </row>
    <row r="9760" spans="5:10" hidden="1">
      <c r="F9760" s="294" t="s">
        <v>246</v>
      </c>
      <c r="G9760" s="683" t="s">
        <v>5121</v>
      </c>
      <c r="J9760" s="639">
        <f t="shared" si="304"/>
        <v>0</v>
      </c>
    </row>
    <row r="9761" spans="5:10" hidden="1">
      <c r="F9761" s="294" t="s">
        <v>247</v>
      </c>
      <c r="G9761" s="683" t="s">
        <v>5120</v>
      </c>
      <c r="J9761" s="639">
        <f t="shared" si="304"/>
        <v>0</v>
      </c>
    </row>
    <row r="9762" spans="5:10" hidden="1">
      <c r="F9762" s="294" t="s">
        <v>248</v>
      </c>
      <c r="G9762" s="297" t="s">
        <v>57</v>
      </c>
      <c r="J9762" s="639">
        <f t="shared" si="304"/>
        <v>0</v>
      </c>
    </row>
    <row r="9763" spans="5:10" hidden="1">
      <c r="F9763" s="294" t="s">
        <v>249</v>
      </c>
      <c r="G9763" s="297" t="s">
        <v>250</v>
      </c>
      <c r="J9763" s="639">
        <f t="shared" si="304"/>
        <v>0</v>
      </c>
    </row>
    <row r="9764" spans="5:10" hidden="1">
      <c r="F9764" s="294" t="s">
        <v>251</v>
      </c>
      <c r="G9764" s="297" t="s">
        <v>252</v>
      </c>
      <c r="J9764" s="639">
        <f t="shared" si="304"/>
        <v>0</v>
      </c>
    </row>
    <row r="9765" spans="5:10" hidden="1">
      <c r="F9765" s="294" t="s">
        <v>253</v>
      </c>
      <c r="G9765" s="297" t="s">
        <v>254</v>
      </c>
      <c r="J9765" s="639">
        <f t="shared" si="304"/>
        <v>0</v>
      </c>
    </row>
    <row r="9766" spans="5:10" hidden="1">
      <c r="F9766" s="294" t="s">
        <v>255</v>
      </c>
      <c r="G9766" s="297" t="s">
        <v>256</v>
      </c>
      <c r="J9766" s="639">
        <f t="shared" si="304"/>
        <v>0</v>
      </c>
    </row>
    <row r="9767" spans="5:10" hidden="1">
      <c r="F9767" s="294" t="s">
        <v>257</v>
      </c>
      <c r="G9767" s="297" t="s">
        <v>258</v>
      </c>
      <c r="J9767" s="639">
        <f t="shared" si="304"/>
        <v>0</v>
      </c>
    </row>
    <row r="9768" spans="5:10" hidden="1">
      <c r="F9768" s="294" t="s">
        <v>259</v>
      </c>
      <c r="G9768" s="297" t="s">
        <v>260</v>
      </c>
      <c r="J9768" s="639">
        <f t="shared" si="304"/>
        <v>0</v>
      </c>
    </row>
    <row r="9769" spans="5:10" ht="16.5" hidden="1" customHeight="1" thickBot="1">
      <c r="F9769" s="294" t="s">
        <v>261</v>
      </c>
      <c r="G9769" s="297" t="s">
        <v>262</v>
      </c>
      <c r="H9769" s="638"/>
      <c r="I9769" s="639"/>
      <c r="J9769" s="639">
        <f t="shared" si="304"/>
        <v>0</v>
      </c>
    </row>
    <row r="9770" spans="5:10" ht="15.75" thickBot="1">
      <c r="G9770" s="274" t="s">
        <v>4440</v>
      </c>
      <c r="H9770" s="640">
        <f>SUM(H9754:H9769)</f>
        <v>9889900</v>
      </c>
      <c r="I9770" s="641">
        <f>SUM(I9757)</f>
        <v>719760</v>
      </c>
      <c r="J9770" s="641">
        <f>SUM(J9754:J9769)</f>
        <v>10609660</v>
      </c>
    </row>
    <row r="9771" spans="5:10" collapsed="1">
      <c r="E9771" s="516"/>
      <c r="F9771" s="528"/>
      <c r="G9771" s="276" t="s">
        <v>4441</v>
      </c>
      <c r="H9771" s="642"/>
      <c r="I9771" s="663"/>
      <c r="J9771" s="643"/>
    </row>
    <row r="9772" spans="5:10">
      <c r="E9772" s="267"/>
      <c r="F9772" s="294" t="s">
        <v>234</v>
      </c>
      <c r="G9772" s="297" t="s">
        <v>235</v>
      </c>
      <c r="H9772" s="638">
        <f>SUM(H9693:H9752)</f>
        <v>9889900</v>
      </c>
      <c r="I9772" s="639"/>
      <c r="J9772" s="639">
        <f>SUM(H9772:I9772)</f>
        <v>9889900</v>
      </c>
    </row>
    <row r="9773" spans="5:10" hidden="1">
      <c r="F9773" s="294" t="s">
        <v>236</v>
      </c>
      <c r="G9773" s="297" t="s">
        <v>237</v>
      </c>
      <c r="J9773" s="639">
        <f t="shared" ref="J9773:J9787" si="305">SUM(H9773:I9773)</f>
        <v>0</v>
      </c>
    </row>
    <row r="9774" spans="5:10" hidden="1">
      <c r="F9774" s="294" t="s">
        <v>238</v>
      </c>
      <c r="G9774" s="297" t="s">
        <v>239</v>
      </c>
      <c r="J9774" s="639">
        <f t="shared" si="305"/>
        <v>0</v>
      </c>
    </row>
    <row r="9775" spans="5:10" ht="15.75" thickBot="1">
      <c r="F9775" s="294" t="s">
        <v>240</v>
      </c>
      <c r="G9775" s="297" t="s">
        <v>241</v>
      </c>
      <c r="I9775" s="635">
        <f>SUM(I9757)</f>
        <v>719760</v>
      </c>
      <c r="J9775" s="639">
        <f t="shared" si="305"/>
        <v>719760</v>
      </c>
    </row>
    <row r="9776" spans="5:10" hidden="1">
      <c r="F9776" s="294" t="s">
        <v>242</v>
      </c>
      <c r="G9776" s="297" t="s">
        <v>243</v>
      </c>
      <c r="J9776" s="639">
        <f t="shared" si="305"/>
        <v>0</v>
      </c>
    </row>
    <row r="9777" spans="3:10" hidden="1">
      <c r="F9777" s="294" t="s">
        <v>244</v>
      </c>
      <c r="G9777" s="297" t="s">
        <v>245</v>
      </c>
      <c r="J9777" s="639">
        <f t="shared" si="305"/>
        <v>0</v>
      </c>
    </row>
    <row r="9778" spans="3:10" hidden="1">
      <c r="F9778" s="294" t="s">
        <v>246</v>
      </c>
      <c r="G9778" s="683" t="s">
        <v>5121</v>
      </c>
      <c r="J9778" s="639">
        <f t="shared" si="305"/>
        <v>0</v>
      </c>
    </row>
    <row r="9779" spans="3:10" hidden="1">
      <c r="F9779" s="294" t="s">
        <v>247</v>
      </c>
      <c r="G9779" s="683" t="s">
        <v>5120</v>
      </c>
      <c r="J9779" s="639">
        <f t="shared" si="305"/>
        <v>0</v>
      </c>
    </row>
    <row r="9780" spans="3:10" hidden="1">
      <c r="F9780" s="294" t="s">
        <v>248</v>
      </c>
      <c r="G9780" s="297" t="s">
        <v>57</v>
      </c>
      <c r="J9780" s="639">
        <f t="shared" si="305"/>
        <v>0</v>
      </c>
    </row>
    <row r="9781" spans="3:10" hidden="1">
      <c r="F9781" s="294" t="s">
        <v>249</v>
      </c>
      <c r="G9781" s="297" t="s">
        <v>250</v>
      </c>
      <c r="J9781" s="639">
        <f t="shared" si="305"/>
        <v>0</v>
      </c>
    </row>
    <row r="9782" spans="3:10" hidden="1">
      <c r="F9782" s="294" t="s">
        <v>251</v>
      </c>
      <c r="G9782" s="297" t="s">
        <v>252</v>
      </c>
      <c r="J9782" s="639">
        <f t="shared" si="305"/>
        <v>0</v>
      </c>
    </row>
    <row r="9783" spans="3:10" hidden="1">
      <c r="F9783" s="294" t="s">
        <v>253</v>
      </c>
      <c r="G9783" s="297" t="s">
        <v>254</v>
      </c>
      <c r="J9783" s="639">
        <f t="shared" si="305"/>
        <v>0</v>
      </c>
    </row>
    <row r="9784" spans="3:10" hidden="1">
      <c r="F9784" s="294" t="s">
        <v>255</v>
      </c>
      <c r="G9784" s="297" t="s">
        <v>256</v>
      </c>
      <c r="J9784" s="639">
        <f t="shared" si="305"/>
        <v>0</v>
      </c>
    </row>
    <row r="9785" spans="3:10" hidden="1">
      <c r="F9785" s="294" t="s">
        <v>257</v>
      </c>
      <c r="G9785" s="297" t="s">
        <v>258</v>
      </c>
      <c r="J9785" s="639">
        <f t="shared" si="305"/>
        <v>0</v>
      </c>
    </row>
    <row r="9786" spans="3:10" hidden="1">
      <c r="F9786" s="294" t="s">
        <v>259</v>
      </c>
      <c r="G9786" s="297" t="s">
        <v>260</v>
      </c>
      <c r="J9786" s="639">
        <f t="shared" si="305"/>
        <v>0</v>
      </c>
    </row>
    <row r="9787" spans="3:10" ht="15.75" hidden="1" thickBot="1">
      <c r="F9787" s="294" t="s">
        <v>261</v>
      </c>
      <c r="G9787" s="297" t="s">
        <v>262</v>
      </c>
      <c r="H9787" s="638"/>
      <c r="I9787" s="639"/>
      <c r="J9787" s="639">
        <f t="shared" si="305"/>
        <v>0</v>
      </c>
    </row>
    <row r="9788" spans="3:10" ht="15.75" collapsed="1" thickBot="1">
      <c r="G9788" s="274" t="s">
        <v>4442</v>
      </c>
      <c r="H9788" s="640">
        <f>SUM(H9772:H9787)</f>
        <v>9889900</v>
      </c>
      <c r="I9788" s="641">
        <f>SUM(I9775)</f>
        <v>719760</v>
      </c>
      <c r="J9788" s="641">
        <f>SUM(J9772:J9787)</f>
        <v>10609660</v>
      </c>
    </row>
    <row r="9789" spans="3:10" hidden="1"/>
    <row r="9790" spans="3:10" hidden="1">
      <c r="C9790" s="273" t="s">
        <v>4838</v>
      </c>
      <c r="D9790" s="264"/>
      <c r="G9790" s="519" t="s">
        <v>5089</v>
      </c>
    </row>
    <row r="9791" spans="3:10" hidden="1">
      <c r="C9791" s="273"/>
      <c r="D9791" s="357">
        <v>820</v>
      </c>
      <c r="E9791" s="357"/>
      <c r="F9791" s="357"/>
      <c r="G9791" s="358" t="s">
        <v>207</v>
      </c>
    </row>
    <row r="9792" spans="3:10" hidden="1">
      <c r="F9792" s="527">
        <v>411</v>
      </c>
      <c r="G9792" s="518" t="s">
        <v>4173</v>
      </c>
      <c r="J9792" s="635">
        <f>SUM(H9792:I9792)</f>
        <v>0</v>
      </c>
    </row>
    <row r="9793" spans="6:10" hidden="1">
      <c r="F9793" s="527">
        <v>412</v>
      </c>
      <c r="G9793" s="515" t="s">
        <v>3770</v>
      </c>
      <c r="J9793" s="635">
        <f t="shared" ref="J9793:J9851" si="306">SUM(H9793:I9793)</f>
        <v>0</v>
      </c>
    </row>
    <row r="9794" spans="6:10" hidden="1">
      <c r="F9794" s="527">
        <v>413</v>
      </c>
      <c r="G9794" s="518" t="s">
        <v>4174</v>
      </c>
      <c r="J9794" s="635">
        <f t="shared" si="306"/>
        <v>0</v>
      </c>
    </row>
    <row r="9795" spans="6:10" hidden="1">
      <c r="F9795" s="527">
        <v>414</v>
      </c>
      <c r="G9795" s="518" t="s">
        <v>3773</v>
      </c>
      <c r="J9795" s="635">
        <f t="shared" si="306"/>
        <v>0</v>
      </c>
    </row>
    <row r="9796" spans="6:10" hidden="1">
      <c r="F9796" s="527">
        <v>415</v>
      </c>
      <c r="G9796" s="518" t="s">
        <v>4183</v>
      </c>
      <c r="J9796" s="635">
        <f t="shared" si="306"/>
        <v>0</v>
      </c>
    </row>
    <row r="9797" spans="6:10" hidden="1">
      <c r="F9797" s="527">
        <v>416</v>
      </c>
      <c r="G9797" s="518" t="s">
        <v>4184</v>
      </c>
      <c r="J9797" s="635">
        <f t="shared" si="306"/>
        <v>0</v>
      </c>
    </row>
    <row r="9798" spans="6:10" hidden="1">
      <c r="F9798" s="527">
        <v>417</v>
      </c>
      <c r="G9798" s="518" t="s">
        <v>4185</v>
      </c>
      <c r="J9798" s="635">
        <f t="shared" si="306"/>
        <v>0</v>
      </c>
    </row>
    <row r="9799" spans="6:10" hidden="1">
      <c r="F9799" s="527">
        <v>418</v>
      </c>
      <c r="G9799" s="518" t="s">
        <v>3779</v>
      </c>
      <c r="J9799" s="635">
        <f t="shared" si="306"/>
        <v>0</v>
      </c>
    </row>
    <row r="9800" spans="6:10" hidden="1">
      <c r="F9800" s="527">
        <v>421</v>
      </c>
      <c r="G9800" s="518" t="s">
        <v>3783</v>
      </c>
      <c r="J9800" s="635">
        <f t="shared" si="306"/>
        <v>0</v>
      </c>
    </row>
    <row r="9801" spans="6:10" hidden="1">
      <c r="F9801" s="527">
        <v>422</v>
      </c>
      <c r="G9801" s="518" t="s">
        <v>3784</v>
      </c>
      <c r="J9801" s="635">
        <f t="shared" si="306"/>
        <v>0</v>
      </c>
    </row>
    <row r="9802" spans="6:10" ht="15.75" hidden="1" thickBot="1">
      <c r="F9802" s="527">
        <v>423</v>
      </c>
      <c r="G9802" s="518" t="s">
        <v>3785</v>
      </c>
      <c r="J9802" s="635">
        <f t="shared" si="306"/>
        <v>0</v>
      </c>
    </row>
    <row r="9803" spans="6:10" ht="15.75" hidden="1" thickBot="1">
      <c r="F9803" s="527">
        <v>424</v>
      </c>
      <c r="G9803" s="518" t="s">
        <v>3787</v>
      </c>
      <c r="J9803" s="635">
        <f t="shared" si="306"/>
        <v>0</v>
      </c>
    </row>
    <row r="9804" spans="6:10" ht="15.75" hidden="1" thickBot="1">
      <c r="F9804" s="527">
        <v>425</v>
      </c>
      <c r="G9804" s="518" t="s">
        <v>4186</v>
      </c>
      <c r="J9804" s="635">
        <f t="shared" si="306"/>
        <v>0</v>
      </c>
    </row>
    <row r="9805" spans="6:10" ht="15.75" hidden="1" thickBot="1">
      <c r="F9805" s="527">
        <v>426</v>
      </c>
      <c r="G9805" s="518" t="s">
        <v>3791</v>
      </c>
      <c r="J9805" s="635">
        <f t="shared" si="306"/>
        <v>0</v>
      </c>
    </row>
    <row r="9806" spans="6:10" ht="15.75" hidden="1" thickBot="1">
      <c r="F9806" s="527">
        <v>431</v>
      </c>
      <c r="G9806" s="518" t="s">
        <v>4187</v>
      </c>
      <c r="J9806" s="635">
        <f t="shared" si="306"/>
        <v>0</v>
      </c>
    </row>
    <row r="9807" spans="6:10" ht="15.75" hidden="1" thickBot="1">
      <c r="F9807" s="527">
        <v>432</v>
      </c>
      <c r="G9807" s="518" t="s">
        <v>4188</v>
      </c>
      <c r="J9807" s="635">
        <f t="shared" si="306"/>
        <v>0</v>
      </c>
    </row>
    <row r="9808" spans="6:10" ht="15.75" hidden="1" thickBot="1">
      <c r="F9808" s="527">
        <v>433</v>
      </c>
      <c r="G9808" s="518" t="s">
        <v>4189</v>
      </c>
      <c r="J9808" s="635">
        <f t="shared" si="306"/>
        <v>0</v>
      </c>
    </row>
    <row r="9809" spans="6:10" ht="15.75" hidden="1" thickBot="1">
      <c r="F9809" s="527">
        <v>434</v>
      </c>
      <c r="G9809" s="518" t="s">
        <v>4190</v>
      </c>
      <c r="J9809" s="635">
        <f t="shared" si="306"/>
        <v>0</v>
      </c>
    </row>
    <row r="9810" spans="6:10" ht="15.75" hidden="1" thickBot="1">
      <c r="F9810" s="527">
        <v>435</v>
      </c>
      <c r="G9810" s="518" t="s">
        <v>3798</v>
      </c>
      <c r="J9810" s="635">
        <f t="shared" si="306"/>
        <v>0</v>
      </c>
    </row>
    <row r="9811" spans="6:10" ht="15.75" hidden="1" thickBot="1">
      <c r="F9811" s="527">
        <v>441</v>
      </c>
      <c r="G9811" s="518" t="s">
        <v>4191</v>
      </c>
      <c r="J9811" s="635">
        <f t="shared" si="306"/>
        <v>0</v>
      </c>
    </row>
    <row r="9812" spans="6:10" ht="15.75" hidden="1" thickBot="1">
      <c r="F9812" s="527">
        <v>442</v>
      </c>
      <c r="G9812" s="518" t="s">
        <v>4192</v>
      </c>
      <c r="J9812" s="635">
        <f t="shared" si="306"/>
        <v>0</v>
      </c>
    </row>
    <row r="9813" spans="6:10" ht="15.75" hidden="1" thickBot="1">
      <c r="F9813" s="527">
        <v>443</v>
      </c>
      <c r="G9813" s="518" t="s">
        <v>3803</v>
      </c>
      <c r="J9813" s="635">
        <f t="shared" si="306"/>
        <v>0</v>
      </c>
    </row>
    <row r="9814" spans="6:10" ht="15.75" hidden="1" thickBot="1">
      <c r="F9814" s="527">
        <v>444</v>
      </c>
      <c r="G9814" s="518" t="s">
        <v>3804</v>
      </c>
      <c r="J9814" s="635">
        <f t="shared" si="306"/>
        <v>0</v>
      </c>
    </row>
    <row r="9815" spans="6:10" ht="30.75" hidden="1" thickBot="1">
      <c r="F9815" s="527">
        <v>4511</v>
      </c>
      <c r="G9815" s="268" t="s">
        <v>1690</v>
      </c>
      <c r="J9815" s="635">
        <f t="shared" si="306"/>
        <v>0</v>
      </c>
    </row>
    <row r="9816" spans="6:10" ht="30.75" hidden="1" thickBot="1">
      <c r="F9816" s="527">
        <v>4512</v>
      </c>
      <c r="G9816" s="268" t="s">
        <v>1699</v>
      </c>
      <c r="J9816" s="635">
        <f t="shared" si="306"/>
        <v>0</v>
      </c>
    </row>
    <row r="9817" spans="6:10" ht="15.75" hidden="1" thickBot="1">
      <c r="F9817" s="527">
        <v>452</v>
      </c>
      <c r="G9817" s="518" t="s">
        <v>4193</v>
      </c>
      <c r="J9817" s="635">
        <f t="shared" si="306"/>
        <v>0</v>
      </c>
    </row>
    <row r="9818" spans="6:10" ht="15.75" hidden="1" thickBot="1">
      <c r="F9818" s="527">
        <v>453</v>
      </c>
      <c r="G9818" s="518" t="s">
        <v>4194</v>
      </c>
      <c r="J9818" s="635">
        <f t="shared" si="306"/>
        <v>0</v>
      </c>
    </row>
    <row r="9819" spans="6:10" ht="15.75" hidden="1" thickBot="1">
      <c r="F9819" s="527">
        <v>454</v>
      </c>
      <c r="G9819" s="518" t="s">
        <v>3809</v>
      </c>
      <c r="J9819" s="635">
        <f t="shared" si="306"/>
        <v>0</v>
      </c>
    </row>
    <row r="9820" spans="6:10" ht="15.75" hidden="1" thickBot="1">
      <c r="F9820" s="527">
        <v>461</v>
      </c>
      <c r="G9820" s="518" t="s">
        <v>4175</v>
      </c>
      <c r="J9820" s="635">
        <f t="shared" si="306"/>
        <v>0</v>
      </c>
    </row>
    <row r="9821" spans="6:10" ht="15.75" hidden="1" thickBot="1">
      <c r="F9821" s="527">
        <v>462</v>
      </c>
      <c r="G9821" s="518" t="s">
        <v>3812</v>
      </c>
      <c r="J9821" s="635">
        <f t="shared" si="306"/>
        <v>0</v>
      </c>
    </row>
    <row r="9822" spans="6:10" ht="15.75" hidden="1" thickBot="1">
      <c r="F9822" s="527">
        <v>4631</v>
      </c>
      <c r="G9822" s="518" t="s">
        <v>3813</v>
      </c>
      <c r="J9822" s="635">
        <f t="shared" si="306"/>
        <v>0</v>
      </c>
    </row>
    <row r="9823" spans="6:10" ht="15.75" hidden="1" thickBot="1">
      <c r="F9823" s="527">
        <v>4632</v>
      </c>
      <c r="G9823" s="518" t="s">
        <v>3814</v>
      </c>
      <c r="J9823" s="635">
        <f t="shared" si="306"/>
        <v>0</v>
      </c>
    </row>
    <row r="9824" spans="6:10" ht="15.75" hidden="1" thickBot="1">
      <c r="F9824" s="527">
        <v>464</v>
      </c>
      <c r="G9824" s="518" t="s">
        <v>3815</v>
      </c>
      <c r="J9824" s="635">
        <f t="shared" si="306"/>
        <v>0</v>
      </c>
    </row>
    <row r="9825" spans="6:10" ht="15.75" hidden="1" thickBot="1">
      <c r="F9825" s="527">
        <v>465</v>
      </c>
      <c r="G9825" s="518" t="s">
        <v>4176</v>
      </c>
      <c r="J9825" s="635">
        <f t="shared" si="306"/>
        <v>0</v>
      </c>
    </row>
    <row r="9826" spans="6:10" ht="15.75" hidden="1" thickBot="1">
      <c r="F9826" s="527">
        <v>472</v>
      </c>
      <c r="G9826" s="518" t="s">
        <v>3819</v>
      </c>
      <c r="J9826" s="635">
        <f t="shared" si="306"/>
        <v>0</v>
      </c>
    </row>
    <row r="9827" spans="6:10" ht="15.75" hidden="1" thickBot="1">
      <c r="F9827" s="527">
        <v>481</v>
      </c>
      <c r="G9827" s="518" t="s">
        <v>4195</v>
      </c>
      <c r="J9827" s="635">
        <f t="shared" si="306"/>
        <v>0</v>
      </c>
    </row>
    <row r="9828" spans="6:10" ht="15.75" hidden="1" thickBot="1">
      <c r="F9828" s="527">
        <v>482</v>
      </c>
      <c r="G9828" s="518" t="s">
        <v>4196</v>
      </c>
      <c r="J9828" s="635">
        <f t="shared" si="306"/>
        <v>0</v>
      </c>
    </row>
    <row r="9829" spans="6:10" ht="15.75" hidden="1" thickBot="1">
      <c r="F9829" s="527">
        <v>483</v>
      </c>
      <c r="G9829" s="520" t="s">
        <v>4197</v>
      </c>
      <c r="J9829" s="635">
        <f t="shared" si="306"/>
        <v>0</v>
      </c>
    </row>
    <row r="9830" spans="6:10" ht="30.75" hidden="1" thickBot="1">
      <c r="F9830" s="527">
        <v>484</v>
      </c>
      <c r="G9830" s="518" t="s">
        <v>4198</v>
      </c>
      <c r="J9830" s="635">
        <f t="shared" si="306"/>
        <v>0</v>
      </c>
    </row>
    <row r="9831" spans="6:10" ht="30.75" hidden="1" thickBot="1">
      <c r="F9831" s="527">
        <v>485</v>
      </c>
      <c r="G9831" s="518" t="s">
        <v>4199</v>
      </c>
      <c r="J9831" s="635">
        <f t="shared" si="306"/>
        <v>0</v>
      </c>
    </row>
    <row r="9832" spans="6:10" ht="30.75" hidden="1" thickBot="1">
      <c r="F9832" s="527">
        <v>489</v>
      </c>
      <c r="G9832" s="518" t="s">
        <v>3827</v>
      </c>
      <c r="J9832" s="635">
        <f t="shared" si="306"/>
        <v>0</v>
      </c>
    </row>
    <row r="9833" spans="6:10" ht="15.75" hidden="1" thickBot="1">
      <c r="F9833" s="527">
        <v>494</v>
      </c>
      <c r="G9833" s="518" t="s">
        <v>4177</v>
      </c>
      <c r="J9833" s="635">
        <f t="shared" si="306"/>
        <v>0</v>
      </c>
    </row>
    <row r="9834" spans="6:10" ht="30.75" hidden="1" thickBot="1">
      <c r="F9834" s="527">
        <v>495</v>
      </c>
      <c r="G9834" s="518" t="s">
        <v>4178</v>
      </c>
      <c r="J9834" s="635">
        <f t="shared" si="306"/>
        <v>0</v>
      </c>
    </row>
    <row r="9835" spans="6:10" ht="30.75" hidden="1" thickBot="1">
      <c r="F9835" s="527">
        <v>496</v>
      </c>
      <c r="G9835" s="518" t="s">
        <v>4179</v>
      </c>
      <c r="J9835" s="635">
        <f t="shared" si="306"/>
        <v>0</v>
      </c>
    </row>
    <row r="9836" spans="6:10" ht="15.75" hidden="1" thickBot="1">
      <c r="F9836" s="527">
        <v>499</v>
      </c>
      <c r="G9836" s="518" t="s">
        <v>4180</v>
      </c>
      <c r="J9836" s="635">
        <f t="shared" si="306"/>
        <v>0</v>
      </c>
    </row>
    <row r="9837" spans="6:10" ht="15.75" hidden="1" thickBot="1">
      <c r="F9837" s="527">
        <v>511</v>
      </c>
      <c r="G9837" s="520" t="s">
        <v>4200</v>
      </c>
      <c r="J9837" s="635">
        <f t="shared" si="306"/>
        <v>0</v>
      </c>
    </row>
    <row r="9838" spans="6:10" ht="15.75" hidden="1" thickBot="1">
      <c r="F9838" s="527">
        <v>512</v>
      </c>
      <c r="G9838" s="520" t="s">
        <v>4201</v>
      </c>
      <c r="J9838" s="635">
        <f t="shared" si="306"/>
        <v>0</v>
      </c>
    </row>
    <row r="9839" spans="6:10" ht="15.75" hidden="1" thickBot="1">
      <c r="F9839" s="527">
        <v>513</v>
      </c>
      <c r="G9839" s="520" t="s">
        <v>4202</v>
      </c>
      <c r="J9839" s="635">
        <f t="shared" si="306"/>
        <v>0</v>
      </c>
    </row>
    <row r="9840" spans="6:10" ht="15.75" hidden="1" thickBot="1">
      <c r="F9840" s="527">
        <v>514</v>
      </c>
      <c r="G9840" s="518" t="s">
        <v>4203</v>
      </c>
      <c r="J9840" s="635">
        <f t="shared" si="306"/>
        <v>0</v>
      </c>
    </row>
    <row r="9841" spans="5:10" ht="15.75" hidden="1" thickBot="1">
      <c r="F9841" s="527">
        <v>515</v>
      </c>
      <c r="G9841" s="518" t="s">
        <v>3838</v>
      </c>
      <c r="J9841" s="635">
        <f t="shared" si="306"/>
        <v>0</v>
      </c>
    </row>
    <row r="9842" spans="5:10" ht="15.75" hidden="1" thickBot="1">
      <c r="F9842" s="527">
        <v>521</v>
      </c>
      <c r="G9842" s="518" t="s">
        <v>4204</v>
      </c>
      <c r="J9842" s="635">
        <f t="shared" si="306"/>
        <v>0</v>
      </c>
    </row>
    <row r="9843" spans="5:10" ht="15.75" hidden="1" thickBot="1">
      <c r="F9843" s="527">
        <v>522</v>
      </c>
      <c r="G9843" s="518" t="s">
        <v>4205</v>
      </c>
      <c r="J9843" s="635">
        <f t="shared" si="306"/>
        <v>0</v>
      </c>
    </row>
    <row r="9844" spans="5:10" ht="15.75" hidden="1" thickBot="1">
      <c r="F9844" s="527">
        <v>523</v>
      </c>
      <c r="G9844" s="518" t="s">
        <v>3843</v>
      </c>
      <c r="J9844" s="635">
        <f t="shared" si="306"/>
        <v>0</v>
      </c>
    </row>
    <row r="9845" spans="5:10" ht="15.75" hidden="1" thickBot="1">
      <c r="F9845" s="527">
        <v>531</v>
      </c>
      <c r="G9845" s="515" t="s">
        <v>4181</v>
      </c>
      <c r="J9845" s="635">
        <f t="shared" si="306"/>
        <v>0</v>
      </c>
    </row>
    <row r="9846" spans="5:10" ht="15.75" hidden="1" thickBot="1">
      <c r="F9846" s="527">
        <v>541</v>
      </c>
      <c r="G9846" s="518" t="s">
        <v>4206</v>
      </c>
      <c r="J9846" s="635">
        <f t="shared" si="306"/>
        <v>0</v>
      </c>
    </row>
    <row r="9847" spans="5:10" ht="15.75" hidden="1" thickBot="1">
      <c r="F9847" s="527">
        <v>542</v>
      </c>
      <c r="G9847" s="518" t="s">
        <v>4207</v>
      </c>
      <c r="J9847" s="635">
        <f t="shared" si="306"/>
        <v>0</v>
      </c>
    </row>
    <row r="9848" spans="5:10" ht="15.75" hidden="1" thickBot="1">
      <c r="F9848" s="527">
        <v>543</v>
      </c>
      <c r="G9848" s="518" t="s">
        <v>3848</v>
      </c>
      <c r="J9848" s="635">
        <f t="shared" si="306"/>
        <v>0</v>
      </c>
    </row>
    <row r="9849" spans="5:10" ht="30.75" hidden="1" thickBot="1">
      <c r="F9849" s="527">
        <v>551</v>
      </c>
      <c r="G9849" s="518" t="s">
        <v>4182</v>
      </c>
      <c r="J9849" s="635">
        <f t="shared" si="306"/>
        <v>0</v>
      </c>
    </row>
    <row r="9850" spans="5:10" ht="15.75" hidden="1" thickBot="1">
      <c r="F9850" s="528">
        <v>611</v>
      </c>
      <c r="G9850" s="526" t="s">
        <v>3854</v>
      </c>
      <c r="J9850" s="635">
        <f t="shared" si="306"/>
        <v>0</v>
      </c>
    </row>
    <row r="9851" spans="5:10" ht="15.75" hidden="1" thickBot="1">
      <c r="F9851" s="528">
        <v>620</v>
      </c>
      <c r="G9851" s="526" t="s">
        <v>88</v>
      </c>
      <c r="J9851" s="635">
        <f t="shared" si="306"/>
        <v>0</v>
      </c>
    </row>
    <row r="9852" spans="5:10" hidden="1">
      <c r="E9852" s="516"/>
      <c r="F9852" s="528"/>
      <c r="G9852" s="371" t="s">
        <v>4439</v>
      </c>
      <c r="H9852" s="636"/>
      <c r="I9852" s="662"/>
      <c r="J9852" s="637"/>
    </row>
    <row r="9853" spans="5:10" hidden="1">
      <c r="E9853" s="267"/>
      <c r="F9853" s="294" t="s">
        <v>234</v>
      </c>
      <c r="G9853" s="297" t="s">
        <v>235</v>
      </c>
      <c r="H9853" s="638">
        <f>SUM(H9792:H9851)</f>
        <v>0</v>
      </c>
      <c r="I9853" s="639"/>
      <c r="J9853" s="639">
        <f>SUM(H9853:I9853)</f>
        <v>0</v>
      </c>
    </row>
    <row r="9854" spans="5:10" hidden="1">
      <c r="F9854" s="294" t="s">
        <v>236</v>
      </c>
      <c r="G9854" s="297" t="s">
        <v>237</v>
      </c>
      <c r="J9854" s="639">
        <f t="shared" ref="J9854:J9868" si="307">SUM(H9854:I9854)</f>
        <v>0</v>
      </c>
    </row>
    <row r="9855" spans="5:10" hidden="1">
      <c r="F9855" s="294" t="s">
        <v>238</v>
      </c>
      <c r="G9855" s="297" t="s">
        <v>239</v>
      </c>
      <c r="J9855" s="639">
        <f t="shared" si="307"/>
        <v>0</v>
      </c>
    </row>
    <row r="9856" spans="5:10" hidden="1">
      <c r="F9856" s="294" t="s">
        <v>240</v>
      </c>
      <c r="G9856" s="297" t="s">
        <v>241</v>
      </c>
      <c r="J9856" s="639">
        <f t="shared" si="307"/>
        <v>0</v>
      </c>
    </row>
    <row r="9857" spans="5:10" hidden="1">
      <c r="F9857" s="294" t="s">
        <v>242</v>
      </c>
      <c r="G9857" s="297" t="s">
        <v>243</v>
      </c>
      <c r="J9857" s="639">
        <f t="shared" si="307"/>
        <v>0</v>
      </c>
    </row>
    <row r="9858" spans="5:10" hidden="1">
      <c r="F9858" s="294" t="s">
        <v>244</v>
      </c>
      <c r="G9858" s="297" t="s">
        <v>245</v>
      </c>
      <c r="J9858" s="639">
        <f t="shared" si="307"/>
        <v>0</v>
      </c>
    </row>
    <row r="9859" spans="5:10" hidden="1">
      <c r="F9859" s="294" t="s">
        <v>246</v>
      </c>
      <c r="G9859" s="683" t="s">
        <v>5121</v>
      </c>
      <c r="J9859" s="639">
        <f t="shared" si="307"/>
        <v>0</v>
      </c>
    </row>
    <row r="9860" spans="5:10" ht="15.75" hidden="1" thickBot="1">
      <c r="F9860" s="294" t="s">
        <v>247</v>
      </c>
      <c r="G9860" s="683" t="s">
        <v>5120</v>
      </c>
      <c r="J9860" s="639">
        <f t="shared" si="307"/>
        <v>0</v>
      </c>
    </row>
    <row r="9861" spans="5:10" ht="15.75" hidden="1" thickBot="1">
      <c r="F9861" s="294" t="s">
        <v>248</v>
      </c>
      <c r="G9861" s="297" t="s">
        <v>57</v>
      </c>
      <c r="J9861" s="639">
        <f t="shared" si="307"/>
        <v>0</v>
      </c>
    </row>
    <row r="9862" spans="5:10" ht="15.75" hidden="1" thickBot="1">
      <c r="F9862" s="294" t="s">
        <v>249</v>
      </c>
      <c r="G9862" s="297" t="s">
        <v>250</v>
      </c>
      <c r="J9862" s="639">
        <f t="shared" si="307"/>
        <v>0</v>
      </c>
    </row>
    <row r="9863" spans="5:10" ht="15.75" hidden="1" thickBot="1">
      <c r="F9863" s="294" t="s">
        <v>251</v>
      </c>
      <c r="G9863" s="297" t="s">
        <v>252</v>
      </c>
      <c r="J9863" s="639">
        <f t="shared" si="307"/>
        <v>0</v>
      </c>
    </row>
    <row r="9864" spans="5:10" ht="15.75" hidden="1" thickBot="1">
      <c r="F9864" s="294" t="s">
        <v>253</v>
      </c>
      <c r="G9864" s="297" t="s">
        <v>254</v>
      </c>
      <c r="J9864" s="639">
        <f t="shared" si="307"/>
        <v>0</v>
      </c>
    </row>
    <row r="9865" spans="5:10" ht="15.75" hidden="1" thickBot="1">
      <c r="F9865" s="294" t="s">
        <v>255</v>
      </c>
      <c r="G9865" s="297" t="s">
        <v>256</v>
      </c>
      <c r="J9865" s="639">
        <f t="shared" si="307"/>
        <v>0</v>
      </c>
    </row>
    <row r="9866" spans="5:10" ht="15.75" hidden="1" thickBot="1">
      <c r="F9866" s="294" t="s">
        <v>257</v>
      </c>
      <c r="G9866" s="297" t="s">
        <v>258</v>
      </c>
      <c r="J9866" s="639">
        <f t="shared" si="307"/>
        <v>0</v>
      </c>
    </row>
    <row r="9867" spans="5:10" ht="15.75" hidden="1" thickBot="1">
      <c r="F9867" s="294" t="s">
        <v>259</v>
      </c>
      <c r="G9867" s="297" t="s">
        <v>260</v>
      </c>
      <c r="J9867" s="639">
        <f t="shared" si="307"/>
        <v>0</v>
      </c>
    </row>
    <row r="9868" spans="5:10" ht="15.75" hidden="1" thickBot="1">
      <c r="F9868" s="294" t="s">
        <v>261</v>
      </c>
      <c r="G9868" s="297" t="s">
        <v>262</v>
      </c>
      <c r="H9868" s="638"/>
      <c r="I9868" s="639"/>
      <c r="J9868" s="639">
        <f t="shared" si="307"/>
        <v>0</v>
      </c>
    </row>
    <row r="9869" spans="5:10" ht="15.75" hidden="1" thickBot="1">
      <c r="G9869" s="274" t="s">
        <v>4440</v>
      </c>
      <c r="H9869" s="640">
        <f>SUM(H9853:H9868)</f>
        <v>0</v>
      </c>
      <c r="I9869" s="641">
        <f>SUM(I9854:I9868)</f>
        <v>0</v>
      </c>
      <c r="J9869" s="641">
        <f>SUM(J9853:J9868)</f>
        <v>0</v>
      </c>
    </row>
    <row r="9870" spans="5:10" hidden="1" collapsed="1">
      <c r="E9870" s="516"/>
      <c r="F9870" s="528"/>
      <c r="G9870" s="276" t="s">
        <v>5035</v>
      </c>
      <c r="H9870" s="642"/>
      <c r="I9870" s="663"/>
      <c r="J9870" s="643"/>
    </row>
    <row r="9871" spans="5:10" ht="15.75" hidden="1" thickBot="1">
      <c r="E9871" s="267"/>
      <c r="F9871" s="294" t="s">
        <v>234</v>
      </c>
      <c r="G9871" s="297" t="s">
        <v>235</v>
      </c>
      <c r="H9871" s="638">
        <f>SUM(H9792:H9851)</f>
        <v>0</v>
      </c>
      <c r="I9871" s="639"/>
      <c r="J9871" s="639">
        <f>SUM(H9871:I9871)</f>
        <v>0</v>
      </c>
    </row>
    <row r="9872" spans="5:10" ht="15.75" hidden="1" thickBot="1">
      <c r="F9872" s="294" t="s">
        <v>236</v>
      </c>
      <c r="G9872" s="297" t="s">
        <v>237</v>
      </c>
      <c r="J9872" s="639">
        <f t="shared" ref="J9872:J9886" si="308">SUM(H9872:I9872)</f>
        <v>0</v>
      </c>
    </row>
    <row r="9873" spans="6:10" ht="15.75" hidden="1" thickBot="1">
      <c r="F9873" s="294" t="s">
        <v>238</v>
      </c>
      <c r="G9873" s="297" t="s">
        <v>239</v>
      </c>
      <c r="J9873" s="639">
        <f t="shared" si="308"/>
        <v>0</v>
      </c>
    </row>
    <row r="9874" spans="6:10" ht="15.75" hidden="1" thickBot="1">
      <c r="F9874" s="294" t="s">
        <v>240</v>
      </c>
      <c r="G9874" s="297" t="s">
        <v>241</v>
      </c>
      <c r="J9874" s="639">
        <f t="shared" si="308"/>
        <v>0</v>
      </c>
    </row>
    <row r="9875" spans="6:10" ht="15.75" hidden="1" thickBot="1">
      <c r="F9875" s="294" t="s">
        <v>242</v>
      </c>
      <c r="G9875" s="297" t="s">
        <v>243</v>
      </c>
      <c r="J9875" s="639">
        <f t="shared" si="308"/>
        <v>0</v>
      </c>
    </row>
    <row r="9876" spans="6:10" ht="15.75" hidden="1" thickBot="1">
      <c r="F9876" s="294" t="s">
        <v>244</v>
      </c>
      <c r="G9876" s="297" t="s">
        <v>245</v>
      </c>
      <c r="J9876" s="639">
        <f t="shared" si="308"/>
        <v>0</v>
      </c>
    </row>
    <row r="9877" spans="6:10" ht="15.75" hidden="1" thickBot="1">
      <c r="F9877" s="294" t="s">
        <v>246</v>
      </c>
      <c r="G9877" s="683" t="s">
        <v>5121</v>
      </c>
      <c r="J9877" s="639">
        <f t="shared" si="308"/>
        <v>0</v>
      </c>
    </row>
    <row r="9878" spans="6:10" ht="15.75" hidden="1" thickBot="1">
      <c r="F9878" s="294" t="s">
        <v>247</v>
      </c>
      <c r="G9878" s="683" t="s">
        <v>5120</v>
      </c>
      <c r="J9878" s="639">
        <f t="shared" si="308"/>
        <v>0</v>
      </c>
    </row>
    <row r="9879" spans="6:10" ht="15.75" hidden="1" thickBot="1">
      <c r="F9879" s="294" t="s">
        <v>248</v>
      </c>
      <c r="G9879" s="297" t="s">
        <v>57</v>
      </c>
      <c r="J9879" s="639">
        <f t="shared" si="308"/>
        <v>0</v>
      </c>
    </row>
    <row r="9880" spans="6:10" ht="15.75" hidden="1" thickBot="1">
      <c r="F9880" s="294" t="s">
        <v>249</v>
      </c>
      <c r="G9880" s="297" t="s">
        <v>250</v>
      </c>
      <c r="J9880" s="639">
        <f t="shared" si="308"/>
        <v>0</v>
      </c>
    </row>
    <row r="9881" spans="6:10" ht="15.75" hidden="1" thickBot="1">
      <c r="F9881" s="294" t="s">
        <v>251</v>
      </c>
      <c r="G9881" s="297" t="s">
        <v>252</v>
      </c>
      <c r="J9881" s="639">
        <f t="shared" si="308"/>
        <v>0</v>
      </c>
    </row>
    <row r="9882" spans="6:10" ht="15.75" hidden="1" thickBot="1">
      <c r="F9882" s="294" t="s">
        <v>253</v>
      </c>
      <c r="G9882" s="297" t="s">
        <v>254</v>
      </c>
      <c r="J9882" s="639">
        <f t="shared" si="308"/>
        <v>0</v>
      </c>
    </row>
    <row r="9883" spans="6:10" ht="15.75" hidden="1" thickBot="1">
      <c r="F9883" s="294" t="s">
        <v>255</v>
      </c>
      <c r="G9883" s="297" t="s">
        <v>256</v>
      </c>
      <c r="J9883" s="639">
        <f t="shared" si="308"/>
        <v>0</v>
      </c>
    </row>
    <row r="9884" spans="6:10" ht="15.75" hidden="1" thickBot="1">
      <c r="F9884" s="294" t="s">
        <v>257</v>
      </c>
      <c r="G9884" s="297" t="s">
        <v>258</v>
      </c>
      <c r="J9884" s="639">
        <f t="shared" si="308"/>
        <v>0</v>
      </c>
    </row>
    <row r="9885" spans="6:10" ht="15.75" hidden="1" thickBot="1">
      <c r="F9885" s="294" t="s">
        <v>259</v>
      </c>
      <c r="G9885" s="297" t="s">
        <v>260</v>
      </c>
      <c r="J9885" s="639">
        <f t="shared" si="308"/>
        <v>0</v>
      </c>
    </row>
    <row r="9886" spans="6:10" ht="15.75" hidden="1" thickBot="1">
      <c r="F9886" s="294" t="s">
        <v>261</v>
      </c>
      <c r="G9886" s="297" t="s">
        <v>262</v>
      </c>
      <c r="H9886" s="638"/>
      <c r="I9886" s="639"/>
      <c r="J9886" s="639">
        <f t="shared" si="308"/>
        <v>0</v>
      </c>
    </row>
    <row r="9887" spans="6:10" ht="15.75" hidden="1" thickBot="1">
      <c r="G9887" s="274" t="s">
        <v>5020</v>
      </c>
      <c r="H9887" s="640">
        <f>SUM(H9871:H9886)</f>
        <v>0</v>
      </c>
      <c r="I9887" s="641">
        <f>SUM(I9872:I9886)</f>
        <v>0</v>
      </c>
      <c r="J9887" s="641">
        <f>SUM(J9871:J9886)</f>
        <v>0</v>
      </c>
    </row>
    <row r="9888" spans="6:10" ht="0.75" customHeight="1"/>
    <row r="9889" spans="5:10">
      <c r="E9889" s="516"/>
      <c r="F9889" s="528"/>
      <c r="G9889" s="295" t="s">
        <v>4329</v>
      </c>
      <c r="H9889" s="646"/>
      <c r="I9889" s="664"/>
      <c r="J9889" s="647"/>
    </row>
    <row r="9890" spans="5:10">
      <c r="E9890" s="267"/>
      <c r="F9890" s="294" t="s">
        <v>234</v>
      </c>
      <c r="G9890" s="297" t="s">
        <v>235</v>
      </c>
      <c r="H9890" s="638">
        <f>SUM(H9871,H9772)</f>
        <v>9889900</v>
      </c>
      <c r="I9890" s="639"/>
      <c r="J9890" s="639">
        <f>SUM(H9890:I9890)</f>
        <v>9889900</v>
      </c>
    </row>
    <row r="9891" spans="5:10" hidden="1">
      <c r="F9891" s="294" t="s">
        <v>236</v>
      </c>
      <c r="G9891" s="297" t="s">
        <v>237</v>
      </c>
      <c r="J9891" s="639">
        <f t="shared" ref="J9891:J9905" si="309">SUM(H9891:I9891)</f>
        <v>0</v>
      </c>
    </row>
    <row r="9892" spans="5:10" hidden="1">
      <c r="F9892" s="294" t="s">
        <v>238</v>
      </c>
      <c r="G9892" s="297" t="s">
        <v>239</v>
      </c>
      <c r="J9892" s="639">
        <f t="shared" si="309"/>
        <v>0</v>
      </c>
    </row>
    <row r="9893" spans="5:10" ht="15.75" thickBot="1">
      <c r="F9893" s="294" t="s">
        <v>240</v>
      </c>
      <c r="G9893" s="297" t="s">
        <v>241</v>
      </c>
      <c r="I9893" s="635">
        <f>SUM(I9788)</f>
        <v>719760</v>
      </c>
      <c r="J9893" s="639">
        <f t="shared" si="309"/>
        <v>719760</v>
      </c>
    </row>
    <row r="9894" spans="5:10" hidden="1">
      <c r="F9894" s="294" t="s">
        <v>242</v>
      </c>
      <c r="G9894" s="297" t="s">
        <v>243</v>
      </c>
      <c r="J9894" s="639">
        <f t="shared" si="309"/>
        <v>0</v>
      </c>
    </row>
    <row r="9895" spans="5:10" hidden="1">
      <c r="F9895" s="294" t="s">
        <v>244</v>
      </c>
      <c r="G9895" s="297" t="s">
        <v>245</v>
      </c>
      <c r="J9895" s="639">
        <f t="shared" si="309"/>
        <v>0</v>
      </c>
    </row>
    <row r="9896" spans="5:10" hidden="1">
      <c r="F9896" s="294" t="s">
        <v>246</v>
      </c>
      <c r="G9896" s="683" t="s">
        <v>5121</v>
      </c>
      <c r="J9896" s="639">
        <f t="shared" si="309"/>
        <v>0</v>
      </c>
    </row>
    <row r="9897" spans="5:10" ht="15.75" hidden="1" thickBot="1">
      <c r="F9897" s="294" t="s">
        <v>247</v>
      </c>
      <c r="G9897" s="683" t="s">
        <v>5120</v>
      </c>
      <c r="J9897" s="639">
        <f t="shared" si="309"/>
        <v>0</v>
      </c>
    </row>
    <row r="9898" spans="5:10" ht="15.75" hidden="1" thickBot="1">
      <c r="F9898" s="294" t="s">
        <v>248</v>
      </c>
      <c r="G9898" s="297" t="s">
        <v>57</v>
      </c>
      <c r="J9898" s="639">
        <f t="shared" si="309"/>
        <v>0</v>
      </c>
    </row>
    <row r="9899" spans="5:10" ht="15.75" hidden="1" thickBot="1">
      <c r="F9899" s="294" t="s">
        <v>249</v>
      </c>
      <c r="G9899" s="297" t="s">
        <v>250</v>
      </c>
      <c r="J9899" s="639">
        <f t="shared" si="309"/>
        <v>0</v>
      </c>
    </row>
    <row r="9900" spans="5:10" ht="15.75" hidden="1" thickBot="1">
      <c r="F9900" s="294" t="s">
        <v>251</v>
      </c>
      <c r="G9900" s="297" t="s">
        <v>252</v>
      </c>
      <c r="J9900" s="639">
        <f t="shared" si="309"/>
        <v>0</v>
      </c>
    </row>
    <row r="9901" spans="5:10" ht="15.75" hidden="1" thickBot="1">
      <c r="F9901" s="294" t="s">
        <v>253</v>
      </c>
      <c r="G9901" s="297" t="s">
        <v>254</v>
      </c>
      <c r="J9901" s="639">
        <f t="shared" si="309"/>
        <v>0</v>
      </c>
    </row>
    <row r="9902" spans="5:10" ht="15.75" hidden="1" thickBot="1">
      <c r="F9902" s="294" t="s">
        <v>255</v>
      </c>
      <c r="G9902" s="297" t="s">
        <v>256</v>
      </c>
      <c r="J9902" s="639">
        <f t="shared" si="309"/>
        <v>0</v>
      </c>
    </row>
    <row r="9903" spans="5:10" ht="15.75" hidden="1" thickBot="1">
      <c r="F9903" s="294" t="s">
        <v>257</v>
      </c>
      <c r="G9903" s="297" t="s">
        <v>258</v>
      </c>
      <c r="J9903" s="639">
        <f t="shared" si="309"/>
        <v>0</v>
      </c>
    </row>
    <row r="9904" spans="5:10" ht="15.75" hidden="1" thickBot="1">
      <c r="F9904" s="294" t="s">
        <v>259</v>
      </c>
      <c r="G9904" s="297" t="s">
        <v>260</v>
      </c>
      <c r="J9904" s="639">
        <f t="shared" si="309"/>
        <v>0</v>
      </c>
    </row>
    <row r="9905" spans="5:10" ht="15.75" hidden="1" thickBot="1">
      <c r="F9905" s="294" t="s">
        <v>261</v>
      </c>
      <c r="G9905" s="297" t="s">
        <v>262</v>
      </c>
      <c r="H9905" s="638"/>
      <c r="I9905" s="639"/>
      <c r="J9905" s="639">
        <f t="shared" si="309"/>
        <v>0</v>
      </c>
    </row>
    <row r="9906" spans="5:10" ht="15" customHeight="1" thickBot="1">
      <c r="G9906" s="274" t="s">
        <v>4330</v>
      </c>
      <c r="H9906" s="640">
        <f>SUM(H9890:H9905)</f>
        <v>9889900</v>
      </c>
      <c r="I9906" s="641">
        <f>SUM(I9891:I9905)</f>
        <v>719760</v>
      </c>
      <c r="J9906" s="641">
        <f>SUM(J9890:J9905)</f>
        <v>10609660</v>
      </c>
    </row>
    <row r="9907" spans="5:10" hidden="1"/>
    <row r="9908" spans="5:10">
      <c r="E9908" s="516"/>
      <c r="F9908" s="528"/>
      <c r="G9908" s="295" t="s">
        <v>4315</v>
      </c>
      <c r="H9908" s="646"/>
      <c r="I9908" s="664"/>
      <c r="J9908" s="647"/>
    </row>
    <row r="9909" spans="5:10">
      <c r="E9909" s="267"/>
      <c r="F9909" s="294" t="s">
        <v>234</v>
      </c>
      <c r="G9909" s="297" t="s">
        <v>235</v>
      </c>
      <c r="H9909" s="638">
        <f>SUM(H9890)</f>
        <v>9889900</v>
      </c>
      <c r="I9909" s="639"/>
      <c r="J9909" s="639">
        <f>SUM(H9909:I9909)</f>
        <v>9889900</v>
      </c>
    </row>
    <row r="9910" spans="5:10" hidden="1">
      <c r="F9910" s="294" t="s">
        <v>236</v>
      </c>
      <c r="G9910" s="297" t="s">
        <v>237</v>
      </c>
      <c r="J9910" s="639">
        <f t="shared" ref="J9910:J9924" si="310">SUM(H9910:I9910)</f>
        <v>0</v>
      </c>
    </row>
    <row r="9911" spans="5:10" hidden="1">
      <c r="F9911" s="294" t="s">
        <v>238</v>
      </c>
      <c r="G9911" s="297" t="s">
        <v>239</v>
      </c>
      <c r="J9911" s="639">
        <f t="shared" si="310"/>
        <v>0</v>
      </c>
    </row>
    <row r="9912" spans="5:10" ht="15.75" thickBot="1">
      <c r="F9912" s="294" t="s">
        <v>240</v>
      </c>
      <c r="G9912" s="297" t="s">
        <v>241</v>
      </c>
      <c r="I9912" s="635">
        <f>SUM(I9893)</f>
        <v>719760</v>
      </c>
      <c r="J9912" s="639">
        <f t="shared" si="310"/>
        <v>719760</v>
      </c>
    </row>
    <row r="9913" spans="5:10" hidden="1">
      <c r="F9913" s="294" t="s">
        <v>242</v>
      </c>
      <c r="G9913" s="297" t="s">
        <v>243</v>
      </c>
      <c r="J9913" s="639">
        <f t="shared" si="310"/>
        <v>0</v>
      </c>
    </row>
    <row r="9914" spans="5:10" hidden="1">
      <c r="F9914" s="294" t="s">
        <v>244</v>
      </c>
      <c r="G9914" s="297" t="s">
        <v>245</v>
      </c>
      <c r="J9914" s="639">
        <f t="shared" si="310"/>
        <v>0</v>
      </c>
    </row>
    <row r="9915" spans="5:10" hidden="1">
      <c r="F9915" s="294" t="s">
        <v>246</v>
      </c>
      <c r="G9915" s="683" t="s">
        <v>5121</v>
      </c>
      <c r="J9915" s="639">
        <f t="shared" si="310"/>
        <v>0</v>
      </c>
    </row>
    <row r="9916" spans="5:10" ht="15.75" hidden="1" thickBot="1">
      <c r="F9916" s="294" t="s">
        <v>247</v>
      </c>
      <c r="G9916" s="683" t="s">
        <v>5120</v>
      </c>
      <c r="J9916" s="639">
        <f t="shared" si="310"/>
        <v>0</v>
      </c>
    </row>
    <row r="9917" spans="5:10" ht="15.75" hidden="1" thickBot="1">
      <c r="F9917" s="294" t="s">
        <v>248</v>
      </c>
      <c r="G9917" s="297" t="s">
        <v>57</v>
      </c>
      <c r="J9917" s="639">
        <f t="shared" si="310"/>
        <v>0</v>
      </c>
    </row>
    <row r="9918" spans="5:10" ht="15.75" hidden="1" thickBot="1">
      <c r="F9918" s="294" t="s">
        <v>249</v>
      </c>
      <c r="G9918" s="297" t="s">
        <v>250</v>
      </c>
      <c r="J9918" s="639">
        <f t="shared" si="310"/>
        <v>0</v>
      </c>
    </row>
    <row r="9919" spans="5:10" ht="15.75" hidden="1" thickBot="1">
      <c r="F9919" s="294" t="s">
        <v>251</v>
      </c>
      <c r="G9919" s="297" t="s">
        <v>252</v>
      </c>
      <c r="J9919" s="639">
        <f t="shared" si="310"/>
        <v>0</v>
      </c>
    </row>
    <row r="9920" spans="5:10" ht="15.75" hidden="1" thickBot="1">
      <c r="F9920" s="294" t="s">
        <v>253</v>
      </c>
      <c r="G9920" s="297" t="s">
        <v>254</v>
      </c>
      <c r="J9920" s="639">
        <f t="shared" si="310"/>
        <v>0</v>
      </c>
    </row>
    <row r="9921" spans="1:10" ht="15.75" hidden="1" thickBot="1">
      <c r="F9921" s="294" t="s">
        <v>255</v>
      </c>
      <c r="G9921" s="297" t="s">
        <v>256</v>
      </c>
      <c r="J9921" s="639">
        <f t="shared" si="310"/>
        <v>0</v>
      </c>
    </row>
    <row r="9922" spans="1:10" ht="15.75" hidden="1" thickBot="1">
      <c r="F9922" s="294" t="s">
        <v>257</v>
      </c>
      <c r="G9922" s="297" t="s">
        <v>258</v>
      </c>
      <c r="J9922" s="639">
        <f t="shared" si="310"/>
        <v>0</v>
      </c>
    </row>
    <row r="9923" spans="1:10" ht="15.75" hidden="1" thickBot="1">
      <c r="F9923" s="294" t="s">
        <v>259</v>
      </c>
      <c r="G9923" s="297" t="s">
        <v>260</v>
      </c>
      <c r="J9923" s="639">
        <f t="shared" si="310"/>
        <v>0</v>
      </c>
    </row>
    <row r="9924" spans="1:10" ht="15.75" hidden="1" thickBot="1">
      <c r="F9924" s="294" t="s">
        <v>261</v>
      </c>
      <c r="G9924" s="297" t="s">
        <v>262</v>
      </c>
      <c r="H9924" s="638"/>
      <c r="I9924" s="639"/>
      <c r="J9924" s="639">
        <f t="shared" si="310"/>
        <v>0</v>
      </c>
    </row>
    <row r="9925" spans="1:10" ht="15" customHeight="1" thickBot="1">
      <c r="G9925" s="274" t="s">
        <v>4438</v>
      </c>
      <c r="H9925" s="640">
        <f>SUM(H9909:H9924)</f>
        <v>9889900</v>
      </c>
      <c r="I9925" s="641">
        <f>SUM(I9910:I9924)</f>
        <v>719760</v>
      </c>
      <c r="J9925" s="641">
        <f>SUM(J9909:J9924)</f>
        <v>10609660</v>
      </c>
    </row>
    <row r="9926" spans="1:10" hidden="1"/>
    <row r="9927" spans="1:10" hidden="1">
      <c r="A9927" s="490">
        <v>4</v>
      </c>
      <c r="B9927" s="491" t="s">
        <v>4342</v>
      </c>
      <c r="C9927" s="490" t="s">
        <v>4015</v>
      </c>
      <c r="D9927" s="492"/>
      <c r="E9927" s="493"/>
      <c r="F9927" s="493"/>
      <c r="G9927" s="494" t="s">
        <v>4323</v>
      </c>
      <c r="H9927" s="672"/>
      <c r="I9927" s="673"/>
      <c r="J9927" s="658"/>
    </row>
    <row r="9928" spans="1:10" ht="16.5" hidden="1" customHeight="1">
      <c r="C9928" s="273" t="s">
        <v>3594</v>
      </c>
      <c r="G9928" s="517" t="s">
        <v>4321</v>
      </c>
    </row>
    <row r="9929" spans="1:10" hidden="1">
      <c r="C9929" s="273" t="s">
        <v>4129</v>
      </c>
      <c r="D9929" s="264"/>
      <c r="G9929" s="517" t="s">
        <v>4322</v>
      </c>
    </row>
    <row r="9930" spans="1:10" hidden="1">
      <c r="C9930" s="273"/>
      <c r="D9930" s="357">
        <v>820</v>
      </c>
      <c r="E9930" s="357"/>
      <c r="F9930" s="357"/>
      <c r="G9930" s="358" t="s">
        <v>207</v>
      </c>
    </row>
    <row r="9931" spans="1:10" hidden="1">
      <c r="F9931" s="527">
        <v>411</v>
      </c>
      <c r="G9931" s="518" t="s">
        <v>4173</v>
      </c>
      <c r="J9931" s="635">
        <f>SUM(H9931:I9931)</f>
        <v>0</v>
      </c>
    </row>
    <row r="9932" spans="1:10" hidden="1">
      <c r="F9932" s="527">
        <v>412</v>
      </c>
      <c r="G9932" s="515" t="s">
        <v>3770</v>
      </c>
      <c r="J9932" s="635">
        <f t="shared" ref="J9932:J9990" si="311">SUM(H9932:I9932)</f>
        <v>0</v>
      </c>
    </row>
    <row r="9933" spans="1:10" hidden="1">
      <c r="F9933" s="527">
        <v>413</v>
      </c>
      <c r="G9933" s="518" t="s">
        <v>4174</v>
      </c>
      <c r="J9933" s="635">
        <f t="shared" si="311"/>
        <v>0</v>
      </c>
    </row>
    <row r="9934" spans="1:10" hidden="1">
      <c r="F9934" s="527">
        <v>414</v>
      </c>
      <c r="G9934" s="518" t="s">
        <v>3773</v>
      </c>
      <c r="J9934" s="635">
        <f t="shared" si="311"/>
        <v>0</v>
      </c>
    </row>
    <row r="9935" spans="1:10" hidden="1">
      <c r="F9935" s="527">
        <v>415</v>
      </c>
      <c r="G9935" s="518" t="s">
        <v>4183</v>
      </c>
      <c r="J9935" s="635">
        <f t="shared" si="311"/>
        <v>0</v>
      </c>
    </row>
    <row r="9936" spans="1:10" hidden="1">
      <c r="F9936" s="527">
        <v>416</v>
      </c>
      <c r="G9936" s="518" t="s">
        <v>4184</v>
      </c>
      <c r="J9936" s="635">
        <f t="shared" si="311"/>
        <v>0</v>
      </c>
    </row>
    <row r="9937" spans="6:10" hidden="1">
      <c r="F9937" s="527">
        <v>417</v>
      </c>
      <c r="G9937" s="518" t="s">
        <v>4185</v>
      </c>
      <c r="J9937" s="635">
        <f t="shared" si="311"/>
        <v>0</v>
      </c>
    </row>
    <row r="9938" spans="6:10" hidden="1">
      <c r="F9938" s="527">
        <v>418</v>
      </c>
      <c r="G9938" s="518" t="s">
        <v>3779</v>
      </c>
      <c r="J9938" s="635">
        <f t="shared" si="311"/>
        <v>0</v>
      </c>
    </row>
    <row r="9939" spans="6:10" hidden="1">
      <c r="F9939" s="527">
        <v>421</v>
      </c>
      <c r="G9939" s="518" t="s">
        <v>3783</v>
      </c>
      <c r="J9939" s="635">
        <f t="shared" si="311"/>
        <v>0</v>
      </c>
    </row>
    <row r="9940" spans="6:10" hidden="1">
      <c r="F9940" s="527">
        <v>422</v>
      </c>
      <c r="G9940" s="518" t="s">
        <v>3784</v>
      </c>
      <c r="J9940" s="635">
        <f t="shared" si="311"/>
        <v>0</v>
      </c>
    </row>
    <row r="9941" spans="6:10" hidden="1">
      <c r="F9941" s="527">
        <v>423</v>
      </c>
      <c r="G9941" s="518" t="s">
        <v>3785</v>
      </c>
      <c r="J9941" s="635">
        <f t="shared" si="311"/>
        <v>0</v>
      </c>
    </row>
    <row r="9942" spans="6:10" hidden="1">
      <c r="F9942" s="527">
        <v>424</v>
      </c>
      <c r="G9942" s="518" t="s">
        <v>3787</v>
      </c>
      <c r="J9942" s="635">
        <f t="shared" si="311"/>
        <v>0</v>
      </c>
    </row>
    <row r="9943" spans="6:10" hidden="1">
      <c r="F9943" s="527">
        <v>425</v>
      </c>
      <c r="G9943" s="518" t="s">
        <v>4186</v>
      </c>
      <c r="J9943" s="635">
        <f t="shared" si="311"/>
        <v>0</v>
      </c>
    </row>
    <row r="9944" spans="6:10" hidden="1">
      <c r="F9944" s="527">
        <v>426</v>
      </c>
      <c r="G9944" s="518" t="s">
        <v>3791</v>
      </c>
      <c r="J9944" s="635">
        <f t="shared" si="311"/>
        <v>0</v>
      </c>
    </row>
    <row r="9945" spans="6:10" hidden="1">
      <c r="F9945" s="527">
        <v>431</v>
      </c>
      <c r="G9945" s="518" t="s">
        <v>4187</v>
      </c>
      <c r="J9945" s="635">
        <f t="shared" si="311"/>
        <v>0</v>
      </c>
    </row>
    <row r="9946" spans="6:10" hidden="1">
      <c r="F9946" s="527">
        <v>432</v>
      </c>
      <c r="G9946" s="518" t="s">
        <v>4188</v>
      </c>
      <c r="J9946" s="635">
        <f t="shared" si="311"/>
        <v>0</v>
      </c>
    </row>
    <row r="9947" spans="6:10" hidden="1">
      <c r="F9947" s="527">
        <v>433</v>
      </c>
      <c r="G9947" s="518" t="s">
        <v>4189</v>
      </c>
      <c r="J9947" s="635">
        <f t="shared" si="311"/>
        <v>0</v>
      </c>
    </row>
    <row r="9948" spans="6:10" hidden="1">
      <c r="F9948" s="527">
        <v>434</v>
      </c>
      <c r="G9948" s="518" t="s">
        <v>4190</v>
      </c>
      <c r="J9948" s="635">
        <f t="shared" si="311"/>
        <v>0</v>
      </c>
    </row>
    <row r="9949" spans="6:10" hidden="1">
      <c r="F9949" s="527">
        <v>435</v>
      </c>
      <c r="G9949" s="518" t="s">
        <v>3798</v>
      </c>
      <c r="J9949" s="635">
        <f t="shared" si="311"/>
        <v>0</v>
      </c>
    </row>
    <row r="9950" spans="6:10" hidden="1">
      <c r="F9950" s="527">
        <v>441</v>
      </c>
      <c r="G9950" s="518" t="s">
        <v>4191</v>
      </c>
      <c r="J9950" s="635">
        <f t="shared" si="311"/>
        <v>0</v>
      </c>
    </row>
    <row r="9951" spans="6:10" hidden="1">
      <c r="F9951" s="527">
        <v>442</v>
      </c>
      <c r="G9951" s="518" t="s">
        <v>4192</v>
      </c>
      <c r="J9951" s="635">
        <f t="shared" si="311"/>
        <v>0</v>
      </c>
    </row>
    <row r="9952" spans="6:10" hidden="1">
      <c r="F9952" s="527">
        <v>443</v>
      </c>
      <c r="G9952" s="518" t="s">
        <v>3803</v>
      </c>
      <c r="J9952" s="635">
        <f t="shared" si="311"/>
        <v>0</v>
      </c>
    </row>
    <row r="9953" spans="6:10" hidden="1">
      <c r="F9953" s="527">
        <v>444</v>
      </c>
      <c r="G9953" s="518" t="s">
        <v>3804</v>
      </c>
      <c r="J9953" s="635">
        <f t="shared" si="311"/>
        <v>0</v>
      </c>
    </row>
    <row r="9954" spans="6:10" ht="30" hidden="1">
      <c r="F9954" s="527">
        <v>4511</v>
      </c>
      <c r="G9954" s="268" t="s">
        <v>1690</v>
      </c>
      <c r="J9954" s="635">
        <f t="shared" si="311"/>
        <v>0</v>
      </c>
    </row>
    <row r="9955" spans="6:10" ht="19.5" hidden="1" customHeight="1">
      <c r="F9955" s="527">
        <v>4512</v>
      </c>
      <c r="G9955" s="268" t="s">
        <v>1699</v>
      </c>
      <c r="J9955" s="635">
        <f t="shared" si="311"/>
        <v>0</v>
      </c>
    </row>
    <row r="9956" spans="6:10" hidden="1">
      <c r="F9956" s="527">
        <v>452</v>
      </c>
      <c r="G9956" s="518" t="s">
        <v>4193</v>
      </c>
      <c r="J9956" s="635">
        <f t="shared" si="311"/>
        <v>0</v>
      </c>
    </row>
    <row r="9957" spans="6:10" hidden="1">
      <c r="F9957" s="527">
        <v>453</v>
      </c>
      <c r="G9957" s="518" t="s">
        <v>4194</v>
      </c>
      <c r="J9957" s="635">
        <f t="shared" si="311"/>
        <v>0</v>
      </c>
    </row>
    <row r="9958" spans="6:10" hidden="1">
      <c r="F9958" s="527">
        <v>454</v>
      </c>
      <c r="G9958" s="518" t="s">
        <v>3809</v>
      </c>
      <c r="J9958" s="635">
        <f t="shared" si="311"/>
        <v>0</v>
      </c>
    </row>
    <row r="9959" spans="6:10" hidden="1">
      <c r="F9959" s="527">
        <v>461</v>
      </c>
      <c r="G9959" s="518" t="s">
        <v>4175</v>
      </c>
      <c r="J9959" s="635">
        <f t="shared" si="311"/>
        <v>0</v>
      </c>
    </row>
    <row r="9960" spans="6:10" hidden="1">
      <c r="F9960" s="527">
        <v>462</v>
      </c>
      <c r="G9960" s="518" t="s">
        <v>3812</v>
      </c>
      <c r="J9960" s="635">
        <f t="shared" si="311"/>
        <v>0</v>
      </c>
    </row>
    <row r="9961" spans="6:10" hidden="1">
      <c r="F9961" s="527">
        <v>4631</v>
      </c>
      <c r="G9961" s="518" t="s">
        <v>3813</v>
      </c>
      <c r="J9961" s="635">
        <f t="shared" si="311"/>
        <v>0</v>
      </c>
    </row>
    <row r="9962" spans="6:10" hidden="1">
      <c r="F9962" s="527">
        <v>4632</v>
      </c>
      <c r="G9962" s="518" t="s">
        <v>3814</v>
      </c>
      <c r="J9962" s="635">
        <f t="shared" si="311"/>
        <v>0</v>
      </c>
    </row>
    <row r="9963" spans="6:10" hidden="1">
      <c r="F9963" s="527">
        <v>464</v>
      </c>
      <c r="G9963" s="518" t="s">
        <v>3815</v>
      </c>
      <c r="J9963" s="635">
        <f t="shared" si="311"/>
        <v>0</v>
      </c>
    </row>
    <row r="9964" spans="6:10" hidden="1">
      <c r="F9964" s="527">
        <v>465</v>
      </c>
      <c r="G9964" s="518" t="s">
        <v>4176</v>
      </c>
      <c r="J9964" s="635">
        <f t="shared" si="311"/>
        <v>0</v>
      </c>
    </row>
    <row r="9965" spans="6:10" hidden="1">
      <c r="F9965" s="527">
        <v>472</v>
      </c>
      <c r="G9965" s="518" t="s">
        <v>3819</v>
      </c>
      <c r="J9965" s="635">
        <f t="shared" si="311"/>
        <v>0</v>
      </c>
    </row>
    <row r="9966" spans="6:10" hidden="1">
      <c r="F9966" s="527">
        <v>481</v>
      </c>
      <c r="G9966" s="518" t="s">
        <v>4195</v>
      </c>
      <c r="J9966" s="635">
        <f t="shared" si="311"/>
        <v>0</v>
      </c>
    </row>
    <row r="9967" spans="6:10" ht="15.75" hidden="1" thickBot="1">
      <c r="F9967" s="527">
        <v>482</v>
      </c>
      <c r="G9967" s="518" t="s">
        <v>4196</v>
      </c>
      <c r="J9967" s="635">
        <f t="shared" si="311"/>
        <v>0</v>
      </c>
    </row>
    <row r="9968" spans="6:10" ht="15.75" hidden="1" thickBot="1">
      <c r="F9968" s="527">
        <v>483</v>
      </c>
      <c r="G9968" s="520" t="s">
        <v>4197</v>
      </c>
      <c r="J9968" s="635">
        <f t="shared" si="311"/>
        <v>0</v>
      </c>
    </row>
    <row r="9969" spans="6:10" ht="30.75" hidden="1" thickBot="1">
      <c r="F9969" s="527">
        <v>484</v>
      </c>
      <c r="G9969" s="518" t="s">
        <v>4198</v>
      </c>
      <c r="J9969" s="635">
        <f t="shared" si="311"/>
        <v>0</v>
      </c>
    </row>
    <row r="9970" spans="6:10" ht="30.75" hidden="1" thickBot="1">
      <c r="F9970" s="527">
        <v>485</v>
      </c>
      <c r="G9970" s="518" t="s">
        <v>4199</v>
      </c>
      <c r="J9970" s="635">
        <f t="shared" si="311"/>
        <v>0</v>
      </c>
    </row>
    <row r="9971" spans="6:10" ht="30.75" hidden="1" thickBot="1">
      <c r="F9971" s="527">
        <v>489</v>
      </c>
      <c r="G9971" s="518" t="s">
        <v>3827</v>
      </c>
      <c r="J9971" s="635">
        <f t="shared" si="311"/>
        <v>0</v>
      </c>
    </row>
    <row r="9972" spans="6:10" ht="15.75" hidden="1" thickBot="1">
      <c r="F9972" s="527">
        <v>494</v>
      </c>
      <c r="G9972" s="518" t="s">
        <v>4177</v>
      </c>
      <c r="J9972" s="635">
        <f t="shared" si="311"/>
        <v>0</v>
      </c>
    </row>
    <row r="9973" spans="6:10" ht="30.75" hidden="1" thickBot="1">
      <c r="F9973" s="527">
        <v>495</v>
      </c>
      <c r="G9973" s="518" t="s">
        <v>4178</v>
      </c>
      <c r="J9973" s="635">
        <f t="shared" si="311"/>
        <v>0</v>
      </c>
    </row>
    <row r="9974" spans="6:10" ht="30.75" hidden="1" thickBot="1">
      <c r="F9974" s="527">
        <v>496</v>
      </c>
      <c r="G9974" s="518" t="s">
        <v>4179</v>
      </c>
      <c r="J9974" s="635">
        <f t="shared" si="311"/>
        <v>0</v>
      </c>
    </row>
    <row r="9975" spans="6:10" ht="15.75" hidden="1" thickBot="1">
      <c r="F9975" s="527">
        <v>499</v>
      </c>
      <c r="G9975" s="518" t="s">
        <v>4180</v>
      </c>
      <c r="J9975" s="635">
        <f t="shared" si="311"/>
        <v>0</v>
      </c>
    </row>
    <row r="9976" spans="6:10" ht="15.75" hidden="1" thickBot="1">
      <c r="F9976" s="527">
        <v>511</v>
      </c>
      <c r="G9976" s="520" t="s">
        <v>4200</v>
      </c>
      <c r="J9976" s="635">
        <f t="shared" si="311"/>
        <v>0</v>
      </c>
    </row>
    <row r="9977" spans="6:10" ht="15.75" hidden="1" thickBot="1">
      <c r="F9977" s="527">
        <v>512</v>
      </c>
      <c r="G9977" s="520" t="s">
        <v>4201</v>
      </c>
      <c r="J9977" s="635">
        <f t="shared" si="311"/>
        <v>0</v>
      </c>
    </row>
    <row r="9978" spans="6:10" ht="15.75" hidden="1" thickBot="1">
      <c r="F9978" s="527">
        <v>513</v>
      </c>
      <c r="G9978" s="520" t="s">
        <v>4202</v>
      </c>
      <c r="J9978" s="635">
        <f t="shared" si="311"/>
        <v>0</v>
      </c>
    </row>
    <row r="9979" spans="6:10" ht="15.75" hidden="1" thickBot="1">
      <c r="F9979" s="527">
        <v>514</v>
      </c>
      <c r="G9979" s="518" t="s">
        <v>4203</v>
      </c>
      <c r="J9979" s="635">
        <f t="shared" si="311"/>
        <v>0</v>
      </c>
    </row>
    <row r="9980" spans="6:10" ht="15.75" hidden="1" thickBot="1">
      <c r="F9980" s="527">
        <v>515</v>
      </c>
      <c r="G9980" s="518" t="s">
        <v>3838</v>
      </c>
      <c r="J9980" s="635">
        <f t="shared" si="311"/>
        <v>0</v>
      </c>
    </row>
    <row r="9981" spans="6:10" ht="15.75" hidden="1" thickBot="1">
      <c r="F9981" s="527">
        <v>521</v>
      </c>
      <c r="G9981" s="518" t="s">
        <v>4204</v>
      </c>
      <c r="J9981" s="635">
        <f t="shared" si="311"/>
        <v>0</v>
      </c>
    </row>
    <row r="9982" spans="6:10" ht="15.75" hidden="1" thickBot="1">
      <c r="F9982" s="527">
        <v>522</v>
      </c>
      <c r="G9982" s="518" t="s">
        <v>4205</v>
      </c>
      <c r="J9982" s="635">
        <f t="shared" si="311"/>
        <v>0</v>
      </c>
    </row>
    <row r="9983" spans="6:10" ht="15.75" hidden="1" thickBot="1">
      <c r="F9983" s="527">
        <v>523</v>
      </c>
      <c r="G9983" s="518" t="s">
        <v>3843</v>
      </c>
      <c r="J9983" s="635">
        <f t="shared" si="311"/>
        <v>0</v>
      </c>
    </row>
    <row r="9984" spans="6:10" ht="15.75" hidden="1" thickBot="1">
      <c r="F9984" s="527">
        <v>531</v>
      </c>
      <c r="G9984" s="515" t="s">
        <v>4181</v>
      </c>
      <c r="J9984" s="635">
        <f t="shared" si="311"/>
        <v>0</v>
      </c>
    </row>
    <row r="9985" spans="5:10" ht="15.75" hidden="1" thickBot="1">
      <c r="F9985" s="527">
        <v>541</v>
      </c>
      <c r="G9985" s="518" t="s">
        <v>4206</v>
      </c>
      <c r="J9985" s="635">
        <f t="shared" si="311"/>
        <v>0</v>
      </c>
    </row>
    <row r="9986" spans="5:10" ht="15.75" hidden="1" thickBot="1">
      <c r="F9986" s="527">
        <v>542</v>
      </c>
      <c r="G9986" s="518" t="s">
        <v>4207</v>
      </c>
      <c r="J9986" s="635">
        <f t="shared" si="311"/>
        <v>0</v>
      </c>
    </row>
    <row r="9987" spans="5:10" ht="15.75" hidden="1" thickBot="1">
      <c r="F9987" s="527">
        <v>543</v>
      </c>
      <c r="G9987" s="518" t="s">
        <v>3848</v>
      </c>
      <c r="J9987" s="635">
        <f t="shared" si="311"/>
        <v>0</v>
      </c>
    </row>
    <row r="9988" spans="5:10" ht="30.75" hidden="1" thickBot="1">
      <c r="F9988" s="527">
        <v>551</v>
      </c>
      <c r="G9988" s="518" t="s">
        <v>4182</v>
      </c>
      <c r="J9988" s="635">
        <f t="shared" si="311"/>
        <v>0</v>
      </c>
    </row>
    <row r="9989" spans="5:10" ht="15.75" hidden="1" thickBot="1">
      <c r="F9989" s="528">
        <v>611</v>
      </c>
      <c r="G9989" s="526" t="s">
        <v>3854</v>
      </c>
      <c r="J9989" s="635">
        <f t="shared" si="311"/>
        <v>0</v>
      </c>
    </row>
    <row r="9990" spans="5:10" ht="15.75" hidden="1" thickBot="1">
      <c r="F9990" s="528">
        <v>620</v>
      </c>
      <c r="G9990" s="526" t="s">
        <v>88</v>
      </c>
      <c r="J9990" s="635">
        <f t="shared" si="311"/>
        <v>0</v>
      </c>
    </row>
    <row r="9991" spans="5:10" hidden="1">
      <c r="E9991" s="516"/>
      <c r="F9991" s="528"/>
      <c r="G9991" s="372" t="s">
        <v>4439</v>
      </c>
      <c r="H9991" s="636"/>
      <c r="I9991" s="662"/>
      <c r="J9991" s="637"/>
    </row>
    <row r="9992" spans="5:10" ht="15.75" hidden="1" thickBot="1">
      <c r="E9992" s="267"/>
      <c r="F9992" s="294" t="s">
        <v>234</v>
      </c>
      <c r="G9992" s="297" t="s">
        <v>235</v>
      </c>
      <c r="H9992" s="638">
        <f>SUM(H9931:H9990)</f>
        <v>0</v>
      </c>
      <c r="I9992" s="639"/>
      <c r="J9992" s="639">
        <f t="shared" ref="J9992:J10007" si="312">SUM(H9992:I9992)</f>
        <v>0</v>
      </c>
    </row>
    <row r="9993" spans="5:10" ht="15.75" hidden="1" thickBot="1">
      <c r="F9993" s="294" t="s">
        <v>236</v>
      </c>
      <c r="G9993" s="297" t="s">
        <v>237</v>
      </c>
      <c r="J9993" s="639">
        <f t="shared" si="312"/>
        <v>0</v>
      </c>
    </row>
    <row r="9994" spans="5:10" ht="15.75" hidden="1" thickBot="1">
      <c r="F9994" s="294" t="s">
        <v>238</v>
      </c>
      <c r="G9994" s="297" t="s">
        <v>239</v>
      </c>
      <c r="J9994" s="639">
        <f t="shared" si="312"/>
        <v>0</v>
      </c>
    </row>
    <row r="9995" spans="5:10" ht="15.75" hidden="1" thickBot="1">
      <c r="F9995" s="294" t="s">
        <v>240</v>
      </c>
      <c r="G9995" s="297" t="s">
        <v>241</v>
      </c>
      <c r="J9995" s="639">
        <f t="shared" si="312"/>
        <v>0</v>
      </c>
    </row>
    <row r="9996" spans="5:10" ht="15.75" hidden="1" thickBot="1">
      <c r="F9996" s="294" t="s">
        <v>242</v>
      </c>
      <c r="G9996" s="297" t="s">
        <v>243</v>
      </c>
      <c r="J9996" s="639">
        <f t="shared" si="312"/>
        <v>0</v>
      </c>
    </row>
    <row r="9997" spans="5:10" ht="15.75" hidden="1" thickBot="1">
      <c r="F9997" s="294" t="s">
        <v>244</v>
      </c>
      <c r="G9997" s="297" t="s">
        <v>245</v>
      </c>
      <c r="J9997" s="639">
        <f t="shared" si="312"/>
        <v>0</v>
      </c>
    </row>
    <row r="9998" spans="5:10" ht="15.75" hidden="1" thickBot="1">
      <c r="F9998" s="294" t="s">
        <v>246</v>
      </c>
      <c r="G9998" s="683" t="s">
        <v>5121</v>
      </c>
      <c r="J9998" s="639">
        <f t="shared" si="312"/>
        <v>0</v>
      </c>
    </row>
    <row r="9999" spans="5:10" ht="15.75" hidden="1" thickBot="1">
      <c r="F9999" s="294" t="s">
        <v>247</v>
      </c>
      <c r="G9999" s="683" t="s">
        <v>5120</v>
      </c>
      <c r="J9999" s="639">
        <f t="shared" si="312"/>
        <v>0</v>
      </c>
    </row>
    <row r="10000" spans="5:10" ht="15.75" hidden="1" thickBot="1">
      <c r="F10000" s="294" t="s">
        <v>248</v>
      </c>
      <c r="G10000" s="297" t="s">
        <v>57</v>
      </c>
      <c r="J10000" s="639">
        <f t="shared" si="312"/>
        <v>0</v>
      </c>
    </row>
    <row r="10001" spans="5:10" ht="15.75" hidden="1" thickBot="1">
      <c r="F10001" s="294" t="s">
        <v>249</v>
      </c>
      <c r="G10001" s="297" t="s">
        <v>250</v>
      </c>
      <c r="J10001" s="639">
        <f t="shared" si="312"/>
        <v>0</v>
      </c>
    </row>
    <row r="10002" spans="5:10" ht="15.75" hidden="1" thickBot="1">
      <c r="F10002" s="294" t="s">
        <v>251</v>
      </c>
      <c r="G10002" s="297" t="s">
        <v>252</v>
      </c>
      <c r="J10002" s="639">
        <f t="shared" si="312"/>
        <v>0</v>
      </c>
    </row>
    <row r="10003" spans="5:10" ht="15.75" hidden="1" thickBot="1">
      <c r="F10003" s="294" t="s">
        <v>253</v>
      </c>
      <c r="G10003" s="297" t="s">
        <v>254</v>
      </c>
      <c r="J10003" s="639">
        <f t="shared" si="312"/>
        <v>0</v>
      </c>
    </row>
    <row r="10004" spans="5:10" ht="15.75" hidden="1" thickBot="1">
      <c r="F10004" s="294" t="s">
        <v>255</v>
      </c>
      <c r="G10004" s="297" t="s">
        <v>256</v>
      </c>
      <c r="J10004" s="639">
        <f t="shared" si="312"/>
        <v>0</v>
      </c>
    </row>
    <row r="10005" spans="5:10" ht="15.75" hidden="1" thickBot="1">
      <c r="F10005" s="294" t="s">
        <v>257</v>
      </c>
      <c r="G10005" s="297" t="s">
        <v>258</v>
      </c>
      <c r="J10005" s="639">
        <f t="shared" si="312"/>
        <v>0</v>
      </c>
    </row>
    <row r="10006" spans="5:10" ht="15.75" hidden="1" thickBot="1">
      <c r="F10006" s="294" t="s">
        <v>259</v>
      </c>
      <c r="G10006" s="297" t="s">
        <v>260</v>
      </c>
      <c r="J10006" s="639">
        <f t="shared" si="312"/>
        <v>0</v>
      </c>
    </row>
    <row r="10007" spans="5:10" ht="15.75" hidden="1" thickBot="1">
      <c r="F10007" s="294" t="s">
        <v>261</v>
      </c>
      <c r="G10007" s="297" t="s">
        <v>262</v>
      </c>
      <c r="H10007" s="638"/>
      <c r="I10007" s="639"/>
      <c r="J10007" s="639">
        <f t="shared" si="312"/>
        <v>0</v>
      </c>
    </row>
    <row r="10008" spans="5:10" ht="15.75" hidden="1" thickBot="1">
      <c r="G10008" s="274" t="s">
        <v>4440</v>
      </c>
      <c r="H10008" s="640">
        <f>SUM(H9992:H10007)</f>
        <v>0</v>
      </c>
      <c r="I10008" s="641">
        <f>SUM(I9993:I10007)</f>
        <v>0</v>
      </c>
      <c r="J10008" s="641">
        <f>SUM(J9992:J10007)</f>
        <v>0</v>
      </c>
    </row>
    <row r="10009" spans="5:10" hidden="1" collapsed="1">
      <c r="E10009" s="516"/>
      <c r="F10009" s="528"/>
      <c r="G10009" s="276" t="s">
        <v>4441</v>
      </c>
      <c r="H10009" s="642"/>
      <c r="I10009" s="663"/>
      <c r="J10009" s="643"/>
    </row>
    <row r="10010" spans="5:10" ht="15.75" hidden="1" thickBot="1">
      <c r="E10010" s="267"/>
      <c r="F10010" s="294" t="s">
        <v>234</v>
      </c>
      <c r="G10010" s="297" t="s">
        <v>235</v>
      </c>
      <c r="H10010" s="638">
        <f>SUM(H9931:H9990)</f>
        <v>0</v>
      </c>
      <c r="I10010" s="639"/>
      <c r="J10010" s="639">
        <f>SUM(H10010:I10010)</f>
        <v>0</v>
      </c>
    </row>
    <row r="10011" spans="5:10" ht="15.75" hidden="1" thickBot="1">
      <c r="F10011" s="294" t="s">
        <v>236</v>
      </c>
      <c r="G10011" s="297" t="s">
        <v>237</v>
      </c>
      <c r="J10011" s="639">
        <f t="shared" ref="J10011:J10025" si="313">SUM(H10011:I10011)</f>
        <v>0</v>
      </c>
    </row>
    <row r="10012" spans="5:10" ht="15.75" hidden="1" thickBot="1">
      <c r="F10012" s="294" t="s">
        <v>238</v>
      </c>
      <c r="G10012" s="297" t="s">
        <v>239</v>
      </c>
      <c r="J10012" s="639">
        <f t="shared" si="313"/>
        <v>0</v>
      </c>
    </row>
    <row r="10013" spans="5:10" ht="15.75" hidden="1" thickBot="1">
      <c r="F10013" s="294" t="s">
        <v>240</v>
      </c>
      <c r="G10013" s="297" t="s">
        <v>241</v>
      </c>
      <c r="J10013" s="639">
        <f t="shared" si="313"/>
        <v>0</v>
      </c>
    </row>
    <row r="10014" spans="5:10" ht="15.75" hidden="1" thickBot="1">
      <c r="F10014" s="294" t="s">
        <v>242</v>
      </c>
      <c r="G10014" s="297" t="s">
        <v>243</v>
      </c>
      <c r="J10014" s="639">
        <f t="shared" si="313"/>
        <v>0</v>
      </c>
    </row>
    <row r="10015" spans="5:10" ht="15.75" hidden="1" thickBot="1">
      <c r="F10015" s="294" t="s">
        <v>244</v>
      </c>
      <c r="G10015" s="297" t="s">
        <v>245</v>
      </c>
      <c r="J10015" s="639">
        <f t="shared" si="313"/>
        <v>0</v>
      </c>
    </row>
    <row r="10016" spans="5:10" ht="15.75" hidden="1" thickBot="1">
      <c r="F10016" s="294" t="s">
        <v>246</v>
      </c>
      <c r="G10016" s="683" t="s">
        <v>5121</v>
      </c>
      <c r="J10016" s="639">
        <f t="shared" si="313"/>
        <v>0</v>
      </c>
    </row>
    <row r="10017" spans="3:10" ht="15.75" hidden="1" thickBot="1">
      <c r="F10017" s="294" t="s">
        <v>247</v>
      </c>
      <c r="G10017" s="683" t="s">
        <v>5120</v>
      </c>
      <c r="J10017" s="639">
        <f t="shared" si="313"/>
        <v>0</v>
      </c>
    </row>
    <row r="10018" spans="3:10" ht="15.75" hidden="1" thickBot="1">
      <c r="F10018" s="294" t="s">
        <v>248</v>
      </c>
      <c r="G10018" s="297" t="s">
        <v>57</v>
      </c>
      <c r="J10018" s="639">
        <f t="shared" si="313"/>
        <v>0</v>
      </c>
    </row>
    <row r="10019" spans="3:10" ht="15.75" hidden="1" thickBot="1">
      <c r="F10019" s="294" t="s">
        <v>249</v>
      </c>
      <c r="G10019" s="297" t="s">
        <v>250</v>
      </c>
      <c r="J10019" s="639">
        <f t="shared" si="313"/>
        <v>0</v>
      </c>
    </row>
    <row r="10020" spans="3:10" ht="15.75" hidden="1" thickBot="1">
      <c r="F10020" s="294" t="s">
        <v>251</v>
      </c>
      <c r="G10020" s="297" t="s">
        <v>252</v>
      </c>
      <c r="J10020" s="639">
        <f t="shared" si="313"/>
        <v>0</v>
      </c>
    </row>
    <row r="10021" spans="3:10" ht="15.75" hidden="1" thickBot="1">
      <c r="F10021" s="294" t="s">
        <v>253</v>
      </c>
      <c r="G10021" s="297" t="s">
        <v>254</v>
      </c>
      <c r="J10021" s="639">
        <f t="shared" si="313"/>
        <v>0</v>
      </c>
    </row>
    <row r="10022" spans="3:10" ht="15.75" hidden="1" thickBot="1">
      <c r="F10022" s="294" t="s">
        <v>255</v>
      </c>
      <c r="G10022" s="297" t="s">
        <v>256</v>
      </c>
      <c r="J10022" s="639">
        <f t="shared" si="313"/>
        <v>0</v>
      </c>
    </row>
    <row r="10023" spans="3:10" ht="15.75" hidden="1" thickBot="1">
      <c r="F10023" s="294" t="s">
        <v>257</v>
      </c>
      <c r="G10023" s="297" t="s">
        <v>258</v>
      </c>
      <c r="J10023" s="639">
        <f t="shared" si="313"/>
        <v>0</v>
      </c>
    </row>
    <row r="10024" spans="3:10" ht="15.75" hidden="1" thickBot="1">
      <c r="F10024" s="294" t="s">
        <v>259</v>
      </c>
      <c r="G10024" s="297" t="s">
        <v>260</v>
      </c>
      <c r="J10024" s="639">
        <f t="shared" si="313"/>
        <v>0</v>
      </c>
    </row>
    <row r="10025" spans="3:10" ht="15.75" hidden="1" thickBot="1">
      <c r="F10025" s="294" t="s">
        <v>261</v>
      </c>
      <c r="G10025" s="297" t="s">
        <v>262</v>
      </c>
      <c r="H10025" s="638"/>
      <c r="I10025" s="639"/>
      <c r="J10025" s="639">
        <f t="shared" si="313"/>
        <v>0</v>
      </c>
    </row>
    <row r="10026" spans="3:10" ht="15.75" hidden="1" collapsed="1" thickBot="1">
      <c r="G10026" s="274" t="s">
        <v>4442</v>
      </c>
      <c r="H10026" s="640">
        <f>SUM(H10010:H10025)</f>
        <v>0</v>
      </c>
      <c r="I10026" s="641">
        <f>SUM(I10011:I10025)</f>
        <v>0</v>
      </c>
      <c r="J10026" s="641">
        <f>SUM(J10010:J10025)</f>
        <v>0</v>
      </c>
    </row>
    <row r="10027" spans="3:10" hidden="1"/>
    <row r="10028" spans="3:10" hidden="1">
      <c r="C10028" s="273" t="s">
        <v>4839</v>
      </c>
      <c r="D10028" s="264"/>
      <c r="G10028" s="519" t="s">
        <v>5090</v>
      </c>
    </row>
    <row r="10029" spans="3:10" hidden="1">
      <c r="C10029" s="273"/>
      <c r="D10029" s="357">
        <v>820</v>
      </c>
      <c r="E10029" s="357"/>
      <c r="F10029" s="357"/>
      <c r="G10029" s="358" t="s">
        <v>207</v>
      </c>
    </row>
    <row r="10030" spans="3:10" hidden="1">
      <c r="F10030" s="527">
        <v>411</v>
      </c>
      <c r="G10030" s="518" t="s">
        <v>4173</v>
      </c>
      <c r="J10030" s="635">
        <f>SUM(H10030:I10030)</f>
        <v>0</v>
      </c>
    </row>
    <row r="10031" spans="3:10" hidden="1">
      <c r="F10031" s="527">
        <v>412</v>
      </c>
      <c r="G10031" s="515" t="s">
        <v>3770</v>
      </c>
      <c r="J10031" s="635">
        <f t="shared" ref="J10031:J10089" si="314">SUM(H10031:I10031)</f>
        <v>0</v>
      </c>
    </row>
    <row r="10032" spans="3:10" hidden="1">
      <c r="F10032" s="527">
        <v>413</v>
      </c>
      <c r="G10032" s="518" t="s">
        <v>4174</v>
      </c>
      <c r="J10032" s="635">
        <f t="shared" si="314"/>
        <v>0</v>
      </c>
    </row>
    <row r="10033" spans="6:10" hidden="1">
      <c r="F10033" s="527">
        <v>414</v>
      </c>
      <c r="G10033" s="518" t="s">
        <v>3773</v>
      </c>
      <c r="J10033" s="635">
        <f t="shared" si="314"/>
        <v>0</v>
      </c>
    </row>
    <row r="10034" spans="6:10" hidden="1">
      <c r="F10034" s="527">
        <v>415</v>
      </c>
      <c r="G10034" s="518" t="s">
        <v>4183</v>
      </c>
      <c r="J10034" s="635">
        <f t="shared" si="314"/>
        <v>0</v>
      </c>
    </row>
    <row r="10035" spans="6:10" hidden="1">
      <c r="F10035" s="527">
        <v>416</v>
      </c>
      <c r="G10035" s="518" t="s">
        <v>4184</v>
      </c>
      <c r="J10035" s="635">
        <f t="shared" si="314"/>
        <v>0</v>
      </c>
    </row>
    <row r="10036" spans="6:10" hidden="1">
      <c r="F10036" s="527">
        <v>417</v>
      </c>
      <c r="G10036" s="518" t="s">
        <v>4185</v>
      </c>
      <c r="J10036" s="635">
        <f t="shared" si="314"/>
        <v>0</v>
      </c>
    </row>
    <row r="10037" spans="6:10" hidden="1">
      <c r="F10037" s="527">
        <v>418</v>
      </c>
      <c r="G10037" s="518" t="s">
        <v>3779</v>
      </c>
      <c r="J10037" s="635">
        <f t="shared" si="314"/>
        <v>0</v>
      </c>
    </row>
    <row r="10038" spans="6:10" hidden="1">
      <c r="F10038" s="527">
        <v>421</v>
      </c>
      <c r="G10038" s="518" t="s">
        <v>3783</v>
      </c>
      <c r="J10038" s="635">
        <f t="shared" si="314"/>
        <v>0</v>
      </c>
    </row>
    <row r="10039" spans="6:10" hidden="1">
      <c r="F10039" s="527">
        <v>422</v>
      </c>
      <c r="G10039" s="518" t="s">
        <v>3784</v>
      </c>
      <c r="J10039" s="635">
        <f t="shared" si="314"/>
        <v>0</v>
      </c>
    </row>
    <row r="10040" spans="6:10" hidden="1">
      <c r="F10040" s="527">
        <v>423</v>
      </c>
      <c r="G10040" s="518" t="s">
        <v>3785</v>
      </c>
      <c r="J10040" s="635">
        <f t="shared" si="314"/>
        <v>0</v>
      </c>
    </row>
    <row r="10041" spans="6:10" hidden="1">
      <c r="F10041" s="527">
        <v>424</v>
      </c>
      <c r="G10041" s="518" t="s">
        <v>3787</v>
      </c>
      <c r="J10041" s="635">
        <f t="shared" si="314"/>
        <v>0</v>
      </c>
    </row>
    <row r="10042" spans="6:10" hidden="1">
      <c r="F10042" s="527">
        <v>425</v>
      </c>
      <c r="G10042" s="518" t="s">
        <v>4186</v>
      </c>
      <c r="J10042" s="635">
        <f t="shared" si="314"/>
        <v>0</v>
      </c>
    </row>
    <row r="10043" spans="6:10" hidden="1">
      <c r="F10043" s="527">
        <v>426</v>
      </c>
      <c r="G10043" s="518" t="s">
        <v>3791</v>
      </c>
      <c r="J10043" s="635">
        <f t="shared" si="314"/>
        <v>0</v>
      </c>
    </row>
    <row r="10044" spans="6:10" hidden="1">
      <c r="F10044" s="527">
        <v>431</v>
      </c>
      <c r="G10044" s="518" t="s">
        <v>4187</v>
      </c>
      <c r="J10044" s="635">
        <f t="shared" si="314"/>
        <v>0</v>
      </c>
    </row>
    <row r="10045" spans="6:10" hidden="1">
      <c r="F10045" s="527">
        <v>432</v>
      </c>
      <c r="G10045" s="518" t="s">
        <v>4188</v>
      </c>
      <c r="J10045" s="635">
        <f t="shared" si="314"/>
        <v>0</v>
      </c>
    </row>
    <row r="10046" spans="6:10" hidden="1">
      <c r="F10046" s="527">
        <v>433</v>
      </c>
      <c r="G10046" s="518" t="s">
        <v>4189</v>
      </c>
      <c r="J10046" s="635">
        <f t="shared" si="314"/>
        <v>0</v>
      </c>
    </row>
    <row r="10047" spans="6:10" hidden="1">
      <c r="F10047" s="527">
        <v>434</v>
      </c>
      <c r="G10047" s="518" t="s">
        <v>4190</v>
      </c>
      <c r="J10047" s="635">
        <f t="shared" si="314"/>
        <v>0</v>
      </c>
    </row>
    <row r="10048" spans="6:10" hidden="1">
      <c r="F10048" s="527">
        <v>435</v>
      </c>
      <c r="G10048" s="518" t="s">
        <v>3798</v>
      </c>
      <c r="J10048" s="635">
        <f t="shared" si="314"/>
        <v>0</v>
      </c>
    </row>
    <row r="10049" spans="6:10" hidden="1">
      <c r="F10049" s="527">
        <v>441</v>
      </c>
      <c r="G10049" s="518" t="s">
        <v>4191</v>
      </c>
      <c r="J10049" s="635">
        <f t="shared" si="314"/>
        <v>0</v>
      </c>
    </row>
    <row r="10050" spans="6:10" hidden="1">
      <c r="F10050" s="527">
        <v>442</v>
      </c>
      <c r="G10050" s="518" t="s">
        <v>4192</v>
      </c>
      <c r="J10050" s="635">
        <f t="shared" si="314"/>
        <v>0</v>
      </c>
    </row>
    <row r="10051" spans="6:10" hidden="1">
      <c r="F10051" s="527">
        <v>443</v>
      </c>
      <c r="G10051" s="518" t="s">
        <v>3803</v>
      </c>
      <c r="J10051" s="635">
        <f t="shared" si="314"/>
        <v>0</v>
      </c>
    </row>
    <row r="10052" spans="6:10" hidden="1">
      <c r="F10052" s="527">
        <v>444</v>
      </c>
      <c r="G10052" s="518" t="s">
        <v>3804</v>
      </c>
      <c r="J10052" s="635">
        <f t="shared" si="314"/>
        <v>0</v>
      </c>
    </row>
    <row r="10053" spans="6:10" ht="30" hidden="1">
      <c r="F10053" s="527">
        <v>4511</v>
      </c>
      <c r="G10053" s="268" t="s">
        <v>1690</v>
      </c>
      <c r="J10053" s="635">
        <f t="shared" si="314"/>
        <v>0</v>
      </c>
    </row>
    <row r="10054" spans="6:10" ht="30" hidden="1">
      <c r="F10054" s="527">
        <v>4512</v>
      </c>
      <c r="G10054" s="268" t="s">
        <v>1699</v>
      </c>
      <c r="J10054" s="635">
        <f t="shared" si="314"/>
        <v>0</v>
      </c>
    </row>
    <row r="10055" spans="6:10" hidden="1">
      <c r="F10055" s="527">
        <v>452</v>
      </c>
      <c r="G10055" s="518" t="s">
        <v>4193</v>
      </c>
      <c r="J10055" s="635">
        <f t="shared" si="314"/>
        <v>0</v>
      </c>
    </row>
    <row r="10056" spans="6:10" hidden="1">
      <c r="F10056" s="527">
        <v>453</v>
      </c>
      <c r="G10056" s="518" t="s">
        <v>4194</v>
      </c>
      <c r="J10056" s="635">
        <f t="shared" si="314"/>
        <v>0</v>
      </c>
    </row>
    <row r="10057" spans="6:10" hidden="1">
      <c r="F10057" s="527">
        <v>454</v>
      </c>
      <c r="G10057" s="518" t="s">
        <v>3809</v>
      </c>
      <c r="J10057" s="635">
        <f t="shared" si="314"/>
        <v>0</v>
      </c>
    </row>
    <row r="10058" spans="6:10" hidden="1">
      <c r="F10058" s="527">
        <v>461</v>
      </c>
      <c r="G10058" s="518" t="s">
        <v>4175</v>
      </c>
      <c r="J10058" s="635">
        <f t="shared" si="314"/>
        <v>0</v>
      </c>
    </row>
    <row r="10059" spans="6:10" hidden="1">
      <c r="F10059" s="527">
        <v>462</v>
      </c>
      <c r="G10059" s="518" t="s">
        <v>3812</v>
      </c>
      <c r="J10059" s="635">
        <f t="shared" si="314"/>
        <v>0</v>
      </c>
    </row>
    <row r="10060" spans="6:10" hidden="1">
      <c r="F10060" s="527">
        <v>4631</v>
      </c>
      <c r="G10060" s="518" t="s">
        <v>3813</v>
      </c>
      <c r="J10060" s="635">
        <f t="shared" si="314"/>
        <v>0</v>
      </c>
    </row>
    <row r="10061" spans="6:10" hidden="1">
      <c r="F10061" s="527">
        <v>4632</v>
      </c>
      <c r="G10061" s="518" t="s">
        <v>3814</v>
      </c>
      <c r="J10061" s="635">
        <f t="shared" si="314"/>
        <v>0</v>
      </c>
    </row>
    <row r="10062" spans="6:10" hidden="1">
      <c r="F10062" s="527">
        <v>464</v>
      </c>
      <c r="G10062" s="518" t="s">
        <v>3815</v>
      </c>
      <c r="J10062" s="635">
        <f t="shared" si="314"/>
        <v>0</v>
      </c>
    </row>
    <row r="10063" spans="6:10" hidden="1">
      <c r="F10063" s="527">
        <v>465</v>
      </c>
      <c r="G10063" s="518" t="s">
        <v>4176</v>
      </c>
      <c r="J10063" s="635">
        <f t="shared" si="314"/>
        <v>0</v>
      </c>
    </row>
    <row r="10064" spans="6:10" hidden="1">
      <c r="F10064" s="527">
        <v>472</v>
      </c>
      <c r="G10064" s="518" t="s">
        <v>3819</v>
      </c>
      <c r="J10064" s="635">
        <f t="shared" si="314"/>
        <v>0</v>
      </c>
    </row>
    <row r="10065" spans="6:10" hidden="1">
      <c r="F10065" s="527">
        <v>481</v>
      </c>
      <c r="G10065" s="518" t="s">
        <v>4195</v>
      </c>
      <c r="J10065" s="635">
        <f t="shared" si="314"/>
        <v>0</v>
      </c>
    </row>
    <row r="10066" spans="6:10" hidden="1">
      <c r="F10066" s="527">
        <v>482</v>
      </c>
      <c r="G10066" s="518" t="s">
        <v>4196</v>
      </c>
      <c r="J10066" s="635">
        <f t="shared" si="314"/>
        <v>0</v>
      </c>
    </row>
    <row r="10067" spans="6:10" hidden="1">
      <c r="F10067" s="527">
        <v>483</v>
      </c>
      <c r="G10067" s="520" t="s">
        <v>4197</v>
      </c>
      <c r="J10067" s="635">
        <f t="shared" si="314"/>
        <v>0</v>
      </c>
    </row>
    <row r="10068" spans="6:10" ht="30" hidden="1">
      <c r="F10068" s="527">
        <v>484</v>
      </c>
      <c r="G10068" s="518" t="s">
        <v>4198</v>
      </c>
      <c r="J10068" s="635">
        <f t="shared" si="314"/>
        <v>0</v>
      </c>
    </row>
    <row r="10069" spans="6:10" ht="30" hidden="1">
      <c r="F10069" s="527">
        <v>485</v>
      </c>
      <c r="G10069" s="518" t="s">
        <v>4199</v>
      </c>
      <c r="J10069" s="635">
        <f t="shared" si="314"/>
        <v>0</v>
      </c>
    </row>
    <row r="10070" spans="6:10" ht="30" hidden="1">
      <c r="F10070" s="527">
        <v>489</v>
      </c>
      <c r="G10070" s="518" t="s">
        <v>3827</v>
      </c>
      <c r="J10070" s="635">
        <f t="shared" si="314"/>
        <v>0</v>
      </c>
    </row>
    <row r="10071" spans="6:10" hidden="1">
      <c r="F10071" s="527">
        <v>494</v>
      </c>
      <c r="G10071" s="518" t="s">
        <v>4177</v>
      </c>
      <c r="J10071" s="635">
        <f t="shared" si="314"/>
        <v>0</v>
      </c>
    </row>
    <row r="10072" spans="6:10" ht="30" hidden="1">
      <c r="F10072" s="527">
        <v>495</v>
      </c>
      <c r="G10072" s="518" t="s">
        <v>4178</v>
      </c>
      <c r="J10072" s="635">
        <f t="shared" si="314"/>
        <v>0</v>
      </c>
    </row>
    <row r="10073" spans="6:10" ht="30" hidden="1">
      <c r="F10073" s="527">
        <v>496</v>
      </c>
      <c r="G10073" s="518" t="s">
        <v>4179</v>
      </c>
      <c r="J10073" s="635">
        <f t="shared" si="314"/>
        <v>0</v>
      </c>
    </row>
    <row r="10074" spans="6:10" hidden="1">
      <c r="F10074" s="527">
        <v>499</v>
      </c>
      <c r="G10074" s="518" t="s">
        <v>4180</v>
      </c>
      <c r="J10074" s="635">
        <f t="shared" si="314"/>
        <v>0</v>
      </c>
    </row>
    <row r="10075" spans="6:10" hidden="1">
      <c r="F10075" s="527">
        <v>511</v>
      </c>
      <c r="G10075" s="520" t="s">
        <v>4200</v>
      </c>
      <c r="J10075" s="635">
        <f t="shared" si="314"/>
        <v>0</v>
      </c>
    </row>
    <row r="10076" spans="6:10" ht="15.75" hidden="1" thickBot="1">
      <c r="F10076" s="527">
        <v>512</v>
      </c>
      <c r="G10076" s="520" t="s">
        <v>4201</v>
      </c>
      <c r="J10076" s="635">
        <f t="shared" si="314"/>
        <v>0</v>
      </c>
    </row>
    <row r="10077" spans="6:10" ht="15.75" hidden="1" thickBot="1">
      <c r="F10077" s="527">
        <v>513</v>
      </c>
      <c r="G10077" s="520" t="s">
        <v>4202</v>
      </c>
      <c r="J10077" s="635">
        <f t="shared" si="314"/>
        <v>0</v>
      </c>
    </row>
    <row r="10078" spans="6:10" ht="15.75" hidden="1" thickBot="1">
      <c r="F10078" s="527">
        <v>514</v>
      </c>
      <c r="G10078" s="518" t="s">
        <v>4203</v>
      </c>
      <c r="J10078" s="635">
        <f t="shared" si="314"/>
        <v>0</v>
      </c>
    </row>
    <row r="10079" spans="6:10" ht="15.75" hidden="1" thickBot="1">
      <c r="F10079" s="527">
        <v>515</v>
      </c>
      <c r="G10079" s="518" t="s">
        <v>3838</v>
      </c>
      <c r="J10079" s="635">
        <f t="shared" si="314"/>
        <v>0</v>
      </c>
    </row>
    <row r="10080" spans="6:10" ht="15.75" hidden="1" thickBot="1">
      <c r="F10080" s="527">
        <v>521</v>
      </c>
      <c r="G10080" s="518" t="s">
        <v>4204</v>
      </c>
      <c r="J10080" s="635">
        <f t="shared" si="314"/>
        <v>0</v>
      </c>
    </row>
    <row r="10081" spans="5:10" ht="15.75" hidden="1" thickBot="1">
      <c r="F10081" s="527">
        <v>522</v>
      </c>
      <c r="G10081" s="518" t="s">
        <v>4205</v>
      </c>
      <c r="J10081" s="635">
        <f t="shared" si="314"/>
        <v>0</v>
      </c>
    </row>
    <row r="10082" spans="5:10" ht="15.75" hidden="1" thickBot="1">
      <c r="F10082" s="527">
        <v>523</v>
      </c>
      <c r="G10082" s="518" t="s">
        <v>3843</v>
      </c>
      <c r="J10082" s="635">
        <f t="shared" si="314"/>
        <v>0</v>
      </c>
    </row>
    <row r="10083" spans="5:10" ht="15.75" hidden="1" thickBot="1">
      <c r="F10083" s="527">
        <v>531</v>
      </c>
      <c r="G10083" s="515" t="s">
        <v>4181</v>
      </c>
      <c r="J10083" s="635">
        <f t="shared" si="314"/>
        <v>0</v>
      </c>
    </row>
    <row r="10084" spans="5:10" ht="15.75" hidden="1" thickBot="1">
      <c r="F10084" s="527">
        <v>541</v>
      </c>
      <c r="G10084" s="518" t="s">
        <v>4206</v>
      </c>
      <c r="J10084" s="635">
        <f t="shared" si="314"/>
        <v>0</v>
      </c>
    </row>
    <row r="10085" spans="5:10" ht="15.75" hidden="1" thickBot="1">
      <c r="F10085" s="527">
        <v>542</v>
      </c>
      <c r="G10085" s="518" t="s">
        <v>4207</v>
      </c>
      <c r="J10085" s="635">
        <f t="shared" si="314"/>
        <v>0</v>
      </c>
    </row>
    <row r="10086" spans="5:10" ht="15.75" hidden="1" thickBot="1">
      <c r="F10086" s="527">
        <v>543</v>
      </c>
      <c r="G10086" s="518" t="s">
        <v>3848</v>
      </c>
      <c r="J10086" s="635">
        <f t="shared" si="314"/>
        <v>0</v>
      </c>
    </row>
    <row r="10087" spans="5:10" ht="30.75" hidden="1" thickBot="1">
      <c r="F10087" s="527">
        <v>551</v>
      </c>
      <c r="G10087" s="518" t="s">
        <v>4182</v>
      </c>
      <c r="J10087" s="635">
        <f t="shared" si="314"/>
        <v>0</v>
      </c>
    </row>
    <row r="10088" spans="5:10" ht="15.75" hidden="1" thickBot="1">
      <c r="F10088" s="528">
        <v>611</v>
      </c>
      <c r="G10088" s="526" t="s">
        <v>3854</v>
      </c>
      <c r="J10088" s="635">
        <f t="shared" si="314"/>
        <v>0</v>
      </c>
    </row>
    <row r="10089" spans="5:10" ht="15.75" hidden="1" thickBot="1">
      <c r="F10089" s="528">
        <v>620</v>
      </c>
      <c r="G10089" s="526" t="s">
        <v>88</v>
      </c>
      <c r="J10089" s="635">
        <f t="shared" si="314"/>
        <v>0</v>
      </c>
    </row>
    <row r="10090" spans="5:10" hidden="1">
      <c r="E10090" s="516"/>
      <c r="F10090" s="528"/>
      <c r="G10090" s="371" t="s">
        <v>4439</v>
      </c>
      <c r="H10090" s="636"/>
      <c r="I10090" s="662"/>
      <c r="J10090" s="637"/>
    </row>
    <row r="10091" spans="5:10" hidden="1">
      <c r="E10091" s="267"/>
      <c r="F10091" s="294" t="s">
        <v>234</v>
      </c>
      <c r="G10091" s="297" t="s">
        <v>235</v>
      </c>
      <c r="H10091" s="638">
        <f>SUM(H10030:H10089)</f>
        <v>0</v>
      </c>
      <c r="I10091" s="639"/>
      <c r="J10091" s="639">
        <f>SUM(H10091:I10091)</f>
        <v>0</v>
      </c>
    </row>
    <row r="10092" spans="5:10" hidden="1">
      <c r="F10092" s="294" t="s">
        <v>236</v>
      </c>
      <c r="G10092" s="297" t="s">
        <v>237</v>
      </c>
      <c r="J10092" s="639">
        <f t="shared" ref="J10092:J10106" si="315">SUM(H10092:I10092)</f>
        <v>0</v>
      </c>
    </row>
    <row r="10093" spans="5:10" hidden="1">
      <c r="F10093" s="294" t="s">
        <v>238</v>
      </c>
      <c r="G10093" s="297" t="s">
        <v>239</v>
      </c>
      <c r="J10093" s="639">
        <f t="shared" si="315"/>
        <v>0</v>
      </c>
    </row>
    <row r="10094" spans="5:10" hidden="1">
      <c r="F10094" s="294" t="s">
        <v>240</v>
      </c>
      <c r="G10094" s="297" t="s">
        <v>241</v>
      </c>
      <c r="J10094" s="639">
        <f t="shared" si="315"/>
        <v>0</v>
      </c>
    </row>
    <row r="10095" spans="5:10" hidden="1">
      <c r="F10095" s="294" t="s">
        <v>242</v>
      </c>
      <c r="G10095" s="297" t="s">
        <v>243</v>
      </c>
      <c r="J10095" s="639">
        <f t="shared" si="315"/>
        <v>0</v>
      </c>
    </row>
    <row r="10096" spans="5:10" hidden="1">
      <c r="F10096" s="294" t="s">
        <v>244</v>
      </c>
      <c r="G10096" s="297" t="s">
        <v>245</v>
      </c>
      <c r="J10096" s="639">
        <f t="shared" si="315"/>
        <v>0</v>
      </c>
    </row>
    <row r="10097" spans="5:10" hidden="1">
      <c r="F10097" s="294" t="s">
        <v>246</v>
      </c>
      <c r="G10097" s="683" t="s">
        <v>5121</v>
      </c>
      <c r="J10097" s="639">
        <f t="shared" si="315"/>
        <v>0</v>
      </c>
    </row>
    <row r="10098" spans="5:10" hidden="1">
      <c r="F10098" s="294" t="s">
        <v>247</v>
      </c>
      <c r="G10098" s="683" t="s">
        <v>5120</v>
      </c>
      <c r="J10098" s="639">
        <f t="shared" si="315"/>
        <v>0</v>
      </c>
    </row>
    <row r="10099" spans="5:10" hidden="1">
      <c r="F10099" s="294" t="s">
        <v>248</v>
      </c>
      <c r="G10099" s="297" t="s">
        <v>57</v>
      </c>
      <c r="J10099" s="639">
        <f t="shared" si="315"/>
        <v>0</v>
      </c>
    </row>
    <row r="10100" spans="5:10" hidden="1">
      <c r="F10100" s="294" t="s">
        <v>249</v>
      </c>
      <c r="G10100" s="297" t="s">
        <v>250</v>
      </c>
      <c r="J10100" s="639">
        <f t="shared" si="315"/>
        <v>0</v>
      </c>
    </row>
    <row r="10101" spans="5:10" hidden="1">
      <c r="F10101" s="294" t="s">
        <v>251</v>
      </c>
      <c r="G10101" s="297" t="s">
        <v>252</v>
      </c>
      <c r="J10101" s="639">
        <f t="shared" si="315"/>
        <v>0</v>
      </c>
    </row>
    <row r="10102" spans="5:10" hidden="1">
      <c r="F10102" s="294" t="s">
        <v>253</v>
      </c>
      <c r="G10102" s="297" t="s">
        <v>254</v>
      </c>
      <c r="J10102" s="639">
        <f t="shared" si="315"/>
        <v>0</v>
      </c>
    </row>
    <row r="10103" spans="5:10" ht="15.75" hidden="1" thickBot="1">
      <c r="F10103" s="294" t="s">
        <v>255</v>
      </c>
      <c r="G10103" s="297" t="s">
        <v>256</v>
      </c>
      <c r="J10103" s="639">
        <f t="shared" si="315"/>
        <v>0</v>
      </c>
    </row>
    <row r="10104" spans="5:10" ht="15.75" hidden="1" thickBot="1">
      <c r="F10104" s="294" t="s">
        <v>257</v>
      </c>
      <c r="G10104" s="297" t="s">
        <v>258</v>
      </c>
      <c r="J10104" s="639">
        <f t="shared" si="315"/>
        <v>0</v>
      </c>
    </row>
    <row r="10105" spans="5:10" ht="15.75" hidden="1" thickBot="1">
      <c r="F10105" s="294" t="s">
        <v>259</v>
      </c>
      <c r="G10105" s="297" t="s">
        <v>260</v>
      </c>
      <c r="J10105" s="639">
        <f t="shared" si="315"/>
        <v>0</v>
      </c>
    </row>
    <row r="10106" spans="5:10" ht="15.75" hidden="1" thickBot="1">
      <c r="F10106" s="294" t="s">
        <v>261</v>
      </c>
      <c r="G10106" s="297" t="s">
        <v>262</v>
      </c>
      <c r="H10106" s="638"/>
      <c r="I10106" s="639"/>
      <c r="J10106" s="639">
        <f t="shared" si="315"/>
        <v>0</v>
      </c>
    </row>
    <row r="10107" spans="5:10" ht="15.75" hidden="1" thickBot="1">
      <c r="G10107" s="274" t="s">
        <v>4440</v>
      </c>
      <c r="H10107" s="640">
        <f>SUM(H10091:H10106)</f>
        <v>0</v>
      </c>
      <c r="I10107" s="641">
        <f>SUM(I10092:I10106)</f>
        <v>0</v>
      </c>
      <c r="J10107" s="641">
        <f>SUM(J10091:J10106)</f>
        <v>0</v>
      </c>
    </row>
    <row r="10108" spans="5:10" hidden="1" collapsed="1">
      <c r="E10108" s="516"/>
      <c r="F10108" s="528"/>
      <c r="G10108" s="276" t="s">
        <v>5036</v>
      </c>
      <c r="H10108" s="642"/>
      <c r="I10108" s="663"/>
      <c r="J10108" s="643"/>
    </row>
    <row r="10109" spans="5:10" hidden="1">
      <c r="E10109" s="267"/>
      <c r="F10109" s="294" t="s">
        <v>234</v>
      </c>
      <c r="G10109" s="297" t="s">
        <v>235</v>
      </c>
      <c r="H10109" s="638">
        <f>SUM(H10030:H10089)</f>
        <v>0</v>
      </c>
      <c r="I10109" s="639"/>
      <c r="J10109" s="639">
        <f>SUM(H10109:I10109)</f>
        <v>0</v>
      </c>
    </row>
    <row r="10110" spans="5:10" hidden="1">
      <c r="F10110" s="294" t="s">
        <v>236</v>
      </c>
      <c r="G10110" s="297" t="s">
        <v>237</v>
      </c>
      <c r="J10110" s="639">
        <f t="shared" ref="J10110:J10124" si="316">SUM(H10110:I10110)</f>
        <v>0</v>
      </c>
    </row>
    <row r="10111" spans="5:10" hidden="1">
      <c r="F10111" s="294" t="s">
        <v>238</v>
      </c>
      <c r="G10111" s="297" t="s">
        <v>239</v>
      </c>
      <c r="J10111" s="639">
        <f t="shared" si="316"/>
        <v>0</v>
      </c>
    </row>
    <row r="10112" spans="5:10" hidden="1">
      <c r="F10112" s="294" t="s">
        <v>240</v>
      </c>
      <c r="G10112" s="297" t="s">
        <v>241</v>
      </c>
      <c r="J10112" s="639">
        <f t="shared" si="316"/>
        <v>0</v>
      </c>
    </row>
    <row r="10113" spans="5:10" hidden="1">
      <c r="F10113" s="294" t="s">
        <v>242</v>
      </c>
      <c r="G10113" s="297" t="s">
        <v>243</v>
      </c>
      <c r="J10113" s="639">
        <f t="shared" si="316"/>
        <v>0</v>
      </c>
    </row>
    <row r="10114" spans="5:10" hidden="1">
      <c r="F10114" s="294" t="s">
        <v>244</v>
      </c>
      <c r="G10114" s="297" t="s">
        <v>245</v>
      </c>
      <c r="J10114" s="639">
        <f t="shared" si="316"/>
        <v>0</v>
      </c>
    </row>
    <row r="10115" spans="5:10" hidden="1">
      <c r="F10115" s="294" t="s">
        <v>246</v>
      </c>
      <c r="G10115" s="683" t="s">
        <v>5121</v>
      </c>
      <c r="J10115" s="639">
        <f t="shared" si="316"/>
        <v>0</v>
      </c>
    </row>
    <row r="10116" spans="5:10" hidden="1">
      <c r="F10116" s="294" t="s">
        <v>247</v>
      </c>
      <c r="G10116" s="683" t="s">
        <v>5120</v>
      </c>
      <c r="J10116" s="639">
        <f t="shared" si="316"/>
        <v>0</v>
      </c>
    </row>
    <row r="10117" spans="5:10" hidden="1">
      <c r="F10117" s="294" t="s">
        <v>248</v>
      </c>
      <c r="G10117" s="297" t="s">
        <v>57</v>
      </c>
      <c r="J10117" s="639">
        <f t="shared" si="316"/>
        <v>0</v>
      </c>
    </row>
    <row r="10118" spans="5:10" hidden="1">
      <c r="F10118" s="294" t="s">
        <v>249</v>
      </c>
      <c r="G10118" s="297" t="s">
        <v>250</v>
      </c>
      <c r="J10118" s="639">
        <f t="shared" si="316"/>
        <v>0</v>
      </c>
    </row>
    <row r="10119" spans="5:10" hidden="1">
      <c r="F10119" s="294" t="s">
        <v>251</v>
      </c>
      <c r="G10119" s="297" t="s">
        <v>252</v>
      </c>
      <c r="J10119" s="639">
        <f t="shared" si="316"/>
        <v>0</v>
      </c>
    </row>
    <row r="10120" spans="5:10" hidden="1">
      <c r="F10120" s="294" t="s">
        <v>253</v>
      </c>
      <c r="G10120" s="297" t="s">
        <v>254</v>
      </c>
      <c r="J10120" s="639">
        <f t="shared" si="316"/>
        <v>0</v>
      </c>
    </row>
    <row r="10121" spans="5:10" ht="15.75" hidden="1" thickBot="1">
      <c r="F10121" s="294" t="s">
        <v>255</v>
      </c>
      <c r="G10121" s="297" t="s">
        <v>256</v>
      </c>
      <c r="J10121" s="639">
        <f t="shared" si="316"/>
        <v>0</v>
      </c>
    </row>
    <row r="10122" spans="5:10" ht="15.75" hidden="1" thickBot="1">
      <c r="F10122" s="294" t="s">
        <v>257</v>
      </c>
      <c r="G10122" s="297" t="s">
        <v>258</v>
      </c>
      <c r="J10122" s="639">
        <f t="shared" si="316"/>
        <v>0</v>
      </c>
    </row>
    <row r="10123" spans="5:10" ht="15.75" hidden="1" thickBot="1">
      <c r="F10123" s="294" t="s">
        <v>259</v>
      </c>
      <c r="G10123" s="297" t="s">
        <v>260</v>
      </c>
      <c r="J10123" s="639">
        <f t="shared" si="316"/>
        <v>0</v>
      </c>
    </row>
    <row r="10124" spans="5:10" ht="15.75" hidden="1" thickBot="1">
      <c r="F10124" s="294" t="s">
        <v>261</v>
      </c>
      <c r="G10124" s="297" t="s">
        <v>262</v>
      </c>
      <c r="H10124" s="638"/>
      <c r="I10124" s="639"/>
      <c r="J10124" s="639">
        <f t="shared" si="316"/>
        <v>0</v>
      </c>
    </row>
    <row r="10125" spans="5:10" ht="15.75" hidden="1" thickBot="1">
      <c r="G10125" s="274" t="s">
        <v>5021</v>
      </c>
      <c r="H10125" s="640">
        <f>SUM(H10109:H10124)</f>
        <v>0</v>
      </c>
      <c r="I10125" s="641">
        <f>SUM(I10110:I10124)</f>
        <v>0</v>
      </c>
      <c r="J10125" s="641">
        <f>SUM(J10109:J10124)</f>
        <v>0</v>
      </c>
    </row>
    <row r="10126" spans="5:10" hidden="1"/>
    <row r="10127" spans="5:10" hidden="1">
      <c r="E10127" s="516"/>
      <c r="F10127" s="528"/>
      <c r="G10127" s="295" t="s">
        <v>4329</v>
      </c>
      <c r="H10127" s="646"/>
      <c r="I10127" s="664"/>
      <c r="J10127" s="647"/>
    </row>
    <row r="10128" spans="5:10" hidden="1">
      <c r="E10128" s="267"/>
      <c r="F10128" s="294" t="s">
        <v>234</v>
      </c>
      <c r="G10128" s="297" t="s">
        <v>235</v>
      </c>
      <c r="H10128" s="638">
        <f>SUM(H10109,H10010)</f>
        <v>0</v>
      </c>
      <c r="I10128" s="639"/>
      <c r="J10128" s="639">
        <f>SUM(H10128:I10128)</f>
        <v>0</v>
      </c>
    </row>
    <row r="10129" spans="6:10" hidden="1">
      <c r="F10129" s="294" t="s">
        <v>236</v>
      </c>
      <c r="G10129" s="297" t="s">
        <v>237</v>
      </c>
      <c r="J10129" s="639">
        <f t="shared" ref="J10129:J10143" si="317">SUM(H10129:I10129)</f>
        <v>0</v>
      </c>
    </row>
    <row r="10130" spans="6:10" hidden="1">
      <c r="F10130" s="294" t="s">
        <v>238</v>
      </c>
      <c r="G10130" s="297" t="s">
        <v>239</v>
      </c>
      <c r="J10130" s="639">
        <f t="shared" si="317"/>
        <v>0</v>
      </c>
    </row>
    <row r="10131" spans="6:10" hidden="1">
      <c r="F10131" s="294" t="s">
        <v>240</v>
      </c>
      <c r="G10131" s="297" t="s">
        <v>241</v>
      </c>
      <c r="J10131" s="639">
        <f t="shared" si="317"/>
        <v>0</v>
      </c>
    </row>
    <row r="10132" spans="6:10" hidden="1">
      <c r="F10132" s="294" t="s">
        <v>242</v>
      </c>
      <c r="G10132" s="297" t="s">
        <v>243</v>
      </c>
      <c r="J10132" s="639">
        <f t="shared" si="317"/>
        <v>0</v>
      </c>
    </row>
    <row r="10133" spans="6:10" hidden="1">
      <c r="F10133" s="294" t="s">
        <v>244</v>
      </c>
      <c r="G10133" s="297" t="s">
        <v>245</v>
      </c>
      <c r="J10133" s="639">
        <f t="shared" si="317"/>
        <v>0</v>
      </c>
    </row>
    <row r="10134" spans="6:10" hidden="1">
      <c r="F10134" s="294" t="s">
        <v>246</v>
      </c>
      <c r="G10134" s="683" t="s">
        <v>5121</v>
      </c>
      <c r="J10134" s="639">
        <f t="shared" si="317"/>
        <v>0</v>
      </c>
    </row>
    <row r="10135" spans="6:10" hidden="1">
      <c r="F10135" s="294" t="s">
        <v>247</v>
      </c>
      <c r="G10135" s="683" t="s">
        <v>5120</v>
      </c>
      <c r="J10135" s="639">
        <f t="shared" si="317"/>
        <v>0</v>
      </c>
    </row>
    <row r="10136" spans="6:10" hidden="1">
      <c r="F10136" s="294" t="s">
        <v>248</v>
      </c>
      <c r="G10136" s="297" t="s">
        <v>57</v>
      </c>
      <c r="J10136" s="639">
        <f t="shared" si="317"/>
        <v>0</v>
      </c>
    </row>
    <row r="10137" spans="6:10" hidden="1">
      <c r="F10137" s="294" t="s">
        <v>249</v>
      </c>
      <c r="G10137" s="297" t="s">
        <v>250</v>
      </c>
      <c r="J10137" s="639">
        <f t="shared" si="317"/>
        <v>0</v>
      </c>
    </row>
    <row r="10138" spans="6:10" hidden="1">
      <c r="F10138" s="294" t="s">
        <v>251</v>
      </c>
      <c r="G10138" s="297" t="s">
        <v>252</v>
      </c>
      <c r="J10138" s="639">
        <f t="shared" si="317"/>
        <v>0</v>
      </c>
    </row>
    <row r="10139" spans="6:10" hidden="1">
      <c r="F10139" s="294" t="s">
        <v>253</v>
      </c>
      <c r="G10139" s="297" t="s">
        <v>254</v>
      </c>
      <c r="J10139" s="639">
        <f t="shared" si="317"/>
        <v>0</v>
      </c>
    </row>
    <row r="10140" spans="6:10" ht="15.75" hidden="1" thickBot="1">
      <c r="F10140" s="294" t="s">
        <v>255</v>
      </c>
      <c r="G10140" s="297" t="s">
        <v>256</v>
      </c>
      <c r="J10140" s="639">
        <f t="shared" si="317"/>
        <v>0</v>
      </c>
    </row>
    <row r="10141" spans="6:10" ht="15.75" hidden="1" thickBot="1">
      <c r="F10141" s="294" t="s">
        <v>257</v>
      </c>
      <c r="G10141" s="297" t="s">
        <v>258</v>
      </c>
      <c r="J10141" s="639">
        <f t="shared" si="317"/>
        <v>0</v>
      </c>
    </row>
    <row r="10142" spans="6:10" ht="15.75" hidden="1" thickBot="1">
      <c r="F10142" s="294" t="s">
        <v>259</v>
      </c>
      <c r="G10142" s="297" t="s">
        <v>260</v>
      </c>
      <c r="J10142" s="639">
        <f t="shared" si="317"/>
        <v>0</v>
      </c>
    </row>
    <row r="10143" spans="6:10" ht="15.75" hidden="1" thickBot="1">
      <c r="F10143" s="294" t="s">
        <v>261</v>
      </c>
      <c r="G10143" s="297" t="s">
        <v>262</v>
      </c>
      <c r="H10143" s="638"/>
      <c r="I10143" s="639"/>
      <c r="J10143" s="639">
        <f t="shared" si="317"/>
        <v>0</v>
      </c>
    </row>
    <row r="10144" spans="6:10" ht="15.75" hidden="1" thickBot="1">
      <c r="G10144" s="274" t="s">
        <v>4330</v>
      </c>
      <c r="H10144" s="640">
        <f>SUM(H10128:H10143)</f>
        <v>0</v>
      </c>
      <c r="I10144" s="641">
        <f>SUM(I10129:I10143)</f>
        <v>0</v>
      </c>
      <c r="J10144" s="641">
        <f>SUM(J10128:J10143)</f>
        <v>0</v>
      </c>
    </row>
    <row r="10145" spans="5:10" hidden="1"/>
    <row r="10146" spans="5:10" hidden="1">
      <c r="E10146" s="516"/>
      <c r="F10146" s="528"/>
      <c r="G10146" s="295" t="s">
        <v>5062</v>
      </c>
      <c r="H10146" s="646"/>
      <c r="I10146" s="664"/>
      <c r="J10146" s="647"/>
    </row>
    <row r="10147" spans="5:10" hidden="1">
      <c r="E10147" s="267"/>
      <c r="F10147" s="294" t="s">
        <v>234</v>
      </c>
      <c r="G10147" s="297" t="s">
        <v>235</v>
      </c>
      <c r="H10147" s="638">
        <f>SUM(H10128)</f>
        <v>0</v>
      </c>
      <c r="I10147" s="639"/>
      <c r="J10147" s="639">
        <f>SUM(H10147:I10147)</f>
        <v>0</v>
      </c>
    </row>
    <row r="10148" spans="5:10" hidden="1">
      <c r="F10148" s="294" t="s">
        <v>236</v>
      </c>
      <c r="G10148" s="297" t="s">
        <v>237</v>
      </c>
      <c r="J10148" s="639">
        <f t="shared" ref="J10148:J10162" si="318">SUM(H10148:I10148)</f>
        <v>0</v>
      </c>
    </row>
    <row r="10149" spans="5:10" hidden="1">
      <c r="F10149" s="294" t="s">
        <v>238</v>
      </c>
      <c r="G10149" s="297" t="s">
        <v>239</v>
      </c>
      <c r="J10149" s="639">
        <f t="shared" si="318"/>
        <v>0</v>
      </c>
    </row>
    <row r="10150" spans="5:10" hidden="1">
      <c r="F10150" s="294" t="s">
        <v>240</v>
      </c>
      <c r="G10150" s="297" t="s">
        <v>241</v>
      </c>
      <c r="J10150" s="639">
        <f t="shared" si="318"/>
        <v>0</v>
      </c>
    </row>
    <row r="10151" spans="5:10" hidden="1">
      <c r="F10151" s="294" t="s">
        <v>242</v>
      </c>
      <c r="G10151" s="297" t="s">
        <v>243</v>
      </c>
      <c r="J10151" s="639">
        <f t="shared" si="318"/>
        <v>0</v>
      </c>
    </row>
    <row r="10152" spans="5:10" hidden="1">
      <c r="F10152" s="294" t="s">
        <v>244</v>
      </c>
      <c r="G10152" s="297" t="s">
        <v>245</v>
      </c>
      <c r="J10152" s="639">
        <f t="shared" si="318"/>
        <v>0</v>
      </c>
    </row>
    <row r="10153" spans="5:10" hidden="1">
      <c r="F10153" s="294" t="s">
        <v>246</v>
      </c>
      <c r="G10153" s="683" t="s">
        <v>5121</v>
      </c>
      <c r="J10153" s="639">
        <f t="shared" si="318"/>
        <v>0</v>
      </c>
    </row>
    <row r="10154" spans="5:10" hidden="1">
      <c r="F10154" s="294" t="s">
        <v>247</v>
      </c>
      <c r="G10154" s="683" t="s">
        <v>5120</v>
      </c>
      <c r="J10154" s="639">
        <f t="shared" si="318"/>
        <v>0</v>
      </c>
    </row>
    <row r="10155" spans="5:10" hidden="1">
      <c r="F10155" s="294" t="s">
        <v>248</v>
      </c>
      <c r="G10155" s="297" t="s">
        <v>57</v>
      </c>
      <c r="J10155" s="639">
        <f t="shared" si="318"/>
        <v>0</v>
      </c>
    </row>
    <row r="10156" spans="5:10" hidden="1">
      <c r="F10156" s="294" t="s">
        <v>249</v>
      </c>
      <c r="G10156" s="297" t="s">
        <v>250</v>
      </c>
      <c r="J10156" s="639">
        <f t="shared" si="318"/>
        <v>0</v>
      </c>
    </row>
    <row r="10157" spans="5:10" hidden="1">
      <c r="F10157" s="294" t="s">
        <v>251</v>
      </c>
      <c r="G10157" s="297" t="s">
        <v>252</v>
      </c>
      <c r="J10157" s="639">
        <f t="shared" si="318"/>
        <v>0</v>
      </c>
    </row>
    <row r="10158" spans="5:10" hidden="1">
      <c r="F10158" s="294" t="s">
        <v>253</v>
      </c>
      <c r="G10158" s="297" t="s">
        <v>254</v>
      </c>
      <c r="J10158" s="639">
        <f t="shared" si="318"/>
        <v>0</v>
      </c>
    </row>
    <row r="10159" spans="5:10" ht="15.75" hidden="1" thickBot="1">
      <c r="F10159" s="294" t="s">
        <v>255</v>
      </c>
      <c r="G10159" s="297" t="s">
        <v>256</v>
      </c>
      <c r="J10159" s="639">
        <f t="shared" si="318"/>
        <v>0</v>
      </c>
    </row>
    <row r="10160" spans="5:10" ht="15.75" hidden="1" thickBot="1">
      <c r="F10160" s="294" t="s">
        <v>257</v>
      </c>
      <c r="G10160" s="297" t="s">
        <v>258</v>
      </c>
      <c r="J10160" s="639">
        <f t="shared" si="318"/>
        <v>0</v>
      </c>
    </row>
    <row r="10161" spans="1:10" ht="15.75" hidden="1" thickBot="1">
      <c r="F10161" s="294" t="s">
        <v>259</v>
      </c>
      <c r="G10161" s="297" t="s">
        <v>260</v>
      </c>
      <c r="J10161" s="639">
        <f t="shared" si="318"/>
        <v>0</v>
      </c>
    </row>
    <row r="10162" spans="1:10" ht="15.75" hidden="1" thickBot="1">
      <c r="F10162" s="294" t="s">
        <v>261</v>
      </c>
      <c r="G10162" s="297" t="s">
        <v>262</v>
      </c>
      <c r="H10162" s="638"/>
      <c r="I10162" s="639"/>
      <c r="J10162" s="639">
        <f t="shared" si="318"/>
        <v>0</v>
      </c>
    </row>
    <row r="10163" spans="1:10" ht="15.75" hidden="1" thickBot="1">
      <c r="G10163" s="274" t="s">
        <v>5063</v>
      </c>
      <c r="H10163" s="640">
        <f>SUM(H10147:H10162)</f>
        <v>0</v>
      </c>
      <c r="I10163" s="641">
        <f>SUM(I10148:I10162)</f>
        <v>0</v>
      </c>
      <c r="J10163" s="641">
        <f>SUM(J10147:J10162)</f>
        <v>0</v>
      </c>
    </row>
    <row r="10164" spans="1:10" hidden="1"/>
    <row r="10165" spans="1:10" hidden="1"/>
    <row r="10166" spans="1:10" hidden="1">
      <c r="A10166" s="495">
        <v>4</v>
      </c>
      <c r="B10166" s="496" t="s">
        <v>4343</v>
      </c>
      <c r="C10166" s="495" t="s">
        <v>4015</v>
      </c>
      <c r="D10166" s="497"/>
      <c r="E10166" s="498"/>
      <c r="F10166" s="498"/>
      <c r="G10166" s="499" t="s">
        <v>4324</v>
      </c>
      <c r="H10166" s="672"/>
      <c r="I10166" s="673"/>
      <c r="J10166" s="658"/>
    </row>
    <row r="10167" spans="1:10" ht="16.5" hidden="1" customHeight="1">
      <c r="C10167" s="273" t="s">
        <v>3594</v>
      </c>
      <c r="G10167" s="517" t="s">
        <v>4321</v>
      </c>
    </row>
    <row r="10168" spans="1:10" hidden="1">
      <c r="C10168" s="273" t="s">
        <v>4129</v>
      </c>
      <c r="D10168" s="264"/>
      <c r="G10168" s="517" t="s">
        <v>4322</v>
      </c>
    </row>
    <row r="10169" spans="1:10" hidden="1">
      <c r="C10169" s="273"/>
      <c r="D10169" s="357">
        <v>820</v>
      </c>
      <c r="E10169" s="357"/>
      <c r="F10169" s="357"/>
      <c r="G10169" s="358" t="s">
        <v>207</v>
      </c>
    </row>
    <row r="10170" spans="1:10" hidden="1">
      <c r="F10170" s="527">
        <v>411</v>
      </c>
      <c r="G10170" s="518" t="s">
        <v>4173</v>
      </c>
      <c r="J10170" s="635">
        <f>SUM(H10170:I10170)</f>
        <v>0</v>
      </c>
    </row>
    <row r="10171" spans="1:10" hidden="1">
      <c r="F10171" s="527">
        <v>412</v>
      </c>
      <c r="G10171" s="515" t="s">
        <v>3770</v>
      </c>
      <c r="J10171" s="635">
        <f t="shared" ref="J10171:J10229" si="319">SUM(H10171:I10171)</f>
        <v>0</v>
      </c>
    </row>
    <row r="10172" spans="1:10" hidden="1">
      <c r="F10172" s="527">
        <v>413</v>
      </c>
      <c r="G10172" s="518" t="s">
        <v>4174</v>
      </c>
      <c r="J10172" s="635">
        <f t="shared" si="319"/>
        <v>0</v>
      </c>
    </row>
    <row r="10173" spans="1:10" hidden="1">
      <c r="F10173" s="527">
        <v>414</v>
      </c>
      <c r="G10173" s="518" t="s">
        <v>3773</v>
      </c>
      <c r="J10173" s="635">
        <f t="shared" si="319"/>
        <v>0</v>
      </c>
    </row>
    <row r="10174" spans="1:10" hidden="1">
      <c r="F10174" s="527">
        <v>415</v>
      </c>
      <c r="G10174" s="518" t="s">
        <v>4183</v>
      </c>
      <c r="J10174" s="635">
        <f t="shared" si="319"/>
        <v>0</v>
      </c>
    </row>
    <row r="10175" spans="1:10" hidden="1">
      <c r="F10175" s="527">
        <v>416</v>
      </c>
      <c r="G10175" s="518" t="s">
        <v>4184</v>
      </c>
      <c r="J10175" s="635">
        <f t="shared" si="319"/>
        <v>0</v>
      </c>
    </row>
    <row r="10176" spans="1:10" hidden="1">
      <c r="F10176" s="527">
        <v>417</v>
      </c>
      <c r="G10176" s="518" t="s">
        <v>4185</v>
      </c>
      <c r="J10176" s="635">
        <f t="shared" si="319"/>
        <v>0</v>
      </c>
    </row>
    <row r="10177" spans="6:10" hidden="1">
      <c r="F10177" s="527">
        <v>418</v>
      </c>
      <c r="G10177" s="518" t="s">
        <v>3779</v>
      </c>
      <c r="J10177" s="635">
        <f t="shared" si="319"/>
        <v>0</v>
      </c>
    </row>
    <row r="10178" spans="6:10" hidden="1">
      <c r="F10178" s="527">
        <v>421</v>
      </c>
      <c r="G10178" s="518" t="s">
        <v>3783</v>
      </c>
      <c r="J10178" s="635">
        <f t="shared" si="319"/>
        <v>0</v>
      </c>
    </row>
    <row r="10179" spans="6:10" hidden="1">
      <c r="F10179" s="527">
        <v>422</v>
      </c>
      <c r="G10179" s="518" t="s">
        <v>3784</v>
      </c>
      <c r="J10179" s="635">
        <f t="shared" si="319"/>
        <v>0</v>
      </c>
    </row>
    <row r="10180" spans="6:10" hidden="1">
      <c r="F10180" s="527">
        <v>423</v>
      </c>
      <c r="G10180" s="518" t="s">
        <v>3785</v>
      </c>
      <c r="J10180" s="635">
        <f t="shared" si="319"/>
        <v>0</v>
      </c>
    </row>
    <row r="10181" spans="6:10" hidden="1">
      <c r="F10181" s="527">
        <v>424</v>
      </c>
      <c r="G10181" s="518" t="s">
        <v>3787</v>
      </c>
      <c r="J10181" s="635">
        <f t="shared" si="319"/>
        <v>0</v>
      </c>
    </row>
    <row r="10182" spans="6:10" hidden="1">
      <c r="F10182" s="527">
        <v>425</v>
      </c>
      <c r="G10182" s="518" t="s">
        <v>4186</v>
      </c>
      <c r="J10182" s="635">
        <f t="shared" si="319"/>
        <v>0</v>
      </c>
    </row>
    <row r="10183" spans="6:10" hidden="1">
      <c r="F10183" s="527">
        <v>426</v>
      </c>
      <c r="G10183" s="518" t="s">
        <v>3791</v>
      </c>
      <c r="J10183" s="635">
        <f t="shared" si="319"/>
        <v>0</v>
      </c>
    </row>
    <row r="10184" spans="6:10" hidden="1">
      <c r="F10184" s="527">
        <v>431</v>
      </c>
      <c r="G10184" s="518" t="s">
        <v>4187</v>
      </c>
      <c r="J10184" s="635">
        <f t="shared" si="319"/>
        <v>0</v>
      </c>
    </row>
    <row r="10185" spans="6:10" hidden="1">
      <c r="F10185" s="527">
        <v>432</v>
      </c>
      <c r="G10185" s="518" t="s">
        <v>4188</v>
      </c>
      <c r="J10185" s="635">
        <f t="shared" si="319"/>
        <v>0</v>
      </c>
    </row>
    <row r="10186" spans="6:10" hidden="1">
      <c r="F10186" s="527">
        <v>433</v>
      </c>
      <c r="G10186" s="518" t="s">
        <v>4189</v>
      </c>
      <c r="J10186" s="635">
        <f t="shared" si="319"/>
        <v>0</v>
      </c>
    </row>
    <row r="10187" spans="6:10" hidden="1">
      <c r="F10187" s="527">
        <v>434</v>
      </c>
      <c r="G10187" s="518" t="s">
        <v>4190</v>
      </c>
      <c r="J10187" s="635">
        <f t="shared" si="319"/>
        <v>0</v>
      </c>
    </row>
    <row r="10188" spans="6:10" hidden="1">
      <c r="F10188" s="527">
        <v>435</v>
      </c>
      <c r="G10188" s="518" t="s">
        <v>3798</v>
      </c>
      <c r="J10188" s="635">
        <f t="shared" si="319"/>
        <v>0</v>
      </c>
    </row>
    <row r="10189" spans="6:10" hidden="1">
      <c r="F10189" s="527">
        <v>441</v>
      </c>
      <c r="G10189" s="518" t="s">
        <v>4191</v>
      </c>
      <c r="J10189" s="635">
        <f t="shared" si="319"/>
        <v>0</v>
      </c>
    </row>
    <row r="10190" spans="6:10" hidden="1">
      <c r="F10190" s="527">
        <v>442</v>
      </c>
      <c r="G10190" s="518" t="s">
        <v>4192</v>
      </c>
      <c r="J10190" s="635">
        <f t="shared" si="319"/>
        <v>0</v>
      </c>
    </row>
    <row r="10191" spans="6:10" hidden="1">
      <c r="F10191" s="527">
        <v>443</v>
      </c>
      <c r="G10191" s="518" t="s">
        <v>3803</v>
      </c>
      <c r="J10191" s="635">
        <f t="shared" si="319"/>
        <v>0</v>
      </c>
    </row>
    <row r="10192" spans="6:10" hidden="1">
      <c r="F10192" s="527">
        <v>444</v>
      </c>
      <c r="G10192" s="518" t="s">
        <v>3804</v>
      </c>
      <c r="J10192" s="635">
        <f t="shared" si="319"/>
        <v>0</v>
      </c>
    </row>
    <row r="10193" spans="6:10" ht="30" hidden="1">
      <c r="F10193" s="527">
        <v>4511</v>
      </c>
      <c r="G10193" s="268" t="s">
        <v>1690</v>
      </c>
      <c r="J10193" s="635">
        <f t="shared" si="319"/>
        <v>0</v>
      </c>
    </row>
    <row r="10194" spans="6:10" ht="19.5" hidden="1" customHeight="1">
      <c r="F10194" s="527">
        <v>4512</v>
      </c>
      <c r="G10194" s="268" t="s">
        <v>1699</v>
      </c>
      <c r="J10194" s="635">
        <f t="shared" si="319"/>
        <v>0</v>
      </c>
    </row>
    <row r="10195" spans="6:10" hidden="1">
      <c r="F10195" s="527">
        <v>452</v>
      </c>
      <c r="G10195" s="518" t="s">
        <v>4193</v>
      </c>
      <c r="J10195" s="635">
        <f t="shared" si="319"/>
        <v>0</v>
      </c>
    </row>
    <row r="10196" spans="6:10" hidden="1">
      <c r="F10196" s="527">
        <v>453</v>
      </c>
      <c r="G10196" s="518" t="s">
        <v>4194</v>
      </c>
      <c r="J10196" s="635">
        <f t="shared" si="319"/>
        <v>0</v>
      </c>
    </row>
    <row r="10197" spans="6:10" hidden="1">
      <c r="F10197" s="527">
        <v>454</v>
      </c>
      <c r="G10197" s="518" t="s">
        <v>3809</v>
      </c>
      <c r="J10197" s="635">
        <f t="shared" si="319"/>
        <v>0</v>
      </c>
    </row>
    <row r="10198" spans="6:10" hidden="1">
      <c r="F10198" s="527">
        <v>461</v>
      </c>
      <c r="G10198" s="518" t="s">
        <v>4175</v>
      </c>
      <c r="J10198" s="635">
        <f t="shared" si="319"/>
        <v>0</v>
      </c>
    </row>
    <row r="10199" spans="6:10" hidden="1">
      <c r="F10199" s="527">
        <v>462</v>
      </c>
      <c r="G10199" s="518" t="s">
        <v>3812</v>
      </c>
      <c r="J10199" s="635">
        <f t="shared" si="319"/>
        <v>0</v>
      </c>
    </row>
    <row r="10200" spans="6:10" hidden="1">
      <c r="F10200" s="527">
        <v>4631</v>
      </c>
      <c r="G10200" s="518" t="s">
        <v>3813</v>
      </c>
      <c r="J10200" s="635">
        <f t="shared" si="319"/>
        <v>0</v>
      </c>
    </row>
    <row r="10201" spans="6:10" hidden="1">
      <c r="F10201" s="527">
        <v>4632</v>
      </c>
      <c r="G10201" s="518" t="s">
        <v>3814</v>
      </c>
      <c r="J10201" s="635">
        <f t="shared" si="319"/>
        <v>0</v>
      </c>
    </row>
    <row r="10202" spans="6:10" hidden="1">
      <c r="F10202" s="527">
        <v>464</v>
      </c>
      <c r="G10202" s="518" t="s">
        <v>3815</v>
      </c>
      <c r="J10202" s="635">
        <f t="shared" si="319"/>
        <v>0</v>
      </c>
    </row>
    <row r="10203" spans="6:10" hidden="1">
      <c r="F10203" s="527">
        <v>465</v>
      </c>
      <c r="G10203" s="518" t="s">
        <v>4176</v>
      </c>
      <c r="J10203" s="635">
        <f t="shared" si="319"/>
        <v>0</v>
      </c>
    </row>
    <row r="10204" spans="6:10" hidden="1">
      <c r="F10204" s="527">
        <v>472</v>
      </c>
      <c r="G10204" s="518" t="s">
        <v>3819</v>
      </c>
      <c r="J10204" s="635">
        <f t="shared" si="319"/>
        <v>0</v>
      </c>
    </row>
    <row r="10205" spans="6:10" hidden="1">
      <c r="F10205" s="527">
        <v>481</v>
      </c>
      <c r="G10205" s="518" t="s">
        <v>4195</v>
      </c>
      <c r="J10205" s="635">
        <f t="shared" si="319"/>
        <v>0</v>
      </c>
    </row>
    <row r="10206" spans="6:10" hidden="1">
      <c r="F10206" s="527">
        <v>482</v>
      </c>
      <c r="G10206" s="518" t="s">
        <v>4196</v>
      </c>
      <c r="J10206" s="635">
        <f t="shared" si="319"/>
        <v>0</v>
      </c>
    </row>
    <row r="10207" spans="6:10" hidden="1">
      <c r="F10207" s="527">
        <v>483</v>
      </c>
      <c r="G10207" s="520" t="s">
        <v>4197</v>
      </c>
      <c r="J10207" s="635">
        <f t="shared" si="319"/>
        <v>0</v>
      </c>
    </row>
    <row r="10208" spans="6:10" ht="30" hidden="1">
      <c r="F10208" s="527">
        <v>484</v>
      </c>
      <c r="G10208" s="518" t="s">
        <v>4198</v>
      </c>
      <c r="J10208" s="635">
        <f t="shared" si="319"/>
        <v>0</v>
      </c>
    </row>
    <row r="10209" spans="6:10" ht="30" hidden="1">
      <c r="F10209" s="527">
        <v>485</v>
      </c>
      <c r="G10209" s="518" t="s">
        <v>4199</v>
      </c>
      <c r="J10209" s="635">
        <f t="shared" si="319"/>
        <v>0</v>
      </c>
    </row>
    <row r="10210" spans="6:10" ht="30" hidden="1">
      <c r="F10210" s="527">
        <v>489</v>
      </c>
      <c r="G10210" s="518" t="s">
        <v>3827</v>
      </c>
      <c r="J10210" s="635">
        <f t="shared" si="319"/>
        <v>0</v>
      </c>
    </row>
    <row r="10211" spans="6:10" hidden="1">
      <c r="F10211" s="527">
        <v>494</v>
      </c>
      <c r="G10211" s="518" t="s">
        <v>4177</v>
      </c>
      <c r="J10211" s="635">
        <f t="shared" si="319"/>
        <v>0</v>
      </c>
    </row>
    <row r="10212" spans="6:10" ht="30" hidden="1">
      <c r="F10212" s="527">
        <v>495</v>
      </c>
      <c r="G10212" s="518" t="s">
        <v>4178</v>
      </c>
      <c r="J10212" s="635">
        <f t="shared" si="319"/>
        <v>0</v>
      </c>
    </row>
    <row r="10213" spans="6:10" ht="30" hidden="1">
      <c r="F10213" s="527">
        <v>496</v>
      </c>
      <c r="G10213" s="518" t="s">
        <v>4179</v>
      </c>
      <c r="J10213" s="635">
        <f t="shared" si="319"/>
        <v>0</v>
      </c>
    </row>
    <row r="10214" spans="6:10" hidden="1">
      <c r="F10214" s="527">
        <v>499</v>
      </c>
      <c r="G10214" s="518" t="s">
        <v>4180</v>
      </c>
      <c r="J10214" s="635">
        <f t="shared" si="319"/>
        <v>0</v>
      </c>
    </row>
    <row r="10215" spans="6:10" hidden="1">
      <c r="F10215" s="527">
        <v>511</v>
      </c>
      <c r="G10215" s="520" t="s">
        <v>4200</v>
      </c>
      <c r="J10215" s="635">
        <f t="shared" si="319"/>
        <v>0</v>
      </c>
    </row>
    <row r="10216" spans="6:10" ht="15.75" hidden="1" thickBot="1">
      <c r="F10216" s="527">
        <v>512</v>
      </c>
      <c r="G10216" s="520" t="s">
        <v>4201</v>
      </c>
      <c r="J10216" s="635">
        <f t="shared" si="319"/>
        <v>0</v>
      </c>
    </row>
    <row r="10217" spans="6:10" ht="15.75" hidden="1" thickBot="1">
      <c r="F10217" s="527">
        <v>513</v>
      </c>
      <c r="G10217" s="520" t="s">
        <v>4202</v>
      </c>
      <c r="J10217" s="635">
        <f t="shared" si="319"/>
        <v>0</v>
      </c>
    </row>
    <row r="10218" spans="6:10" ht="15.75" hidden="1" thickBot="1">
      <c r="F10218" s="527">
        <v>514</v>
      </c>
      <c r="G10218" s="518" t="s">
        <v>4203</v>
      </c>
      <c r="J10218" s="635">
        <f t="shared" si="319"/>
        <v>0</v>
      </c>
    </row>
    <row r="10219" spans="6:10" ht="15.75" hidden="1" thickBot="1">
      <c r="F10219" s="527">
        <v>515</v>
      </c>
      <c r="G10219" s="518" t="s">
        <v>3838</v>
      </c>
      <c r="J10219" s="635">
        <f t="shared" si="319"/>
        <v>0</v>
      </c>
    </row>
    <row r="10220" spans="6:10" ht="15.75" hidden="1" thickBot="1">
      <c r="F10220" s="527">
        <v>521</v>
      </c>
      <c r="G10220" s="518" t="s">
        <v>4204</v>
      </c>
      <c r="J10220" s="635">
        <f t="shared" si="319"/>
        <v>0</v>
      </c>
    </row>
    <row r="10221" spans="6:10" ht="15.75" hidden="1" thickBot="1">
      <c r="F10221" s="527">
        <v>522</v>
      </c>
      <c r="G10221" s="518" t="s">
        <v>4205</v>
      </c>
      <c r="J10221" s="635">
        <f t="shared" si="319"/>
        <v>0</v>
      </c>
    </row>
    <row r="10222" spans="6:10" ht="15.75" hidden="1" thickBot="1">
      <c r="F10222" s="527">
        <v>523</v>
      </c>
      <c r="G10222" s="518" t="s">
        <v>3843</v>
      </c>
      <c r="J10222" s="635">
        <f t="shared" si="319"/>
        <v>0</v>
      </c>
    </row>
    <row r="10223" spans="6:10" ht="15.75" hidden="1" thickBot="1">
      <c r="F10223" s="527">
        <v>531</v>
      </c>
      <c r="G10223" s="515" t="s">
        <v>4181</v>
      </c>
      <c r="J10223" s="635">
        <f t="shared" si="319"/>
        <v>0</v>
      </c>
    </row>
    <row r="10224" spans="6:10" ht="15.75" hidden="1" thickBot="1">
      <c r="F10224" s="527">
        <v>541</v>
      </c>
      <c r="G10224" s="518" t="s">
        <v>4206</v>
      </c>
      <c r="J10224" s="635">
        <f t="shared" si="319"/>
        <v>0</v>
      </c>
    </row>
    <row r="10225" spans="5:10" ht="15.75" hidden="1" thickBot="1">
      <c r="F10225" s="527">
        <v>542</v>
      </c>
      <c r="G10225" s="518" t="s">
        <v>4207</v>
      </c>
      <c r="J10225" s="635">
        <f t="shared" si="319"/>
        <v>0</v>
      </c>
    </row>
    <row r="10226" spans="5:10" ht="15.75" hidden="1" thickBot="1">
      <c r="F10226" s="527">
        <v>543</v>
      </c>
      <c r="G10226" s="518" t="s">
        <v>3848</v>
      </c>
      <c r="J10226" s="635">
        <f t="shared" si="319"/>
        <v>0</v>
      </c>
    </row>
    <row r="10227" spans="5:10" ht="30.75" hidden="1" thickBot="1">
      <c r="F10227" s="527">
        <v>551</v>
      </c>
      <c r="G10227" s="518" t="s">
        <v>4182</v>
      </c>
      <c r="J10227" s="635">
        <f t="shared" si="319"/>
        <v>0</v>
      </c>
    </row>
    <row r="10228" spans="5:10" ht="15.75" hidden="1" thickBot="1">
      <c r="F10228" s="528">
        <v>611</v>
      </c>
      <c r="G10228" s="526" t="s">
        <v>3854</v>
      </c>
      <c r="J10228" s="635">
        <f t="shared" si="319"/>
        <v>0</v>
      </c>
    </row>
    <row r="10229" spans="5:10" ht="15.75" hidden="1" thickBot="1">
      <c r="F10229" s="528">
        <v>620</v>
      </c>
      <c r="G10229" s="526" t="s">
        <v>88</v>
      </c>
      <c r="J10229" s="635">
        <f t="shared" si="319"/>
        <v>0</v>
      </c>
    </row>
    <row r="10230" spans="5:10" hidden="1">
      <c r="E10230" s="516"/>
      <c r="F10230" s="528"/>
      <c r="G10230" s="372" t="s">
        <v>4439</v>
      </c>
      <c r="H10230" s="636"/>
      <c r="I10230" s="662"/>
      <c r="J10230" s="637"/>
    </row>
    <row r="10231" spans="5:10" hidden="1">
      <c r="E10231" s="267"/>
      <c r="F10231" s="294" t="s">
        <v>234</v>
      </c>
      <c r="G10231" s="297" t="s">
        <v>235</v>
      </c>
      <c r="H10231" s="638">
        <f>SUM(H10170:H10229)</f>
        <v>0</v>
      </c>
      <c r="I10231" s="639"/>
      <c r="J10231" s="639">
        <f t="shared" ref="J10231:J10246" si="320">SUM(H10231:I10231)</f>
        <v>0</v>
      </c>
    </row>
    <row r="10232" spans="5:10" hidden="1">
      <c r="F10232" s="294" t="s">
        <v>236</v>
      </c>
      <c r="G10232" s="297" t="s">
        <v>237</v>
      </c>
      <c r="J10232" s="639">
        <f t="shared" si="320"/>
        <v>0</v>
      </c>
    </row>
    <row r="10233" spans="5:10" hidden="1">
      <c r="F10233" s="294" t="s">
        <v>238</v>
      </c>
      <c r="G10233" s="297" t="s">
        <v>239</v>
      </c>
      <c r="J10233" s="639">
        <f t="shared" si="320"/>
        <v>0</v>
      </c>
    </row>
    <row r="10234" spans="5:10" ht="15.75" hidden="1" thickBot="1">
      <c r="F10234" s="294" t="s">
        <v>240</v>
      </c>
      <c r="G10234" s="297" t="s">
        <v>241</v>
      </c>
      <c r="J10234" s="639">
        <f t="shared" si="320"/>
        <v>0</v>
      </c>
    </row>
    <row r="10235" spans="5:10" ht="15.75" hidden="1" thickBot="1">
      <c r="F10235" s="294" t="s">
        <v>242</v>
      </c>
      <c r="G10235" s="297" t="s">
        <v>243</v>
      </c>
      <c r="J10235" s="639">
        <f t="shared" si="320"/>
        <v>0</v>
      </c>
    </row>
    <row r="10236" spans="5:10" ht="15.75" hidden="1" thickBot="1">
      <c r="F10236" s="294" t="s">
        <v>244</v>
      </c>
      <c r="G10236" s="297" t="s">
        <v>245</v>
      </c>
      <c r="J10236" s="639">
        <f t="shared" si="320"/>
        <v>0</v>
      </c>
    </row>
    <row r="10237" spans="5:10" ht="15.75" hidden="1" thickBot="1">
      <c r="F10237" s="294" t="s">
        <v>246</v>
      </c>
      <c r="G10237" s="683" t="s">
        <v>5121</v>
      </c>
      <c r="J10237" s="639">
        <f t="shared" si="320"/>
        <v>0</v>
      </c>
    </row>
    <row r="10238" spans="5:10" ht="15.75" hidden="1" thickBot="1">
      <c r="F10238" s="294" t="s">
        <v>247</v>
      </c>
      <c r="G10238" s="683" t="s">
        <v>5120</v>
      </c>
      <c r="J10238" s="639">
        <f t="shared" si="320"/>
        <v>0</v>
      </c>
    </row>
    <row r="10239" spans="5:10" ht="15.75" hidden="1" thickBot="1">
      <c r="F10239" s="294" t="s">
        <v>248</v>
      </c>
      <c r="G10239" s="297" t="s">
        <v>57</v>
      </c>
      <c r="J10239" s="639">
        <f t="shared" si="320"/>
        <v>0</v>
      </c>
    </row>
    <row r="10240" spans="5:10" ht="15.75" hidden="1" thickBot="1">
      <c r="F10240" s="294" t="s">
        <v>249</v>
      </c>
      <c r="G10240" s="297" t="s">
        <v>250</v>
      </c>
      <c r="J10240" s="639">
        <f t="shared" si="320"/>
        <v>0</v>
      </c>
    </row>
    <row r="10241" spans="5:10" ht="15.75" hidden="1" thickBot="1">
      <c r="F10241" s="294" t="s">
        <v>251</v>
      </c>
      <c r="G10241" s="297" t="s">
        <v>252</v>
      </c>
      <c r="J10241" s="639">
        <f t="shared" si="320"/>
        <v>0</v>
      </c>
    </row>
    <row r="10242" spans="5:10" ht="15.75" hidden="1" thickBot="1">
      <c r="F10242" s="294" t="s">
        <v>253</v>
      </c>
      <c r="G10242" s="297" t="s">
        <v>254</v>
      </c>
      <c r="J10242" s="639">
        <f t="shared" si="320"/>
        <v>0</v>
      </c>
    </row>
    <row r="10243" spans="5:10" ht="15.75" hidden="1" thickBot="1">
      <c r="F10243" s="294" t="s">
        <v>255</v>
      </c>
      <c r="G10243" s="297" t="s">
        <v>256</v>
      </c>
      <c r="J10243" s="639">
        <f t="shared" si="320"/>
        <v>0</v>
      </c>
    </row>
    <row r="10244" spans="5:10" ht="15.75" hidden="1" thickBot="1">
      <c r="F10244" s="294" t="s">
        <v>257</v>
      </c>
      <c r="G10244" s="297" t="s">
        <v>258</v>
      </c>
      <c r="J10244" s="639">
        <f t="shared" si="320"/>
        <v>0</v>
      </c>
    </row>
    <row r="10245" spans="5:10" ht="15.75" hidden="1" thickBot="1">
      <c r="F10245" s="294" t="s">
        <v>259</v>
      </c>
      <c r="G10245" s="297" t="s">
        <v>260</v>
      </c>
      <c r="J10245" s="639">
        <f t="shared" si="320"/>
        <v>0</v>
      </c>
    </row>
    <row r="10246" spans="5:10" ht="15.75" hidden="1" thickBot="1">
      <c r="F10246" s="294" t="s">
        <v>261</v>
      </c>
      <c r="G10246" s="297" t="s">
        <v>262</v>
      </c>
      <c r="H10246" s="638"/>
      <c r="I10246" s="639"/>
      <c r="J10246" s="639">
        <f t="shared" si="320"/>
        <v>0</v>
      </c>
    </row>
    <row r="10247" spans="5:10" ht="15.75" hidden="1" thickBot="1">
      <c r="G10247" s="274" t="s">
        <v>4440</v>
      </c>
      <c r="H10247" s="640">
        <f>SUM(H10231:H10246)</f>
        <v>0</v>
      </c>
      <c r="I10247" s="641">
        <f>SUM(I10232:I10246)</f>
        <v>0</v>
      </c>
      <c r="J10247" s="641">
        <f>SUM(J10231:J10246)</f>
        <v>0</v>
      </c>
    </row>
    <row r="10248" spans="5:10" hidden="1" collapsed="1">
      <c r="E10248" s="516"/>
      <c r="F10248" s="528"/>
      <c r="G10248" s="276" t="s">
        <v>4441</v>
      </c>
      <c r="H10248" s="642"/>
      <c r="I10248" s="663"/>
      <c r="J10248" s="643"/>
    </row>
    <row r="10249" spans="5:10" hidden="1">
      <c r="E10249" s="267"/>
      <c r="F10249" s="294" t="s">
        <v>234</v>
      </c>
      <c r="G10249" s="297" t="s">
        <v>235</v>
      </c>
      <c r="H10249" s="638">
        <f>SUM(H10170:H10229)</f>
        <v>0</v>
      </c>
      <c r="I10249" s="639"/>
      <c r="J10249" s="639">
        <f>SUM(H10249:I10249)</f>
        <v>0</v>
      </c>
    </row>
    <row r="10250" spans="5:10" hidden="1">
      <c r="F10250" s="294" t="s">
        <v>236</v>
      </c>
      <c r="G10250" s="297" t="s">
        <v>237</v>
      </c>
      <c r="J10250" s="639">
        <f t="shared" ref="J10250:J10264" si="321">SUM(H10250:I10250)</f>
        <v>0</v>
      </c>
    </row>
    <row r="10251" spans="5:10" hidden="1">
      <c r="F10251" s="294" t="s">
        <v>238</v>
      </c>
      <c r="G10251" s="297" t="s">
        <v>239</v>
      </c>
      <c r="J10251" s="639">
        <f t="shared" si="321"/>
        <v>0</v>
      </c>
    </row>
    <row r="10252" spans="5:10" ht="15.75" hidden="1" thickBot="1">
      <c r="F10252" s="294" t="s">
        <v>240</v>
      </c>
      <c r="G10252" s="297" t="s">
        <v>241</v>
      </c>
      <c r="J10252" s="639">
        <f t="shared" si="321"/>
        <v>0</v>
      </c>
    </row>
    <row r="10253" spans="5:10" ht="15.75" hidden="1" thickBot="1">
      <c r="F10253" s="294" t="s">
        <v>242</v>
      </c>
      <c r="G10253" s="297" t="s">
        <v>243</v>
      </c>
      <c r="J10253" s="639">
        <f t="shared" si="321"/>
        <v>0</v>
      </c>
    </row>
    <row r="10254" spans="5:10" ht="15.75" hidden="1" thickBot="1">
      <c r="F10254" s="294" t="s">
        <v>244</v>
      </c>
      <c r="G10254" s="297" t="s">
        <v>245</v>
      </c>
      <c r="J10254" s="639">
        <f t="shared" si="321"/>
        <v>0</v>
      </c>
    </row>
    <row r="10255" spans="5:10" ht="15.75" hidden="1" thickBot="1">
      <c r="F10255" s="294" t="s">
        <v>246</v>
      </c>
      <c r="G10255" s="683" t="s">
        <v>5121</v>
      </c>
      <c r="J10255" s="639">
        <f t="shared" si="321"/>
        <v>0</v>
      </c>
    </row>
    <row r="10256" spans="5:10" ht="15.75" hidden="1" thickBot="1">
      <c r="F10256" s="294" t="s">
        <v>247</v>
      </c>
      <c r="G10256" s="683" t="s">
        <v>5120</v>
      </c>
      <c r="J10256" s="639">
        <f t="shared" si="321"/>
        <v>0</v>
      </c>
    </row>
    <row r="10257" spans="3:10" ht="15.75" hidden="1" thickBot="1">
      <c r="F10257" s="294" t="s">
        <v>248</v>
      </c>
      <c r="G10257" s="297" t="s">
        <v>57</v>
      </c>
      <c r="J10257" s="639">
        <f t="shared" si="321"/>
        <v>0</v>
      </c>
    </row>
    <row r="10258" spans="3:10" ht="15.75" hidden="1" thickBot="1">
      <c r="F10258" s="294" t="s">
        <v>249</v>
      </c>
      <c r="G10258" s="297" t="s">
        <v>250</v>
      </c>
      <c r="J10258" s="639">
        <f t="shared" si="321"/>
        <v>0</v>
      </c>
    </row>
    <row r="10259" spans="3:10" ht="15.75" hidden="1" thickBot="1">
      <c r="F10259" s="294" t="s">
        <v>251</v>
      </c>
      <c r="G10259" s="297" t="s">
        <v>252</v>
      </c>
      <c r="J10259" s="639">
        <f t="shared" si="321"/>
        <v>0</v>
      </c>
    </row>
    <row r="10260" spans="3:10" ht="15.75" hidden="1" thickBot="1">
      <c r="F10260" s="294" t="s">
        <v>253</v>
      </c>
      <c r="G10260" s="297" t="s">
        <v>254</v>
      </c>
      <c r="J10260" s="639">
        <f t="shared" si="321"/>
        <v>0</v>
      </c>
    </row>
    <row r="10261" spans="3:10" ht="15.75" hidden="1" thickBot="1">
      <c r="F10261" s="294" t="s">
        <v>255</v>
      </c>
      <c r="G10261" s="297" t="s">
        <v>256</v>
      </c>
      <c r="J10261" s="639">
        <f t="shared" si="321"/>
        <v>0</v>
      </c>
    </row>
    <row r="10262" spans="3:10" ht="15.75" hidden="1" thickBot="1">
      <c r="F10262" s="294" t="s">
        <v>257</v>
      </c>
      <c r="G10262" s="297" t="s">
        <v>258</v>
      </c>
      <c r="J10262" s="639">
        <f t="shared" si="321"/>
        <v>0</v>
      </c>
    </row>
    <row r="10263" spans="3:10" ht="15.75" hidden="1" thickBot="1">
      <c r="F10263" s="294" t="s">
        <v>259</v>
      </c>
      <c r="G10263" s="297" t="s">
        <v>260</v>
      </c>
      <c r="J10263" s="639">
        <f t="shared" si="321"/>
        <v>0</v>
      </c>
    </row>
    <row r="10264" spans="3:10" ht="15.75" hidden="1" thickBot="1">
      <c r="F10264" s="294" t="s">
        <v>261</v>
      </c>
      <c r="G10264" s="297" t="s">
        <v>262</v>
      </c>
      <c r="H10264" s="638"/>
      <c r="I10264" s="639"/>
      <c r="J10264" s="639">
        <f t="shared" si="321"/>
        <v>0</v>
      </c>
    </row>
    <row r="10265" spans="3:10" ht="15.75" hidden="1" collapsed="1" thickBot="1">
      <c r="G10265" s="274" t="s">
        <v>4442</v>
      </c>
      <c r="H10265" s="640">
        <f>SUM(H10249:H10264)</f>
        <v>0</v>
      </c>
      <c r="I10265" s="641">
        <f>SUM(I10250:I10264)</f>
        <v>0</v>
      </c>
      <c r="J10265" s="641">
        <f>SUM(J10249:J10264)</f>
        <v>0</v>
      </c>
    </row>
    <row r="10266" spans="3:10" hidden="1"/>
    <row r="10267" spans="3:10" hidden="1">
      <c r="C10267" s="273" t="s">
        <v>4840</v>
      </c>
      <c r="D10267" s="264"/>
      <c r="G10267" s="519" t="s">
        <v>4240</v>
      </c>
    </row>
    <row r="10268" spans="3:10" hidden="1">
      <c r="C10268" s="273"/>
      <c r="D10268" s="357">
        <v>820</v>
      </c>
      <c r="E10268" s="357"/>
      <c r="F10268" s="357"/>
      <c r="G10268" s="358" t="s">
        <v>207</v>
      </c>
    </row>
    <row r="10269" spans="3:10" hidden="1">
      <c r="F10269" s="527">
        <v>411</v>
      </c>
      <c r="G10269" s="518" t="s">
        <v>4173</v>
      </c>
      <c r="J10269" s="635">
        <f>SUM(H10269:I10269)</f>
        <v>0</v>
      </c>
    </row>
    <row r="10270" spans="3:10" hidden="1">
      <c r="F10270" s="527">
        <v>412</v>
      </c>
      <c r="G10270" s="515" t="s">
        <v>3770</v>
      </c>
      <c r="J10270" s="635">
        <f t="shared" ref="J10270:J10328" si="322">SUM(H10270:I10270)</f>
        <v>0</v>
      </c>
    </row>
    <row r="10271" spans="3:10" hidden="1">
      <c r="F10271" s="527">
        <v>413</v>
      </c>
      <c r="G10271" s="518" t="s">
        <v>4174</v>
      </c>
      <c r="J10271" s="635">
        <f t="shared" si="322"/>
        <v>0</v>
      </c>
    </row>
    <row r="10272" spans="3:10" hidden="1">
      <c r="F10272" s="527">
        <v>414</v>
      </c>
      <c r="G10272" s="518" t="s">
        <v>3773</v>
      </c>
      <c r="J10272" s="635">
        <f t="shared" si="322"/>
        <v>0</v>
      </c>
    </row>
    <row r="10273" spans="6:10" hidden="1">
      <c r="F10273" s="527">
        <v>415</v>
      </c>
      <c r="G10273" s="518" t="s">
        <v>4183</v>
      </c>
      <c r="J10273" s="635">
        <f t="shared" si="322"/>
        <v>0</v>
      </c>
    </row>
    <row r="10274" spans="6:10" hidden="1">
      <c r="F10274" s="527">
        <v>416</v>
      </c>
      <c r="G10274" s="518" t="s">
        <v>4184</v>
      </c>
      <c r="J10274" s="635">
        <f t="shared" si="322"/>
        <v>0</v>
      </c>
    </row>
    <row r="10275" spans="6:10" hidden="1">
      <c r="F10275" s="527">
        <v>417</v>
      </c>
      <c r="G10275" s="518" t="s">
        <v>4185</v>
      </c>
      <c r="J10275" s="635">
        <f t="shared" si="322"/>
        <v>0</v>
      </c>
    </row>
    <row r="10276" spans="6:10" hidden="1">
      <c r="F10276" s="527">
        <v>418</v>
      </c>
      <c r="G10276" s="518" t="s">
        <v>3779</v>
      </c>
      <c r="J10276" s="635">
        <f t="shared" si="322"/>
        <v>0</v>
      </c>
    </row>
    <row r="10277" spans="6:10" hidden="1">
      <c r="F10277" s="527">
        <v>421</v>
      </c>
      <c r="G10277" s="518" t="s">
        <v>3783</v>
      </c>
      <c r="J10277" s="635">
        <f t="shared" si="322"/>
        <v>0</v>
      </c>
    </row>
    <row r="10278" spans="6:10" hidden="1">
      <c r="F10278" s="527">
        <v>422</v>
      </c>
      <c r="G10278" s="518" t="s">
        <v>3784</v>
      </c>
      <c r="J10278" s="635">
        <f t="shared" si="322"/>
        <v>0</v>
      </c>
    </row>
    <row r="10279" spans="6:10" hidden="1">
      <c r="F10279" s="527">
        <v>423</v>
      </c>
      <c r="G10279" s="518" t="s">
        <v>3785</v>
      </c>
      <c r="J10279" s="635">
        <f t="shared" si="322"/>
        <v>0</v>
      </c>
    </row>
    <row r="10280" spans="6:10" hidden="1">
      <c r="F10280" s="527">
        <v>424</v>
      </c>
      <c r="G10280" s="518" t="s">
        <v>3787</v>
      </c>
      <c r="J10280" s="635">
        <f t="shared" si="322"/>
        <v>0</v>
      </c>
    </row>
    <row r="10281" spans="6:10" hidden="1">
      <c r="F10281" s="527">
        <v>425</v>
      </c>
      <c r="G10281" s="518" t="s">
        <v>4186</v>
      </c>
      <c r="J10281" s="635">
        <f t="shared" si="322"/>
        <v>0</v>
      </c>
    </row>
    <row r="10282" spans="6:10" hidden="1">
      <c r="F10282" s="527">
        <v>426</v>
      </c>
      <c r="G10282" s="518" t="s">
        <v>3791</v>
      </c>
      <c r="J10282" s="635">
        <f t="shared" si="322"/>
        <v>0</v>
      </c>
    </row>
    <row r="10283" spans="6:10" hidden="1">
      <c r="F10283" s="527">
        <v>431</v>
      </c>
      <c r="G10283" s="518" t="s">
        <v>4187</v>
      </c>
      <c r="J10283" s="635">
        <f t="shared" si="322"/>
        <v>0</v>
      </c>
    </row>
    <row r="10284" spans="6:10" hidden="1">
      <c r="F10284" s="527">
        <v>432</v>
      </c>
      <c r="G10284" s="518" t="s">
        <v>4188</v>
      </c>
      <c r="J10284" s="635">
        <f t="shared" si="322"/>
        <v>0</v>
      </c>
    </row>
    <row r="10285" spans="6:10" hidden="1">
      <c r="F10285" s="527">
        <v>433</v>
      </c>
      <c r="G10285" s="518" t="s">
        <v>4189</v>
      </c>
      <c r="J10285" s="635">
        <f t="shared" si="322"/>
        <v>0</v>
      </c>
    </row>
    <row r="10286" spans="6:10" hidden="1">
      <c r="F10286" s="527">
        <v>434</v>
      </c>
      <c r="G10286" s="518" t="s">
        <v>4190</v>
      </c>
      <c r="J10286" s="635">
        <f t="shared" si="322"/>
        <v>0</v>
      </c>
    </row>
    <row r="10287" spans="6:10" hidden="1">
      <c r="F10287" s="527">
        <v>435</v>
      </c>
      <c r="G10287" s="518" t="s">
        <v>3798</v>
      </c>
      <c r="J10287" s="635">
        <f t="shared" si="322"/>
        <v>0</v>
      </c>
    </row>
    <row r="10288" spans="6:10" hidden="1">
      <c r="F10288" s="527">
        <v>441</v>
      </c>
      <c r="G10288" s="518" t="s">
        <v>4191</v>
      </c>
      <c r="J10288" s="635">
        <f t="shared" si="322"/>
        <v>0</v>
      </c>
    </row>
    <row r="10289" spans="6:10" hidden="1">
      <c r="F10289" s="527">
        <v>442</v>
      </c>
      <c r="G10289" s="518" t="s">
        <v>4192</v>
      </c>
      <c r="J10289" s="635">
        <f t="shared" si="322"/>
        <v>0</v>
      </c>
    </row>
    <row r="10290" spans="6:10" hidden="1">
      <c r="F10290" s="527">
        <v>443</v>
      </c>
      <c r="G10290" s="518" t="s">
        <v>3803</v>
      </c>
      <c r="J10290" s="635">
        <f t="shared" si="322"/>
        <v>0</v>
      </c>
    </row>
    <row r="10291" spans="6:10" hidden="1">
      <c r="F10291" s="527">
        <v>444</v>
      </c>
      <c r="G10291" s="518" t="s">
        <v>3804</v>
      </c>
      <c r="J10291" s="635">
        <f t="shared" si="322"/>
        <v>0</v>
      </c>
    </row>
    <row r="10292" spans="6:10" ht="30" hidden="1">
      <c r="F10292" s="527">
        <v>4511</v>
      </c>
      <c r="G10292" s="268" t="s">
        <v>1690</v>
      </c>
      <c r="J10292" s="635">
        <f t="shared" si="322"/>
        <v>0</v>
      </c>
    </row>
    <row r="10293" spans="6:10" ht="30" hidden="1">
      <c r="F10293" s="527">
        <v>4512</v>
      </c>
      <c r="G10293" s="268" t="s">
        <v>1699</v>
      </c>
      <c r="J10293" s="635">
        <f t="shared" si="322"/>
        <v>0</v>
      </c>
    </row>
    <row r="10294" spans="6:10" hidden="1">
      <c r="F10294" s="527">
        <v>452</v>
      </c>
      <c r="G10294" s="518" t="s">
        <v>4193</v>
      </c>
      <c r="J10294" s="635">
        <f t="shared" si="322"/>
        <v>0</v>
      </c>
    </row>
    <row r="10295" spans="6:10" hidden="1">
      <c r="F10295" s="527">
        <v>453</v>
      </c>
      <c r="G10295" s="518" t="s">
        <v>4194</v>
      </c>
      <c r="J10295" s="635">
        <f t="shared" si="322"/>
        <v>0</v>
      </c>
    </row>
    <row r="10296" spans="6:10" hidden="1">
      <c r="F10296" s="527">
        <v>454</v>
      </c>
      <c r="G10296" s="518" t="s">
        <v>3809</v>
      </c>
      <c r="J10296" s="635">
        <f t="shared" si="322"/>
        <v>0</v>
      </c>
    </row>
    <row r="10297" spans="6:10" hidden="1">
      <c r="F10297" s="527">
        <v>461</v>
      </c>
      <c r="G10297" s="518" t="s">
        <v>4175</v>
      </c>
      <c r="J10297" s="635">
        <f t="shared" si="322"/>
        <v>0</v>
      </c>
    </row>
    <row r="10298" spans="6:10" hidden="1">
      <c r="F10298" s="527">
        <v>462</v>
      </c>
      <c r="G10298" s="518" t="s">
        <v>3812</v>
      </c>
      <c r="J10298" s="635">
        <f t="shared" si="322"/>
        <v>0</v>
      </c>
    </row>
    <row r="10299" spans="6:10" hidden="1">
      <c r="F10299" s="527">
        <v>4631</v>
      </c>
      <c r="G10299" s="518" t="s">
        <v>3813</v>
      </c>
      <c r="J10299" s="635">
        <f t="shared" si="322"/>
        <v>0</v>
      </c>
    </row>
    <row r="10300" spans="6:10" hidden="1">
      <c r="F10300" s="527">
        <v>4632</v>
      </c>
      <c r="G10300" s="518" t="s">
        <v>3814</v>
      </c>
      <c r="J10300" s="635">
        <f t="shared" si="322"/>
        <v>0</v>
      </c>
    </row>
    <row r="10301" spans="6:10" hidden="1">
      <c r="F10301" s="527">
        <v>464</v>
      </c>
      <c r="G10301" s="518" t="s">
        <v>3815</v>
      </c>
      <c r="J10301" s="635">
        <f t="shared" si="322"/>
        <v>0</v>
      </c>
    </row>
    <row r="10302" spans="6:10" hidden="1">
      <c r="F10302" s="527">
        <v>465</v>
      </c>
      <c r="G10302" s="518" t="s">
        <v>4176</v>
      </c>
      <c r="J10302" s="635">
        <f t="shared" si="322"/>
        <v>0</v>
      </c>
    </row>
    <row r="10303" spans="6:10" hidden="1">
      <c r="F10303" s="527">
        <v>472</v>
      </c>
      <c r="G10303" s="518" t="s">
        <v>3819</v>
      </c>
      <c r="J10303" s="635">
        <f t="shared" si="322"/>
        <v>0</v>
      </c>
    </row>
    <row r="10304" spans="6:10" hidden="1">
      <c r="F10304" s="527">
        <v>481</v>
      </c>
      <c r="G10304" s="518" t="s">
        <v>4195</v>
      </c>
      <c r="J10304" s="635">
        <f t="shared" si="322"/>
        <v>0</v>
      </c>
    </row>
    <row r="10305" spans="6:10" hidden="1">
      <c r="F10305" s="527">
        <v>482</v>
      </c>
      <c r="G10305" s="518" t="s">
        <v>4196</v>
      </c>
      <c r="J10305" s="635">
        <f t="shared" si="322"/>
        <v>0</v>
      </c>
    </row>
    <row r="10306" spans="6:10" hidden="1">
      <c r="F10306" s="527">
        <v>483</v>
      </c>
      <c r="G10306" s="520" t="s">
        <v>4197</v>
      </c>
      <c r="J10306" s="635">
        <f t="shared" si="322"/>
        <v>0</v>
      </c>
    </row>
    <row r="10307" spans="6:10" ht="30" hidden="1">
      <c r="F10307" s="527">
        <v>484</v>
      </c>
      <c r="G10307" s="518" t="s">
        <v>4198</v>
      </c>
      <c r="J10307" s="635">
        <f t="shared" si="322"/>
        <v>0</v>
      </c>
    </row>
    <row r="10308" spans="6:10" ht="30" hidden="1">
      <c r="F10308" s="527">
        <v>485</v>
      </c>
      <c r="G10308" s="518" t="s">
        <v>4199</v>
      </c>
      <c r="J10308" s="635">
        <f t="shared" si="322"/>
        <v>0</v>
      </c>
    </row>
    <row r="10309" spans="6:10" ht="30" hidden="1">
      <c r="F10309" s="527">
        <v>489</v>
      </c>
      <c r="G10309" s="518" t="s">
        <v>3827</v>
      </c>
      <c r="J10309" s="635">
        <f t="shared" si="322"/>
        <v>0</v>
      </c>
    </row>
    <row r="10310" spans="6:10" hidden="1">
      <c r="F10310" s="527">
        <v>494</v>
      </c>
      <c r="G10310" s="518" t="s">
        <v>4177</v>
      </c>
      <c r="J10310" s="635">
        <f t="shared" si="322"/>
        <v>0</v>
      </c>
    </row>
    <row r="10311" spans="6:10" ht="30" hidden="1">
      <c r="F10311" s="527">
        <v>495</v>
      </c>
      <c r="G10311" s="518" t="s">
        <v>4178</v>
      </c>
      <c r="J10311" s="635">
        <f t="shared" si="322"/>
        <v>0</v>
      </c>
    </row>
    <row r="10312" spans="6:10" ht="30" hidden="1">
      <c r="F10312" s="527">
        <v>496</v>
      </c>
      <c r="G10312" s="518" t="s">
        <v>4179</v>
      </c>
      <c r="J10312" s="635">
        <f t="shared" si="322"/>
        <v>0</v>
      </c>
    </row>
    <row r="10313" spans="6:10" hidden="1">
      <c r="F10313" s="527">
        <v>499</v>
      </c>
      <c r="G10313" s="518" t="s">
        <v>4180</v>
      </c>
      <c r="J10313" s="635">
        <f t="shared" si="322"/>
        <v>0</v>
      </c>
    </row>
    <row r="10314" spans="6:10" ht="15.75" hidden="1" thickBot="1">
      <c r="F10314" s="527">
        <v>511</v>
      </c>
      <c r="G10314" s="520" t="s">
        <v>4200</v>
      </c>
      <c r="J10314" s="635">
        <f t="shared" si="322"/>
        <v>0</v>
      </c>
    </row>
    <row r="10315" spans="6:10" ht="15.75" hidden="1" thickBot="1">
      <c r="F10315" s="527">
        <v>512</v>
      </c>
      <c r="G10315" s="520" t="s">
        <v>4201</v>
      </c>
      <c r="J10315" s="635">
        <f t="shared" si="322"/>
        <v>0</v>
      </c>
    </row>
    <row r="10316" spans="6:10" ht="15.75" hidden="1" thickBot="1">
      <c r="F10316" s="527">
        <v>513</v>
      </c>
      <c r="G10316" s="520" t="s">
        <v>4202</v>
      </c>
      <c r="J10316" s="635">
        <f t="shared" si="322"/>
        <v>0</v>
      </c>
    </row>
    <row r="10317" spans="6:10" ht="15.75" hidden="1" thickBot="1">
      <c r="F10317" s="527">
        <v>514</v>
      </c>
      <c r="G10317" s="518" t="s">
        <v>4203</v>
      </c>
      <c r="J10317" s="635">
        <f t="shared" si="322"/>
        <v>0</v>
      </c>
    </row>
    <row r="10318" spans="6:10" ht="15.75" hidden="1" thickBot="1">
      <c r="F10318" s="527">
        <v>515</v>
      </c>
      <c r="G10318" s="518" t="s">
        <v>3838</v>
      </c>
      <c r="J10318" s="635">
        <f t="shared" si="322"/>
        <v>0</v>
      </c>
    </row>
    <row r="10319" spans="6:10" ht="15.75" hidden="1" thickBot="1">
      <c r="F10319" s="527">
        <v>521</v>
      </c>
      <c r="G10319" s="518" t="s">
        <v>4204</v>
      </c>
      <c r="J10319" s="635">
        <f t="shared" si="322"/>
        <v>0</v>
      </c>
    </row>
    <row r="10320" spans="6:10" ht="15.75" hidden="1" thickBot="1">
      <c r="F10320" s="527">
        <v>522</v>
      </c>
      <c r="G10320" s="518" t="s">
        <v>4205</v>
      </c>
      <c r="J10320" s="635">
        <f t="shared" si="322"/>
        <v>0</v>
      </c>
    </row>
    <row r="10321" spans="5:10" ht="15.75" hidden="1" thickBot="1">
      <c r="F10321" s="527">
        <v>523</v>
      </c>
      <c r="G10321" s="518" t="s">
        <v>3843</v>
      </c>
      <c r="J10321" s="635">
        <f t="shared" si="322"/>
        <v>0</v>
      </c>
    </row>
    <row r="10322" spans="5:10" ht="15.75" hidden="1" thickBot="1">
      <c r="F10322" s="527">
        <v>531</v>
      </c>
      <c r="G10322" s="515" t="s">
        <v>4181</v>
      </c>
      <c r="J10322" s="635">
        <f t="shared" si="322"/>
        <v>0</v>
      </c>
    </row>
    <row r="10323" spans="5:10" ht="15.75" hidden="1" thickBot="1">
      <c r="F10323" s="527">
        <v>541</v>
      </c>
      <c r="G10323" s="518" t="s">
        <v>4206</v>
      </c>
      <c r="J10323" s="635">
        <f t="shared" si="322"/>
        <v>0</v>
      </c>
    </row>
    <row r="10324" spans="5:10" ht="15.75" hidden="1" thickBot="1">
      <c r="F10324" s="527">
        <v>542</v>
      </c>
      <c r="G10324" s="518" t="s">
        <v>4207</v>
      </c>
      <c r="J10324" s="635">
        <f t="shared" si="322"/>
        <v>0</v>
      </c>
    </row>
    <row r="10325" spans="5:10" ht="15.75" hidden="1" thickBot="1">
      <c r="F10325" s="527">
        <v>543</v>
      </c>
      <c r="G10325" s="518" t="s">
        <v>3848</v>
      </c>
      <c r="J10325" s="635">
        <f t="shared" si="322"/>
        <v>0</v>
      </c>
    </row>
    <row r="10326" spans="5:10" ht="30.75" hidden="1" thickBot="1">
      <c r="F10326" s="527">
        <v>551</v>
      </c>
      <c r="G10326" s="518" t="s">
        <v>4182</v>
      </c>
      <c r="J10326" s="635">
        <f t="shared" si="322"/>
        <v>0</v>
      </c>
    </row>
    <row r="10327" spans="5:10" ht="15.75" hidden="1" thickBot="1">
      <c r="F10327" s="528">
        <v>611</v>
      </c>
      <c r="G10327" s="526" t="s">
        <v>3854</v>
      </c>
      <c r="J10327" s="635">
        <f t="shared" si="322"/>
        <v>0</v>
      </c>
    </row>
    <row r="10328" spans="5:10" ht="15.75" hidden="1" thickBot="1">
      <c r="F10328" s="528">
        <v>620</v>
      </c>
      <c r="G10328" s="526" t="s">
        <v>88</v>
      </c>
      <c r="J10328" s="635">
        <f t="shared" si="322"/>
        <v>0</v>
      </c>
    </row>
    <row r="10329" spans="5:10" hidden="1">
      <c r="E10329" s="516"/>
      <c r="F10329" s="528"/>
      <c r="G10329" s="371" t="s">
        <v>4439</v>
      </c>
      <c r="H10329" s="636"/>
      <c r="I10329" s="662"/>
      <c r="J10329" s="637"/>
    </row>
    <row r="10330" spans="5:10" ht="15.75" hidden="1" thickBot="1">
      <c r="E10330" s="267"/>
      <c r="F10330" s="294" t="s">
        <v>234</v>
      </c>
      <c r="G10330" s="297" t="s">
        <v>235</v>
      </c>
      <c r="H10330" s="638">
        <f>SUM(H10269:H10328)</f>
        <v>0</v>
      </c>
      <c r="I10330" s="639"/>
      <c r="J10330" s="639">
        <f>SUM(H10330:I10330)</f>
        <v>0</v>
      </c>
    </row>
    <row r="10331" spans="5:10" ht="15.75" hidden="1" thickBot="1">
      <c r="F10331" s="294" t="s">
        <v>236</v>
      </c>
      <c r="G10331" s="297" t="s">
        <v>237</v>
      </c>
      <c r="J10331" s="639">
        <f t="shared" ref="J10331:J10345" si="323">SUM(H10331:I10331)</f>
        <v>0</v>
      </c>
    </row>
    <row r="10332" spans="5:10" ht="15.75" hidden="1" thickBot="1">
      <c r="F10332" s="294" t="s">
        <v>238</v>
      </c>
      <c r="G10332" s="297" t="s">
        <v>239</v>
      </c>
      <c r="J10332" s="639">
        <f t="shared" si="323"/>
        <v>0</v>
      </c>
    </row>
    <row r="10333" spans="5:10" ht="15.75" hidden="1" thickBot="1">
      <c r="F10333" s="294" t="s">
        <v>240</v>
      </c>
      <c r="G10333" s="297" t="s">
        <v>241</v>
      </c>
      <c r="J10333" s="639">
        <f t="shared" si="323"/>
        <v>0</v>
      </c>
    </row>
    <row r="10334" spans="5:10" ht="15.75" hidden="1" thickBot="1">
      <c r="F10334" s="294" t="s">
        <v>242</v>
      </c>
      <c r="G10334" s="297" t="s">
        <v>243</v>
      </c>
      <c r="J10334" s="639">
        <f t="shared" si="323"/>
        <v>0</v>
      </c>
    </row>
    <row r="10335" spans="5:10" ht="15.75" hidden="1" thickBot="1">
      <c r="F10335" s="294" t="s">
        <v>244</v>
      </c>
      <c r="G10335" s="297" t="s">
        <v>245</v>
      </c>
      <c r="J10335" s="639">
        <f t="shared" si="323"/>
        <v>0</v>
      </c>
    </row>
    <row r="10336" spans="5:10" ht="15.75" hidden="1" thickBot="1">
      <c r="F10336" s="294" t="s">
        <v>246</v>
      </c>
      <c r="G10336" s="683" t="s">
        <v>5121</v>
      </c>
      <c r="J10336" s="639">
        <f t="shared" si="323"/>
        <v>0</v>
      </c>
    </row>
    <row r="10337" spans="5:10" ht="15.75" hidden="1" thickBot="1">
      <c r="F10337" s="294" t="s">
        <v>247</v>
      </c>
      <c r="G10337" s="683" t="s">
        <v>5120</v>
      </c>
      <c r="J10337" s="639">
        <f t="shared" si="323"/>
        <v>0</v>
      </c>
    </row>
    <row r="10338" spans="5:10" ht="15.75" hidden="1" thickBot="1">
      <c r="F10338" s="294" t="s">
        <v>248</v>
      </c>
      <c r="G10338" s="297" t="s">
        <v>57</v>
      </c>
      <c r="J10338" s="639">
        <f t="shared" si="323"/>
        <v>0</v>
      </c>
    </row>
    <row r="10339" spans="5:10" ht="15.75" hidden="1" thickBot="1">
      <c r="F10339" s="294" t="s">
        <v>249</v>
      </c>
      <c r="G10339" s="297" t="s">
        <v>250</v>
      </c>
      <c r="J10339" s="639">
        <f t="shared" si="323"/>
        <v>0</v>
      </c>
    </row>
    <row r="10340" spans="5:10" ht="15.75" hidden="1" thickBot="1">
      <c r="F10340" s="294" t="s">
        <v>251</v>
      </c>
      <c r="G10340" s="297" t="s">
        <v>252</v>
      </c>
      <c r="J10340" s="639">
        <f t="shared" si="323"/>
        <v>0</v>
      </c>
    </row>
    <row r="10341" spans="5:10" ht="15.75" hidden="1" thickBot="1">
      <c r="F10341" s="294" t="s">
        <v>253</v>
      </c>
      <c r="G10341" s="297" t="s">
        <v>254</v>
      </c>
      <c r="J10341" s="639">
        <f t="shared" si="323"/>
        <v>0</v>
      </c>
    </row>
    <row r="10342" spans="5:10" ht="15.75" hidden="1" thickBot="1">
      <c r="F10342" s="294" t="s">
        <v>255</v>
      </c>
      <c r="G10342" s="297" t="s">
        <v>256</v>
      </c>
      <c r="J10342" s="639">
        <f t="shared" si="323"/>
        <v>0</v>
      </c>
    </row>
    <row r="10343" spans="5:10" ht="15.75" hidden="1" thickBot="1">
      <c r="F10343" s="294" t="s">
        <v>257</v>
      </c>
      <c r="G10343" s="297" t="s">
        <v>258</v>
      </c>
      <c r="J10343" s="639">
        <f t="shared" si="323"/>
        <v>0</v>
      </c>
    </row>
    <row r="10344" spans="5:10" ht="15.75" hidden="1" thickBot="1">
      <c r="F10344" s="294" t="s">
        <v>259</v>
      </c>
      <c r="G10344" s="297" t="s">
        <v>260</v>
      </c>
      <c r="J10344" s="639">
        <f t="shared" si="323"/>
        <v>0</v>
      </c>
    </row>
    <row r="10345" spans="5:10" ht="15.75" hidden="1" thickBot="1">
      <c r="F10345" s="294" t="s">
        <v>261</v>
      </c>
      <c r="G10345" s="297" t="s">
        <v>262</v>
      </c>
      <c r="H10345" s="638"/>
      <c r="I10345" s="639"/>
      <c r="J10345" s="639">
        <f t="shared" si="323"/>
        <v>0</v>
      </c>
    </row>
    <row r="10346" spans="5:10" ht="15.75" hidden="1" thickBot="1">
      <c r="G10346" s="274" t="s">
        <v>4440</v>
      </c>
      <c r="H10346" s="640">
        <f>SUM(H10330:H10345)</f>
        <v>0</v>
      </c>
      <c r="I10346" s="641">
        <f>SUM(I10331:I10345)</f>
        <v>0</v>
      </c>
      <c r="J10346" s="641">
        <f>SUM(J10330:J10345)</f>
        <v>0</v>
      </c>
    </row>
    <row r="10347" spans="5:10" hidden="1" collapsed="1">
      <c r="E10347" s="516"/>
      <c r="F10347" s="528"/>
      <c r="G10347" s="276" t="s">
        <v>5037</v>
      </c>
      <c r="H10347" s="642"/>
      <c r="I10347" s="663"/>
      <c r="J10347" s="643"/>
    </row>
    <row r="10348" spans="5:10" ht="15.75" hidden="1" thickBot="1">
      <c r="E10348" s="267"/>
      <c r="F10348" s="294" t="s">
        <v>234</v>
      </c>
      <c r="G10348" s="297" t="s">
        <v>235</v>
      </c>
      <c r="H10348" s="638">
        <f>SUM(H10269:H10328)</f>
        <v>0</v>
      </c>
      <c r="I10348" s="639"/>
      <c r="J10348" s="639">
        <f>SUM(H10348:I10348)</f>
        <v>0</v>
      </c>
    </row>
    <row r="10349" spans="5:10" ht="15.75" hidden="1" thickBot="1">
      <c r="F10349" s="294" t="s">
        <v>236</v>
      </c>
      <c r="G10349" s="297" t="s">
        <v>237</v>
      </c>
      <c r="J10349" s="639">
        <f t="shared" ref="J10349:J10363" si="324">SUM(H10349:I10349)</f>
        <v>0</v>
      </c>
    </row>
    <row r="10350" spans="5:10" ht="15.75" hidden="1" thickBot="1">
      <c r="F10350" s="294" t="s">
        <v>238</v>
      </c>
      <c r="G10350" s="297" t="s">
        <v>239</v>
      </c>
      <c r="J10350" s="639">
        <f t="shared" si="324"/>
        <v>0</v>
      </c>
    </row>
    <row r="10351" spans="5:10" ht="15.75" hidden="1" thickBot="1">
      <c r="F10351" s="294" t="s">
        <v>240</v>
      </c>
      <c r="G10351" s="297" t="s">
        <v>241</v>
      </c>
      <c r="J10351" s="639">
        <f t="shared" si="324"/>
        <v>0</v>
      </c>
    </row>
    <row r="10352" spans="5:10" ht="15.75" hidden="1" thickBot="1">
      <c r="F10352" s="294" t="s">
        <v>242</v>
      </c>
      <c r="G10352" s="297" t="s">
        <v>243</v>
      </c>
      <c r="J10352" s="639">
        <f t="shared" si="324"/>
        <v>0</v>
      </c>
    </row>
    <row r="10353" spans="5:10" ht="15.75" hidden="1" thickBot="1">
      <c r="F10353" s="294" t="s">
        <v>244</v>
      </c>
      <c r="G10353" s="297" t="s">
        <v>245</v>
      </c>
      <c r="J10353" s="639">
        <f t="shared" si="324"/>
        <v>0</v>
      </c>
    </row>
    <row r="10354" spans="5:10" ht="15.75" hidden="1" thickBot="1">
      <c r="F10354" s="294" t="s">
        <v>246</v>
      </c>
      <c r="G10354" s="683" t="s">
        <v>5121</v>
      </c>
      <c r="J10354" s="639">
        <f t="shared" si="324"/>
        <v>0</v>
      </c>
    </row>
    <row r="10355" spans="5:10" ht="15.75" hidden="1" thickBot="1">
      <c r="F10355" s="294" t="s">
        <v>247</v>
      </c>
      <c r="G10355" s="683" t="s">
        <v>5120</v>
      </c>
      <c r="J10355" s="639">
        <f t="shared" si="324"/>
        <v>0</v>
      </c>
    </row>
    <row r="10356" spans="5:10" ht="15.75" hidden="1" thickBot="1">
      <c r="F10356" s="294" t="s">
        <v>248</v>
      </c>
      <c r="G10356" s="297" t="s">
        <v>57</v>
      </c>
      <c r="J10356" s="639">
        <f t="shared" si="324"/>
        <v>0</v>
      </c>
    </row>
    <row r="10357" spans="5:10" ht="15.75" hidden="1" thickBot="1">
      <c r="F10357" s="294" t="s">
        <v>249</v>
      </c>
      <c r="G10357" s="297" t="s">
        <v>250</v>
      </c>
      <c r="J10357" s="639">
        <f t="shared" si="324"/>
        <v>0</v>
      </c>
    </row>
    <row r="10358" spans="5:10" ht="15.75" hidden="1" thickBot="1">
      <c r="F10358" s="294" t="s">
        <v>251</v>
      </c>
      <c r="G10358" s="297" t="s">
        <v>252</v>
      </c>
      <c r="J10358" s="639">
        <f t="shared" si="324"/>
        <v>0</v>
      </c>
    </row>
    <row r="10359" spans="5:10" ht="15.75" hidden="1" thickBot="1">
      <c r="F10359" s="294" t="s">
        <v>253</v>
      </c>
      <c r="G10359" s="297" t="s">
        <v>254</v>
      </c>
      <c r="J10359" s="639">
        <f t="shared" si="324"/>
        <v>0</v>
      </c>
    </row>
    <row r="10360" spans="5:10" ht="15.75" hidden="1" thickBot="1">
      <c r="F10360" s="294" t="s">
        <v>255</v>
      </c>
      <c r="G10360" s="297" t="s">
        <v>256</v>
      </c>
      <c r="J10360" s="639">
        <f t="shared" si="324"/>
        <v>0</v>
      </c>
    </row>
    <row r="10361" spans="5:10" ht="15.75" hidden="1" thickBot="1">
      <c r="F10361" s="294" t="s">
        <v>257</v>
      </c>
      <c r="G10361" s="297" t="s">
        <v>258</v>
      </c>
      <c r="J10361" s="639">
        <f t="shared" si="324"/>
        <v>0</v>
      </c>
    </row>
    <row r="10362" spans="5:10" ht="15.75" hidden="1" thickBot="1">
      <c r="F10362" s="294" t="s">
        <v>259</v>
      </c>
      <c r="G10362" s="297" t="s">
        <v>260</v>
      </c>
      <c r="J10362" s="639">
        <f t="shared" si="324"/>
        <v>0</v>
      </c>
    </row>
    <row r="10363" spans="5:10" ht="15.75" hidden="1" thickBot="1">
      <c r="F10363" s="294" t="s">
        <v>261</v>
      </c>
      <c r="G10363" s="297" t="s">
        <v>262</v>
      </c>
      <c r="H10363" s="638"/>
      <c r="I10363" s="639"/>
      <c r="J10363" s="639">
        <f t="shared" si="324"/>
        <v>0</v>
      </c>
    </row>
    <row r="10364" spans="5:10" ht="15.75" hidden="1" thickBot="1">
      <c r="G10364" s="274" t="s">
        <v>5022</v>
      </c>
      <c r="H10364" s="640">
        <f>SUM(H10348:H10363)</f>
        <v>0</v>
      </c>
      <c r="I10364" s="641">
        <f>SUM(I10349:I10363)</f>
        <v>0</v>
      </c>
      <c r="J10364" s="641">
        <f>SUM(J10348:J10363)</f>
        <v>0</v>
      </c>
    </row>
    <row r="10365" spans="5:10" hidden="1"/>
    <row r="10366" spans="5:10" hidden="1">
      <c r="E10366" s="516"/>
      <c r="F10366" s="528"/>
      <c r="G10366" s="295" t="s">
        <v>4329</v>
      </c>
      <c r="H10366" s="646"/>
      <c r="I10366" s="664"/>
      <c r="J10366" s="647"/>
    </row>
    <row r="10367" spans="5:10" hidden="1">
      <c r="E10367" s="267"/>
      <c r="F10367" s="294" t="s">
        <v>234</v>
      </c>
      <c r="G10367" s="297" t="s">
        <v>235</v>
      </c>
      <c r="H10367" s="638">
        <f>SUM(H10348,H10249)</f>
        <v>0</v>
      </c>
      <c r="I10367" s="639"/>
      <c r="J10367" s="639">
        <f>SUM(H10367:I10367)</f>
        <v>0</v>
      </c>
    </row>
    <row r="10368" spans="5:10" hidden="1">
      <c r="F10368" s="294" t="s">
        <v>236</v>
      </c>
      <c r="G10368" s="297" t="s">
        <v>237</v>
      </c>
      <c r="J10368" s="639">
        <f t="shared" ref="J10368:J10382" si="325">SUM(H10368:I10368)</f>
        <v>0</v>
      </c>
    </row>
    <row r="10369" spans="6:10" hidden="1">
      <c r="F10369" s="294" t="s">
        <v>238</v>
      </c>
      <c r="G10369" s="297" t="s">
        <v>239</v>
      </c>
      <c r="J10369" s="639">
        <f t="shared" si="325"/>
        <v>0</v>
      </c>
    </row>
    <row r="10370" spans="6:10" ht="15.75" hidden="1" thickBot="1">
      <c r="F10370" s="294" t="s">
        <v>240</v>
      </c>
      <c r="G10370" s="297" t="s">
        <v>241</v>
      </c>
      <c r="J10370" s="639">
        <f t="shared" si="325"/>
        <v>0</v>
      </c>
    </row>
    <row r="10371" spans="6:10" ht="15.75" hidden="1" thickBot="1">
      <c r="F10371" s="294" t="s">
        <v>242</v>
      </c>
      <c r="G10371" s="297" t="s">
        <v>243</v>
      </c>
      <c r="J10371" s="639">
        <f t="shared" si="325"/>
        <v>0</v>
      </c>
    </row>
    <row r="10372" spans="6:10" ht="15.75" hidden="1" thickBot="1">
      <c r="F10372" s="294" t="s">
        <v>244</v>
      </c>
      <c r="G10372" s="297" t="s">
        <v>245</v>
      </c>
      <c r="J10372" s="639">
        <f t="shared" si="325"/>
        <v>0</v>
      </c>
    </row>
    <row r="10373" spans="6:10" ht="15.75" hidden="1" thickBot="1">
      <c r="F10373" s="294" t="s">
        <v>246</v>
      </c>
      <c r="G10373" s="683" t="s">
        <v>5121</v>
      </c>
      <c r="J10373" s="639">
        <f t="shared" si="325"/>
        <v>0</v>
      </c>
    </row>
    <row r="10374" spans="6:10" ht="15.75" hidden="1" thickBot="1">
      <c r="F10374" s="294" t="s">
        <v>247</v>
      </c>
      <c r="G10374" s="683" t="s">
        <v>5120</v>
      </c>
      <c r="J10374" s="639">
        <f t="shared" si="325"/>
        <v>0</v>
      </c>
    </row>
    <row r="10375" spans="6:10" ht="15.75" hidden="1" thickBot="1">
      <c r="F10375" s="294" t="s">
        <v>248</v>
      </c>
      <c r="G10375" s="297" t="s">
        <v>57</v>
      </c>
      <c r="J10375" s="639">
        <f t="shared" si="325"/>
        <v>0</v>
      </c>
    </row>
    <row r="10376" spans="6:10" ht="15.75" hidden="1" thickBot="1">
      <c r="F10376" s="294" t="s">
        <v>249</v>
      </c>
      <c r="G10376" s="297" t="s">
        <v>250</v>
      </c>
      <c r="J10376" s="639">
        <f t="shared" si="325"/>
        <v>0</v>
      </c>
    </row>
    <row r="10377" spans="6:10" ht="15.75" hidden="1" thickBot="1">
      <c r="F10377" s="294" t="s">
        <v>251</v>
      </c>
      <c r="G10377" s="297" t="s">
        <v>252</v>
      </c>
      <c r="J10377" s="639">
        <f t="shared" si="325"/>
        <v>0</v>
      </c>
    </row>
    <row r="10378" spans="6:10" ht="15.75" hidden="1" thickBot="1">
      <c r="F10378" s="294" t="s">
        <v>253</v>
      </c>
      <c r="G10378" s="297" t="s">
        <v>254</v>
      </c>
      <c r="J10378" s="639">
        <f t="shared" si="325"/>
        <v>0</v>
      </c>
    </row>
    <row r="10379" spans="6:10" ht="15.75" hidden="1" thickBot="1">
      <c r="F10379" s="294" t="s">
        <v>255</v>
      </c>
      <c r="G10379" s="297" t="s">
        <v>256</v>
      </c>
      <c r="J10379" s="639">
        <f t="shared" si="325"/>
        <v>0</v>
      </c>
    </row>
    <row r="10380" spans="6:10" ht="15.75" hidden="1" thickBot="1">
      <c r="F10380" s="294" t="s">
        <v>257</v>
      </c>
      <c r="G10380" s="297" t="s">
        <v>258</v>
      </c>
      <c r="J10380" s="639">
        <f t="shared" si="325"/>
        <v>0</v>
      </c>
    </row>
    <row r="10381" spans="6:10" ht="15.75" hidden="1" thickBot="1">
      <c r="F10381" s="294" t="s">
        <v>259</v>
      </c>
      <c r="G10381" s="297" t="s">
        <v>260</v>
      </c>
      <c r="J10381" s="639">
        <f t="shared" si="325"/>
        <v>0</v>
      </c>
    </row>
    <row r="10382" spans="6:10" ht="15.75" hidden="1" thickBot="1">
      <c r="F10382" s="294" t="s">
        <v>261</v>
      </c>
      <c r="G10382" s="297" t="s">
        <v>262</v>
      </c>
      <c r="H10382" s="638"/>
      <c r="I10382" s="639"/>
      <c r="J10382" s="639">
        <f t="shared" si="325"/>
        <v>0</v>
      </c>
    </row>
    <row r="10383" spans="6:10" ht="15.75" hidden="1" thickBot="1">
      <c r="G10383" s="274" t="s">
        <v>4330</v>
      </c>
      <c r="H10383" s="640">
        <f>SUM(H10367:H10382)</f>
        <v>0</v>
      </c>
      <c r="I10383" s="641">
        <f>SUM(I10368:I10382)</f>
        <v>0</v>
      </c>
      <c r="J10383" s="641">
        <f>SUM(J10367:J10382)</f>
        <v>0</v>
      </c>
    </row>
    <row r="10384" spans="6:10" hidden="1"/>
    <row r="10385" spans="5:10" hidden="1">
      <c r="E10385" s="516"/>
      <c r="F10385" s="528"/>
      <c r="G10385" s="295" t="s">
        <v>5064</v>
      </c>
      <c r="H10385" s="646"/>
      <c r="I10385" s="664"/>
      <c r="J10385" s="647"/>
    </row>
    <row r="10386" spans="5:10" hidden="1">
      <c r="E10386" s="267"/>
      <c r="F10386" s="294" t="s">
        <v>234</v>
      </c>
      <c r="G10386" s="297" t="s">
        <v>235</v>
      </c>
      <c r="H10386" s="638">
        <f>SUM(H10367)</f>
        <v>0</v>
      </c>
      <c r="I10386" s="639"/>
      <c r="J10386" s="639">
        <f>SUM(H10386:I10386)</f>
        <v>0</v>
      </c>
    </row>
    <row r="10387" spans="5:10" hidden="1">
      <c r="F10387" s="294" t="s">
        <v>236</v>
      </c>
      <c r="G10387" s="297" t="s">
        <v>237</v>
      </c>
      <c r="J10387" s="639">
        <f t="shared" ref="J10387:J10401" si="326">SUM(H10387:I10387)</f>
        <v>0</v>
      </c>
    </row>
    <row r="10388" spans="5:10" hidden="1">
      <c r="F10388" s="294" t="s">
        <v>238</v>
      </c>
      <c r="G10388" s="297" t="s">
        <v>239</v>
      </c>
      <c r="J10388" s="639">
        <f t="shared" si="326"/>
        <v>0</v>
      </c>
    </row>
    <row r="10389" spans="5:10" ht="15.75" hidden="1" thickBot="1">
      <c r="F10389" s="294" t="s">
        <v>240</v>
      </c>
      <c r="G10389" s="297" t="s">
        <v>241</v>
      </c>
      <c r="J10389" s="639">
        <f t="shared" si="326"/>
        <v>0</v>
      </c>
    </row>
    <row r="10390" spans="5:10" ht="15.75" hidden="1" thickBot="1">
      <c r="F10390" s="294" t="s">
        <v>242</v>
      </c>
      <c r="G10390" s="297" t="s">
        <v>243</v>
      </c>
      <c r="J10390" s="639">
        <f t="shared" si="326"/>
        <v>0</v>
      </c>
    </row>
    <row r="10391" spans="5:10" ht="15.75" hidden="1" thickBot="1">
      <c r="F10391" s="294" t="s">
        <v>244</v>
      </c>
      <c r="G10391" s="297" t="s">
        <v>245</v>
      </c>
      <c r="J10391" s="639">
        <f t="shared" si="326"/>
        <v>0</v>
      </c>
    </row>
    <row r="10392" spans="5:10" ht="15.75" hidden="1" thickBot="1">
      <c r="F10392" s="294" t="s">
        <v>246</v>
      </c>
      <c r="G10392" s="683" t="s">
        <v>5121</v>
      </c>
      <c r="J10392" s="639">
        <f t="shared" si="326"/>
        <v>0</v>
      </c>
    </row>
    <row r="10393" spans="5:10" ht="15.75" hidden="1" thickBot="1">
      <c r="F10393" s="294" t="s">
        <v>247</v>
      </c>
      <c r="G10393" s="683" t="s">
        <v>5120</v>
      </c>
      <c r="J10393" s="639">
        <f t="shared" si="326"/>
        <v>0</v>
      </c>
    </row>
    <row r="10394" spans="5:10" ht="15.75" hidden="1" thickBot="1">
      <c r="F10394" s="294" t="s">
        <v>248</v>
      </c>
      <c r="G10394" s="297" t="s">
        <v>57</v>
      </c>
      <c r="J10394" s="639">
        <f t="shared" si="326"/>
        <v>0</v>
      </c>
    </row>
    <row r="10395" spans="5:10" ht="15.75" hidden="1" thickBot="1">
      <c r="F10395" s="294" t="s">
        <v>249</v>
      </c>
      <c r="G10395" s="297" t="s">
        <v>250</v>
      </c>
      <c r="J10395" s="639">
        <f t="shared" si="326"/>
        <v>0</v>
      </c>
    </row>
    <row r="10396" spans="5:10" ht="15.75" hidden="1" thickBot="1">
      <c r="F10396" s="294" t="s">
        <v>251</v>
      </c>
      <c r="G10396" s="297" t="s">
        <v>252</v>
      </c>
      <c r="J10396" s="639">
        <f t="shared" si="326"/>
        <v>0</v>
      </c>
    </row>
    <row r="10397" spans="5:10" ht="15.75" hidden="1" thickBot="1">
      <c r="F10397" s="294" t="s">
        <v>253</v>
      </c>
      <c r="G10397" s="297" t="s">
        <v>254</v>
      </c>
      <c r="J10397" s="639">
        <f t="shared" si="326"/>
        <v>0</v>
      </c>
    </row>
    <row r="10398" spans="5:10" ht="15.75" hidden="1" thickBot="1">
      <c r="F10398" s="294" t="s">
        <v>255</v>
      </c>
      <c r="G10398" s="297" t="s">
        <v>256</v>
      </c>
      <c r="J10398" s="639">
        <f t="shared" si="326"/>
        <v>0</v>
      </c>
    </row>
    <row r="10399" spans="5:10" ht="15.75" hidden="1" thickBot="1">
      <c r="F10399" s="294" t="s">
        <v>257</v>
      </c>
      <c r="G10399" s="297" t="s">
        <v>258</v>
      </c>
      <c r="J10399" s="639">
        <f t="shared" si="326"/>
        <v>0</v>
      </c>
    </row>
    <row r="10400" spans="5:10" ht="15.75" hidden="1" thickBot="1">
      <c r="F10400" s="294" t="s">
        <v>259</v>
      </c>
      <c r="G10400" s="297" t="s">
        <v>260</v>
      </c>
      <c r="J10400" s="639">
        <f t="shared" si="326"/>
        <v>0</v>
      </c>
    </row>
    <row r="10401" spans="1:10" ht="15.75" hidden="1" thickBot="1">
      <c r="F10401" s="294" t="s">
        <v>261</v>
      </c>
      <c r="G10401" s="297" t="s">
        <v>262</v>
      </c>
      <c r="H10401" s="638"/>
      <c r="I10401" s="639"/>
      <c r="J10401" s="639">
        <f t="shared" si="326"/>
        <v>0</v>
      </c>
    </row>
    <row r="10402" spans="1:10" ht="15.75" hidden="1" thickBot="1">
      <c r="G10402" s="274" t="s">
        <v>5065</v>
      </c>
      <c r="H10402" s="640">
        <f>SUM(H10386:H10401)</f>
        <v>0</v>
      </c>
      <c r="I10402" s="641">
        <f>SUM(I10387:I10401)</f>
        <v>0</v>
      </c>
      <c r="J10402" s="641">
        <f>SUM(J10386:J10401)</f>
        <v>0</v>
      </c>
    </row>
    <row r="10403" spans="1:10" hidden="1"/>
    <row r="10404" spans="1:10" hidden="1">
      <c r="A10404" s="500">
        <v>4</v>
      </c>
      <c r="B10404" s="501" t="s">
        <v>4344</v>
      </c>
      <c r="C10404" s="500"/>
      <c r="D10404" s="502"/>
      <c r="E10404" s="503"/>
      <c r="F10404" s="503"/>
      <c r="G10404" s="504" t="s">
        <v>4325</v>
      </c>
      <c r="H10404" s="672"/>
      <c r="I10404" s="673"/>
      <c r="J10404" s="658"/>
    </row>
    <row r="10405" spans="1:10" ht="16.5" hidden="1" customHeight="1">
      <c r="C10405" s="273" t="s">
        <v>3594</v>
      </c>
      <c r="G10405" s="517" t="s">
        <v>4321</v>
      </c>
    </row>
    <row r="10406" spans="1:10" hidden="1">
      <c r="C10406" s="273" t="s">
        <v>4129</v>
      </c>
      <c r="D10406" s="264"/>
      <c r="G10406" s="517" t="s">
        <v>4322</v>
      </c>
    </row>
    <row r="10407" spans="1:10" hidden="1">
      <c r="C10407" s="273"/>
      <c r="D10407" s="357">
        <v>820</v>
      </c>
      <c r="E10407" s="357"/>
      <c r="F10407" s="357"/>
      <c r="G10407" s="358" t="s">
        <v>207</v>
      </c>
    </row>
    <row r="10408" spans="1:10" hidden="1">
      <c r="F10408" s="527">
        <v>411</v>
      </c>
      <c r="G10408" s="518" t="s">
        <v>4173</v>
      </c>
      <c r="J10408" s="635">
        <f>SUM(H10408:I10408)</f>
        <v>0</v>
      </c>
    </row>
    <row r="10409" spans="1:10" hidden="1">
      <c r="F10409" s="527">
        <v>412</v>
      </c>
      <c r="G10409" s="515" t="s">
        <v>3770</v>
      </c>
      <c r="J10409" s="635">
        <f t="shared" ref="J10409:J10467" si="327">SUM(H10409:I10409)</f>
        <v>0</v>
      </c>
    </row>
    <row r="10410" spans="1:10" hidden="1">
      <c r="F10410" s="527">
        <v>413</v>
      </c>
      <c r="G10410" s="518" t="s">
        <v>4174</v>
      </c>
      <c r="J10410" s="635">
        <f t="shared" si="327"/>
        <v>0</v>
      </c>
    </row>
    <row r="10411" spans="1:10" hidden="1">
      <c r="F10411" s="527">
        <v>414</v>
      </c>
      <c r="G10411" s="518" t="s">
        <v>3773</v>
      </c>
      <c r="J10411" s="635">
        <f t="shared" si="327"/>
        <v>0</v>
      </c>
    </row>
    <row r="10412" spans="1:10" hidden="1">
      <c r="F10412" s="527">
        <v>415</v>
      </c>
      <c r="G10412" s="518" t="s">
        <v>4183</v>
      </c>
      <c r="J10412" s="635">
        <f t="shared" si="327"/>
        <v>0</v>
      </c>
    </row>
    <row r="10413" spans="1:10" hidden="1">
      <c r="F10413" s="527">
        <v>416</v>
      </c>
      <c r="G10413" s="518" t="s">
        <v>4184</v>
      </c>
      <c r="J10413" s="635">
        <f t="shared" si="327"/>
        <v>0</v>
      </c>
    </row>
    <row r="10414" spans="1:10" hidden="1">
      <c r="F10414" s="527">
        <v>417</v>
      </c>
      <c r="G10414" s="518" t="s">
        <v>4185</v>
      </c>
      <c r="J10414" s="635">
        <f t="shared" si="327"/>
        <v>0</v>
      </c>
    </row>
    <row r="10415" spans="1:10" hidden="1">
      <c r="F10415" s="527">
        <v>418</v>
      </c>
      <c r="G10415" s="518" t="s">
        <v>3779</v>
      </c>
      <c r="J10415" s="635">
        <f t="shared" si="327"/>
        <v>0</v>
      </c>
    </row>
    <row r="10416" spans="1:10" hidden="1">
      <c r="F10416" s="527">
        <v>421</v>
      </c>
      <c r="G10416" s="518" t="s">
        <v>3783</v>
      </c>
      <c r="J10416" s="635">
        <f t="shared" si="327"/>
        <v>0</v>
      </c>
    </row>
    <row r="10417" spans="6:10" hidden="1">
      <c r="F10417" s="527">
        <v>422</v>
      </c>
      <c r="G10417" s="518" t="s">
        <v>3784</v>
      </c>
      <c r="J10417" s="635">
        <f t="shared" si="327"/>
        <v>0</v>
      </c>
    </row>
    <row r="10418" spans="6:10" hidden="1">
      <c r="F10418" s="527">
        <v>423</v>
      </c>
      <c r="G10418" s="518" t="s">
        <v>3785</v>
      </c>
      <c r="J10418" s="635">
        <f t="shared" si="327"/>
        <v>0</v>
      </c>
    </row>
    <row r="10419" spans="6:10" hidden="1">
      <c r="F10419" s="527">
        <v>424</v>
      </c>
      <c r="G10419" s="518" t="s">
        <v>3787</v>
      </c>
      <c r="J10419" s="635">
        <f t="shared" si="327"/>
        <v>0</v>
      </c>
    </row>
    <row r="10420" spans="6:10" hidden="1">
      <c r="F10420" s="527">
        <v>425</v>
      </c>
      <c r="G10420" s="518" t="s">
        <v>4186</v>
      </c>
      <c r="J10420" s="635">
        <f t="shared" si="327"/>
        <v>0</v>
      </c>
    </row>
    <row r="10421" spans="6:10" hidden="1">
      <c r="F10421" s="527">
        <v>426</v>
      </c>
      <c r="G10421" s="518" t="s">
        <v>3791</v>
      </c>
      <c r="J10421" s="635">
        <f t="shared" si="327"/>
        <v>0</v>
      </c>
    </row>
    <row r="10422" spans="6:10" hidden="1">
      <c r="F10422" s="527">
        <v>431</v>
      </c>
      <c r="G10422" s="518" t="s">
        <v>4187</v>
      </c>
      <c r="J10422" s="635">
        <f t="shared" si="327"/>
        <v>0</v>
      </c>
    </row>
    <row r="10423" spans="6:10" hidden="1">
      <c r="F10423" s="527">
        <v>432</v>
      </c>
      <c r="G10423" s="518" t="s">
        <v>4188</v>
      </c>
      <c r="J10423" s="635">
        <f t="shared" si="327"/>
        <v>0</v>
      </c>
    </row>
    <row r="10424" spans="6:10" hidden="1">
      <c r="F10424" s="527">
        <v>433</v>
      </c>
      <c r="G10424" s="518" t="s">
        <v>4189</v>
      </c>
      <c r="J10424" s="635">
        <f t="shared" si="327"/>
        <v>0</v>
      </c>
    </row>
    <row r="10425" spans="6:10" hidden="1">
      <c r="F10425" s="527">
        <v>434</v>
      </c>
      <c r="G10425" s="518" t="s">
        <v>4190</v>
      </c>
      <c r="J10425" s="635">
        <f t="shared" si="327"/>
        <v>0</v>
      </c>
    </row>
    <row r="10426" spans="6:10" hidden="1">
      <c r="F10426" s="527">
        <v>435</v>
      </c>
      <c r="G10426" s="518" t="s">
        <v>3798</v>
      </c>
      <c r="J10426" s="635">
        <f t="shared" si="327"/>
        <v>0</v>
      </c>
    </row>
    <row r="10427" spans="6:10" hidden="1">
      <c r="F10427" s="527">
        <v>441</v>
      </c>
      <c r="G10427" s="518" t="s">
        <v>4191</v>
      </c>
      <c r="J10427" s="635">
        <f t="shared" si="327"/>
        <v>0</v>
      </c>
    </row>
    <row r="10428" spans="6:10" hidden="1">
      <c r="F10428" s="527">
        <v>442</v>
      </c>
      <c r="G10428" s="518" t="s">
        <v>4192</v>
      </c>
      <c r="J10428" s="635">
        <f t="shared" si="327"/>
        <v>0</v>
      </c>
    </row>
    <row r="10429" spans="6:10" hidden="1">
      <c r="F10429" s="527">
        <v>443</v>
      </c>
      <c r="G10429" s="518" t="s">
        <v>3803</v>
      </c>
      <c r="J10429" s="635">
        <f t="shared" si="327"/>
        <v>0</v>
      </c>
    </row>
    <row r="10430" spans="6:10" hidden="1">
      <c r="F10430" s="527">
        <v>444</v>
      </c>
      <c r="G10430" s="518" t="s">
        <v>3804</v>
      </c>
      <c r="J10430" s="635">
        <f t="shared" si="327"/>
        <v>0</v>
      </c>
    </row>
    <row r="10431" spans="6:10" ht="30" hidden="1">
      <c r="F10431" s="527">
        <v>4511</v>
      </c>
      <c r="G10431" s="268" t="s">
        <v>1690</v>
      </c>
      <c r="J10431" s="635">
        <f t="shared" si="327"/>
        <v>0</v>
      </c>
    </row>
    <row r="10432" spans="6:10" ht="19.5" hidden="1" customHeight="1">
      <c r="F10432" s="527">
        <v>4512</v>
      </c>
      <c r="G10432" s="268" t="s">
        <v>1699</v>
      </c>
      <c r="J10432" s="635">
        <f t="shared" si="327"/>
        <v>0</v>
      </c>
    </row>
    <row r="10433" spans="6:10" hidden="1">
      <c r="F10433" s="527">
        <v>452</v>
      </c>
      <c r="G10433" s="518" t="s">
        <v>4193</v>
      </c>
      <c r="J10433" s="635">
        <f t="shared" si="327"/>
        <v>0</v>
      </c>
    </row>
    <row r="10434" spans="6:10" hidden="1">
      <c r="F10434" s="527">
        <v>453</v>
      </c>
      <c r="G10434" s="518" t="s">
        <v>4194</v>
      </c>
      <c r="J10434" s="635">
        <f t="shared" si="327"/>
        <v>0</v>
      </c>
    </row>
    <row r="10435" spans="6:10" hidden="1">
      <c r="F10435" s="527">
        <v>454</v>
      </c>
      <c r="G10435" s="518" t="s">
        <v>3809</v>
      </c>
      <c r="J10435" s="635">
        <f t="shared" si="327"/>
        <v>0</v>
      </c>
    </row>
    <row r="10436" spans="6:10" hidden="1">
      <c r="F10436" s="527">
        <v>461</v>
      </c>
      <c r="G10436" s="518" t="s">
        <v>4175</v>
      </c>
      <c r="J10436" s="635">
        <f t="shared" si="327"/>
        <v>0</v>
      </c>
    </row>
    <row r="10437" spans="6:10" hidden="1">
      <c r="F10437" s="527">
        <v>462</v>
      </c>
      <c r="G10437" s="518" t="s">
        <v>3812</v>
      </c>
      <c r="J10437" s="635">
        <f t="shared" si="327"/>
        <v>0</v>
      </c>
    </row>
    <row r="10438" spans="6:10" hidden="1">
      <c r="F10438" s="527">
        <v>4631</v>
      </c>
      <c r="G10438" s="518" t="s">
        <v>3813</v>
      </c>
      <c r="J10438" s="635">
        <f t="shared" si="327"/>
        <v>0</v>
      </c>
    </row>
    <row r="10439" spans="6:10" hidden="1">
      <c r="F10439" s="527">
        <v>4632</v>
      </c>
      <c r="G10439" s="518" t="s">
        <v>3814</v>
      </c>
      <c r="J10439" s="635">
        <f t="shared" si="327"/>
        <v>0</v>
      </c>
    </row>
    <row r="10440" spans="6:10" hidden="1">
      <c r="F10440" s="527">
        <v>464</v>
      </c>
      <c r="G10440" s="518" t="s">
        <v>3815</v>
      </c>
      <c r="J10440" s="635">
        <f t="shared" si="327"/>
        <v>0</v>
      </c>
    </row>
    <row r="10441" spans="6:10" hidden="1">
      <c r="F10441" s="527">
        <v>465</v>
      </c>
      <c r="G10441" s="518" t="s">
        <v>4176</v>
      </c>
      <c r="J10441" s="635">
        <f t="shared" si="327"/>
        <v>0</v>
      </c>
    </row>
    <row r="10442" spans="6:10" hidden="1">
      <c r="F10442" s="527">
        <v>472</v>
      </c>
      <c r="G10442" s="518" t="s">
        <v>3819</v>
      </c>
      <c r="J10442" s="635">
        <f t="shared" si="327"/>
        <v>0</v>
      </c>
    </row>
    <row r="10443" spans="6:10" hidden="1">
      <c r="F10443" s="527">
        <v>481</v>
      </c>
      <c r="G10443" s="518" t="s">
        <v>4195</v>
      </c>
      <c r="J10443" s="635">
        <f t="shared" si="327"/>
        <v>0</v>
      </c>
    </row>
    <row r="10444" spans="6:10" hidden="1">
      <c r="F10444" s="527">
        <v>482</v>
      </c>
      <c r="G10444" s="518" t="s">
        <v>4196</v>
      </c>
      <c r="J10444" s="635">
        <f t="shared" si="327"/>
        <v>0</v>
      </c>
    </row>
    <row r="10445" spans="6:10" hidden="1">
      <c r="F10445" s="527">
        <v>483</v>
      </c>
      <c r="G10445" s="520" t="s">
        <v>4197</v>
      </c>
      <c r="J10445" s="635">
        <f t="shared" si="327"/>
        <v>0</v>
      </c>
    </row>
    <row r="10446" spans="6:10" ht="30" hidden="1">
      <c r="F10446" s="527">
        <v>484</v>
      </c>
      <c r="G10446" s="518" t="s">
        <v>4198</v>
      </c>
      <c r="J10446" s="635">
        <f t="shared" si="327"/>
        <v>0</v>
      </c>
    </row>
    <row r="10447" spans="6:10" ht="30" hidden="1">
      <c r="F10447" s="527">
        <v>485</v>
      </c>
      <c r="G10447" s="518" t="s">
        <v>4199</v>
      </c>
      <c r="J10447" s="635">
        <f t="shared" si="327"/>
        <v>0</v>
      </c>
    </row>
    <row r="10448" spans="6:10" ht="30" hidden="1">
      <c r="F10448" s="527">
        <v>489</v>
      </c>
      <c r="G10448" s="518" t="s">
        <v>3827</v>
      </c>
      <c r="J10448" s="635">
        <f t="shared" si="327"/>
        <v>0</v>
      </c>
    </row>
    <row r="10449" spans="6:10" hidden="1">
      <c r="F10449" s="527">
        <v>494</v>
      </c>
      <c r="G10449" s="518" t="s">
        <v>4177</v>
      </c>
      <c r="J10449" s="635">
        <f t="shared" si="327"/>
        <v>0</v>
      </c>
    </row>
    <row r="10450" spans="6:10" ht="30" hidden="1">
      <c r="F10450" s="527">
        <v>495</v>
      </c>
      <c r="G10450" s="518" t="s">
        <v>4178</v>
      </c>
      <c r="J10450" s="635">
        <f t="shared" si="327"/>
        <v>0</v>
      </c>
    </row>
    <row r="10451" spans="6:10" ht="30" hidden="1">
      <c r="F10451" s="527">
        <v>496</v>
      </c>
      <c r="G10451" s="518" t="s">
        <v>4179</v>
      </c>
      <c r="J10451" s="635">
        <f t="shared" si="327"/>
        <v>0</v>
      </c>
    </row>
    <row r="10452" spans="6:10" hidden="1">
      <c r="F10452" s="527">
        <v>499</v>
      </c>
      <c r="G10452" s="518" t="s">
        <v>4180</v>
      </c>
      <c r="J10452" s="635">
        <f t="shared" si="327"/>
        <v>0</v>
      </c>
    </row>
    <row r="10453" spans="6:10" hidden="1">
      <c r="F10453" s="527">
        <v>511</v>
      </c>
      <c r="G10453" s="520" t="s">
        <v>4200</v>
      </c>
      <c r="J10453" s="635">
        <f t="shared" si="327"/>
        <v>0</v>
      </c>
    </row>
    <row r="10454" spans="6:10" ht="15.75" hidden="1" thickBot="1">
      <c r="F10454" s="527">
        <v>512</v>
      </c>
      <c r="G10454" s="520" t="s">
        <v>4201</v>
      </c>
      <c r="J10454" s="635">
        <f t="shared" si="327"/>
        <v>0</v>
      </c>
    </row>
    <row r="10455" spans="6:10" ht="15.75" hidden="1" thickBot="1">
      <c r="F10455" s="527">
        <v>513</v>
      </c>
      <c r="G10455" s="520" t="s">
        <v>4202</v>
      </c>
      <c r="J10455" s="635">
        <f t="shared" si="327"/>
        <v>0</v>
      </c>
    </row>
    <row r="10456" spans="6:10" ht="15.75" hidden="1" thickBot="1">
      <c r="F10456" s="527">
        <v>514</v>
      </c>
      <c r="G10456" s="518" t="s">
        <v>4203</v>
      </c>
      <c r="J10456" s="635">
        <f t="shared" si="327"/>
        <v>0</v>
      </c>
    </row>
    <row r="10457" spans="6:10" ht="15.75" hidden="1" thickBot="1">
      <c r="F10457" s="527">
        <v>515</v>
      </c>
      <c r="G10457" s="518" t="s">
        <v>3838</v>
      </c>
      <c r="J10457" s="635">
        <f t="shared" si="327"/>
        <v>0</v>
      </c>
    </row>
    <row r="10458" spans="6:10" ht="15.75" hidden="1" thickBot="1">
      <c r="F10458" s="527">
        <v>521</v>
      </c>
      <c r="G10458" s="518" t="s">
        <v>4204</v>
      </c>
      <c r="J10458" s="635">
        <f t="shared" si="327"/>
        <v>0</v>
      </c>
    </row>
    <row r="10459" spans="6:10" ht="15.75" hidden="1" thickBot="1">
      <c r="F10459" s="527">
        <v>522</v>
      </c>
      <c r="G10459" s="518" t="s">
        <v>4205</v>
      </c>
      <c r="J10459" s="635">
        <f t="shared" si="327"/>
        <v>0</v>
      </c>
    </row>
    <row r="10460" spans="6:10" ht="15.75" hidden="1" thickBot="1">
      <c r="F10460" s="527">
        <v>523</v>
      </c>
      <c r="G10460" s="518" t="s">
        <v>3843</v>
      </c>
      <c r="J10460" s="635">
        <f t="shared" si="327"/>
        <v>0</v>
      </c>
    </row>
    <row r="10461" spans="6:10" ht="15.75" hidden="1" thickBot="1">
      <c r="F10461" s="527">
        <v>531</v>
      </c>
      <c r="G10461" s="515" t="s">
        <v>4181</v>
      </c>
      <c r="J10461" s="635">
        <f t="shared" si="327"/>
        <v>0</v>
      </c>
    </row>
    <row r="10462" spans="6:10" ht="15.75" hidden="1" thickBot="1">
      <c r="F10462" s="527">
        <v>541</v>
      </c>
      <c r="G10462" s="518" t="s">
        <v>4206</v>
      </c>
      <c r="J10462" s="635">
        <f t="shared" si="327"/>
        <v>0</v>
      </c>
    </row>
    <row r="10463" spans="6:10" ht="15.75" hidden="1" thickBot="1">
      <c r="F10463" s="527">
        <v>542</v>
      </c>
      <c r="G10463" s="518" t="s">
        <v>4207</v>
      </c>
      <c r="J10463" s="635">
        <f t="shared" si="327"/>
        <v>0</v>
      </c>
    </row>
    <row r="10464" spans="6:10" ht="15.75" hidden="1" thickBot="1">
      <c r="F10464" s="527">
        <v>543</v>
      </c>
      <c r="G10464" s="518" t="s">
        <v>3848</v>
      </c>
      <c r="J10464" s="635">
        <f t="shared" si="327"/>
        <v>0</v>
      </c>
    </row>
    <row r="10465" spans="5:10" ht="30.75" hidden="1" thickBot="1">
      <c r="F10465" s="527">
        <v>551</v>
      </c>
      <c r="G10465" s="518" t="s">
        <v>4182</v>
      </c>
      <c r="J10465" s="635">
        <f t="shared" si="327"/>
        <v>0</v>
      </c>
    </row>
    <row r="10466" spans="5:10" ht="15.75" hidden="1" thickBot="1">
      <c r="F10466" s="528">
        <v>611</v>
      </c>
      <c r="G10466" s="526" t="s">
        <v>3854</v>
      </c>
      <c r="J10466" s="635">
        <f t="shared" si="327"/>
        <v>0</v>
      </c>
    </row>
    <row r="10467" spans="5:10" ht="15.75" hidden="1" thickBot="1">
      <c r="F10467" s="528">
        <v>620</v>
      </c>
      <c r="G10467" s="526" t="s">
        <v>88</v>
      </c>
      <c r="J10467" s="635">
        <f t="shared" si="327"/>
        <v>0</v>
      </c>
    </row>
    <row r="10468" spans="5:10" hidden="1">
      <c r="E10468" s="516"/>
      <c r="F10468" s="528"/>
      <c r="G10468" s="372" t="s">
        <v>4439</v>
      </c>
      <c r="H10468" s="636"/>
      <c r="I10468" s="662"/>
      <c r="J10468" s="637"/>
    </row>
    <row r="10469" spans="5:10" hidden="1">
      <c r="E10469" s="267"/>
      <c r="F10469" s="294" t="s">
        <v>234</v>
      </c>
      <c r="G10469" s="297" t="s">
        <v>235</v>
      </c>
      <c r="H10469" s="638">
        <f>SUM(H10408:H10467)</f>
        <v>0</v>
      </c>
      <c r="I10469" s="639"/>
      <c r="J10469" s="639">
        <f t="shared" ref="J10469:J10484" si="328">SUM(H10469:I10469)</f>
        <v>0</v>
      </c>
    </row>
    <row r="10470" spans="5:10" hidden="1">
      <c r="F10470" s="294" t="s">
        <v>236</v>
      </c>
      <c r="G10470" s="297" t="s">
        <v>237</v>
      </c>
      <c r="J10470" s="639">
        <f t="shared" si="328"/>
        <v>0</v>
      </c>
    </row>
    <row r="10471" spans="5:10" hidden="1">
      <c r="F10471" s="294" t="s">
        <v>238</v>
      </c>
      <c r="G10471" s="297" t="s">
        <v>239</v>
      </c>
      <c r="J10471" s="639">
        <f t="shared" si="328"/>
        <v>0</v>
      </c>
    </row>
    <row r="10472" spans="5:10" ht="15.75" hidden="1" thickBot="1">
      <c r="F10472" s="294" t="s">
        <v>240</v>
      </c>
      <c r="G10472" s="297" t="s">
        <v>241</v>
      </c>
      <c r="J10472" s="639">
        <f t="shared" si="328"/>
        <v>0</v>
      </c>
    </row>
    <row r="10473" spans="5:10" ht="15.75" hidden="1" thickBot="1">
      <c r="F10473" s="294" t="s">
        <v>242</v>
      </c>
      <c r="G10473" s="297" t="s">
        <v>243</v>
      </c>
      <c r="J10473" s="639">
        <f t="shared" si="328"/>
        <v>0</v>
      </c>
    </row>
    <row r="10474" spans="5:10" ht="15.75" hidden="1" thickBot="1">
      <c r="F10474" s="294" t="s">
        <v>244</v>
      </c>
      <c r="G10474" s="297" t="s">
        <v>245</v>
      </c>
      <c r="J10474" s="639">
        <f t="shared" si="328"/>
        <v>0</v>
      </c>
    </row>
    <row r="10475" spans="5:10" ht="15.75" hidden="1" thickBot="1">
      <c r="F10475" s="294" t="s">
        <v>246</v>
      </c>
      <c r="G10475" s="683" t="s">
        <v>5121</v>
      </c>
      <c r="J10475" s="639">
        <f t="shared" si="328"/>
        <v>0</v>
      </c>
    </row>
    <row r="10476" spans="5:10" ht="15.75" hidden="1" thickBot="1">
      <c r="F10476" s="294" t="s">
        <v>247</v>
      </c>
      <c r="G10476" s="683" t="s">
        <v>5120</v>
      </c>
      <c r="J10476" s="639">
        <f t="shared" si="328"/>
        <v>0</v>
      </c>
    </row>
    <row r="10477" spans="5:10" ht="15.75" hidden="1" thickBot="1">
      <c r="F10477" s="294" t="s">
        <v>248</v>
      </c>
      <c r="G10477" s="297" t="s">
        <v>57</v>
      </c>
      <c r="J10477" s="639">
        <f t="shared" si="328"/>
        <v>0</v>
      </c>
    </row>
    <row r="10478" spans="5:10" ht="15.75" hidden="1" thickBot="1">
      <c r="F10478" s="294" t="s">
        <v>249</v>
      </c>
      <c r="G10478" s="297" t="s">
        <v>250</v>
      </c>
      <c r="J10478" s="639">
        <f t="shared" si="328"/>
        <v>0</v>
      </c>
    </row>
    <row r="10479" spans="5:10" ht="15.75" hidden="1" thickBot="1">
      <c r="F10479" s="294" t="s">
        <v>251</v>
      </c>
      <c r="G10479" s="297" t="s">
        <v>252</v>
      </c>
      <c r="J10479" s="639">
        <f t="shared" si="328"/>
        <v>0</v>
      </c>
    </row>
    <row r="10480" spans="5:10" ht="15.75" hidden="1" thickBot="1">
      <c r="F10480" s="294" t="s">
        <v>253</v>
      </c>
      <c r="G10480" s="297" t="s">
        <v>254</v>
      </c>
      <c r="J10480" s="639">
        <f t="shared" si="328"/>
        <v>0</v>
      </c>
    </row>
    <row r="10481" spans="5:10" ht="15.75" hidden="1" thickBot="1">
      <c r="F10481" s="294" t="s">
        <v>255</v>
      </c>
      <c r="G10481" s="297" t="s">
        <v>256</v>
      </c>
      <c r="J10481" s="639">
        <f t="shared" si="328"/>
        <v>0</v>
      </c>
    </row>
    <row r="10482" spans="5:10" ht="15.75" hidden="1" thickBot="1">
      <c r="F10482" s="294" t="s">
        <v>257</v>
      </c>
      <c r="G10482" s="297" t="s">
        <v>258</v>
      </c>
      <c r="J10482" s="639">
        <f t="shared" si="328"/>
        <v>0</v>
      </c>
    </row>
    <row r="10483" spans="5:10" ht="15.75" hidden="1" thickBot="1">
      <c r="F10483" s="294" t="s">
        <v>259</v>
      </c>
      <c r="G10483" s="297" t="s">
        <v>260</v>
      </c>
      <c r="J10483" s="639">
        <f t="shared" si="328"/>
        <v>0</v>
      </c>
    </row>
    <row r="10484" spans="5:10" ht="15.75" hidden="1" thickBot="1">
      <c r="F10484" s="294" t="s">
        <v>261</v>
      </c>
      <c r="G10484" s="297" t="s">
        <v>262</v>
      </c>
      <c r="H10484" s="638"/>
      <c r="I10484" s="639"/>
      <c r="J10484" s="639">
        <f t="shared" si="328"/>
        <v>0</v>
      </c>
    </row>
    <row r="10485" spans="5:10" ht="15.75" hidden="1" thickBot="1">
      <c r="G10485" s="274" t="s">
        <v>4440</v>
      </c>
      <c r="H10485" s="640">
        <f>SUM(H10469:H10484)</f>
        <v>0</v>
      </c>
      <c r="I10485" s="641">
        <f>SUM(I10470:I10484)</f>
        <v>0</v>
      </c>
      <c r="J10485" s="641">
        <f>SUM(J10469:J10484)</f>
        <v>0</v>
      </c>
    </row>
    <row r="10486" spans="5:10" hidden="1" collapsed="1">
      <c r="E10486" s="516"/>
      <c r="F10486" s="528"/>
      <c r="G10486" s="276" t="s">
        <v>4441</v>
      </c>
      <c r="H10486" s="642"/>
      <c r="I10486" s="663"/>
      <c r="J10486" s="643"/>
    </row>
    <row r="10487" spans="5:10" hidden="1">
      <c r="E10487" s="267"/>
      <c r="F10487" s="294" t="s">
        <v>234</v>
      </c>
      <c r="G10487" s="297" t="s">
        <v>235</v>
      </c>
      <c r="H10487" s="638">
        <f>SUM(H10408:H10467)</f>
        <v>0</v>
      </c>
      <c r="I10487" s="639"/>
      <c r="J10487" s="639">
        <f>SUM(H10487:I10487)</f>
        <v>0</v>
      </c>
    </row>
    <row r="10488" spans="5:10" hidden="1">
      <c r="F10488" s="294" t="s">
        <v>236</v>
      </c>
      <c r="G10488" s="297" t="s">
        <v>237</v>
      </c>
      <c r="J10488" s="639">
        <f t="shared" ref="J10488:J10502" si="329">SUM(H10488:I10488)</f>
        <v>0</v>
      </c>
    </row>
    <row r="10489" spans="5:10" hidden="1">
      <c r="F10489" s="294" t="s">
        <v>238</v>
      </c>
      <c r="G10489" s="297" t="s">
        <v>239</v>
      </c>
      <c r="J10489" s="639">
        <f t="shared" si="329"/>
        <v>0</v>
      </c>
    </row>
    <row r="10490" spans="5:10" ht="15.75" hidden="1" thickBot="1">
      <c r="F10490" s="294" t="s">
        <v>240</v>
      </c>
      <c r="G10490" s="297" t="s">
        <v>241</v>
      </c>
      <c r="J10490" s="639">
        <f t="shared" si="329"/>
        <v>0</v>
      </c>
    </row>
    <row r="10491" spans="5:10" ht="15.75" hidden="1" thickBot="1">
      <c r="F10491" s="294" t="s">
        <v>242</v>
      </c>
      <c r="G10491" s="297" t="s">
        <v>243</v>
      </c>
      <c r="J10491" s="639">
        <f t="shared" si="329"/>
        <v>0</v>
      </c>
    </row>
    <row r="10492" spans="5:10" ht="15.75" hidden="1" thickBot="1">
      <c r="F10492" s="294" t="s">
        <v>244</v>
      </c>
      <c r="G10492" s="297" t="s">
        <v>245</v>
      </c>
      <c r="J10492" s="639">
        <f t="shared" si="329"/>
        <v>0</v>
      </c>
    </row>
    <row r="10493" spans="5:10" ht="15.75" hidden="1" thickBot="1">
      <c r="F10493" s="294" t="s">
        <v>246</v>
      </c>
      <c r="G10493" s="683" t="s">
        <v>5121</v>
      </c>
      <c r="J10493" s="639">
        <f t="shared" si="329"/>
        <v>0</v>
      </c>
    </row>
    <row r="10494" spans="5:10" ht="15.75" hidden="1" thickBot="1">
      <c r="F10494" s="294" t="s">
        <v>247</v>
      </c>
      <c r="G10494" s="683" t="s">
        <v>5120</v>
      </c>
      <c r="J10494" s="639">
        <f t="shared" si="329"/>
        <v>0</v>
      </c>
    </row>
    <row r="10495" spans="5:10" ht="15.75" hidden="1" thickBot="1">
      <c r="F10495" s="294" t="s">
        <v>248</v>
      </c>
      <c r="G10495" s="297" t="s">
        <v>57</v>
      </c>
      <c r="J10495" s="639">
        <f t="shared" si="329"/>
        <v>0</v>
      </c>
    </row>
    <row r="10496" spans="5:10" ht="15.75" hidden="1" thickBot="1">
      <c r="F10496" s="294" t="s">
        <v>249</v>
      </c>
      <c r="G10496" s="297" t="s">
        <v>250</v>
      </c>
      <c r="J10496" s="639">
        <f t="shared" si="329"/>
        <v>0</v>
      </c>
    </row>
    <row r="10497" spans="3:10" ht="15.75" hidden="1" thickBot="1">
      <c r="F10497" s="294" t="s">
        <v>251</v>
      </c>
      <c r="G10497" s="297" t="s">
        <v>252</v>
      </c>
      <c r="J10497" s="639">
        <f t="shared" si="329"/>
        <v>0</v>
      </c>
    </row>
    <row r="10498" spans="3:10" ht="15.75" hidden="1" thickBot="1">
      <c r="F10498" s="294" t="s">
        <v>253</v>
      </c>
      <c r="G10498" s="297" t="s">
        <v>254</v>
      </c>
      <c r="J10498" s="639">
        <f t="shared" si="329"/>
        <v>0</v>
      </c>
    </row>
    <row r="10499" spans="3:10" ht="15.75" hidden="1" thickBot="1">
      <c r="F10499" s="294" t="s">
        <v>255</v>
      </c>
      <c r="G10499" s="297" t="s">
        <v>256</v>
      </c>
      <c r="J10499" s="639">
        <f t="shared" si="329"/>
        <v>0</v>
      </c>
    </row>
    <row r="10500" spans="3:10" ht="15.75" hidden="1" thickBot="1">
      <c r="F10500" s="294" t="s">
        <v>257</v>
      </c>
      <c r="G10500" s="297" t="s">
        <v>258</v>
      </c>
      <c r="J10500" s="639">
        <f t="shared" si="329"/>
        <v>0</v>
      </c>
    </row>
    <row r="10501" spans="3:10" ht="15.75" hidden="1" thickBot="1">
      <c r="F10501" s="294" t="s">
        <v>259</v>
      </c>
      <c r="G10501" s="297" t="s">
        <v>260</v>
      </c>
      <c r="J10501" s="639">
        <f t="shared" si="329"/>
        <v>0</v>
      </c>
    </row>
    <row r="10502" spans="3:10" ht="15.75" hidden="1" thickBot="1">
      <c r="F10502" s="294" t="s">
        <v>261</v>
      </c>
      <c r="G10502" s="297" t="s">
        <v>262</v>
      </c>
      <c r="H10502" s="638"/>
      <c r="I10502" s="639"/>
      <c r="J10502" s="639">
        <f t="shared" si="329"/>
        <v>0</v>
      </c>
    </row>
    <row r="10503" spans="3:10" ht="15.75" hidden="1" collapsed="1" thickBot="1">
      <c r="G10503" s="274" t="s">
        <v>4442</v>
      </c>
      <c r="H10503" s="640">
        <f>SUM(H10487:H10502)</f>
        <v>0</v>
      </c>
      <c r="I10503" s="641">
        <f>SUM(I10488:I10502)</f>
        <v>0</v>
      </c>
      <c r="J10503" s="641">
        <f>SUM(J10487:J10502)</f>
        <v>0</v>
      </c>
    </row>
    <row r="10504" spans="3:10" hidden="1"/>
    <row r="10505" spans="3:10" hidden="1">
      <c r="C10505" s="273" t="s">
        <v>4841</v>
      </c>
      <c r="D10505" s="264"/>
      <c r="G10505" s="519" t="s">
        <v>4240</v>
      </c>
    </row>
    <row r="10506" spans="3:10" hidden="1">
      <c r="C10506" s="273"/>
      <c r="D10506" s="357">
        <v>820</v>
      </c>
      <c r="E10506" s="357"/>
      <c r="F10506" s="357"/>
      <c r="G10506" s="358" t="s">
        <v>207</v>
      </c>
    </row>
    <row r="10507" spans="3:10" hidden="1">
      <c r="F10507" s="527">
        <v>411</v>
      </c>
      <c r="G10507" s="518" t="s">
        <v>4173</v>
      </c>
      <c r="J10507" s="635">
        <f>SUM(H10507:I10507)</f>
        <v>0</v>
      </c>
    </row>
    <row r="10508" spans="3:10" hidden="1">
      <c r="F10508" s="527">
        <v>412</v>
      </c>
      <c r="G10508" s="515" t="s">
        <v>3770</v>
      </c>
      <c r="J10508" s="635">
        <f t="shared" ref="J10508:J10566" si="330">SUM(H10508:I10508)</f>
        <v>0</v>
      </c>
    </row>
    <row r="10509" spans="3:10" hidden="1">
      <c r="F10509" s="527">
        <v>413</v>
      </c>
      <c r="G10509" s="518" t="s">
        <v>4174</v>
      </c>
      <c r="J10509" s="635">
        <f t="shared" si="330"/>
        <v>0</v>
      </c>
    </row>
    <row r="10510" spans="3:10" hidden="1">
      <c r="F10510" s="527">
        <v>414</v>
      </c>
      <c r="G10510" s="518" t="s">
        <v>3773</v>
      </c>
      <c r="J10510" s="635">
        <f t="shared" si="330"/>
        <v>0</v>
      </c>
    </row>
    <row r="10511" spans="3:10" hidden="1">
      <c r="F10511" s="527">
        <v>415</v>
      </c>
      <c r="G10511" s="518" t="s">
        <v>4183</v>
      </c>
      <c r="J10511" s="635">
        <f t="shared" si="330"/>
        <v>0</v>
      </c>
    </row>
    <row r="10512" spans="3:10" hidden="1">
      <c r="F10512" s="527">
        <v>416</v>
      </c>
      <c r="G10512" s="518" t="s">
        <v>4184</v>
      </c>
      <c r="J10512" s="635">
        <f t="shared" si="330"/>
        <v>0</v>
      </c>
    </row>
    <row r="10513" spans="6:10" hidden="1">
      <c r="F10513" s="527">
        <v>417</v>
      </c>
      <c r="G10513" s="518" t="s">
        <v>4185</v>
      </c>
      <c r="J10513" s="635">
        <f t="shared" si="330"/>
        <v>0</v>
      </c>
    </row>
    <row r="10514" spans="6:10" hidden="1">
      <c r="F10514" s="527">
        <v>418</v>
      </c>
      <c r="G10514" s="518" t="s">
        <v>3779</v>
      </c>
      <c r="J10514" s="635">
        <f t="shared" si="330"/>
        <v>0</v>
      </c>
    </row>
    <row r="10515" spans="6:10" hidden="1">
      <c r="F10515" s="527">
        <v>421</v>
      </c>
      <c r="G10515" s="518" t="s">
        <v>3783</v>
      </c>
      <c r="J10515" s="635">
        <f t="shared" si="330"/>
        <v>0</v>
      </c>
    </row>
    <row r="10516" spans="6:10" hidden="1">
      <c r="F10516" s="527">
        <v>422</v>
      </c>
      <c r="G10516" s="518" t="s">
        <v>3784</v>
      </c>
      <c r="J10516" s="635">
        <f t="shared" si="330"/>
        <v>0</v>
      </c>
    </row>
    <row r="10517" spans="6:10" ht="15.75" hidden="1" thickBot="1">
      <c r="F10517" s="527">
        <v>423</v>
      </c>
      <c r="G10517" s="518" t="s">
        <v>3785</v>
      </c>
      <c r="J10517" s="635">
        <f t="shared" si="330"/>
        <v>0</v>
      </c>
    </row>
    <row r="10518" spans="6:10" ht="15.75" hidden="1" thickBot="1">
      <c r="F10518" s="527">
        <v>424</v>
      </c>
      <c r="G10518" s="518" t="s">
        <v>3787</v>
      </c>
      <c r="J10518" s="635">
        <f t="shared" si="330"/>
        <v>0</v>
      </c>
    </row>
    <row r="10519" spans="6:10" ht="15.75" hidden="1" thickBot="1">
      <c r="F10519" s="527">
        <v>425</v>
      </c>
      <c r="G10519" s="518" t="s">
        <v>4186</v>
      </c>
      <c r="J10519" s="635">
        <f t="shared" si="330"/>
        <v>0</v>
      </c>
    </row>
    <row r="10520" spans="6:10" ht="15.75" hidden="1" thickBot="1">
      <c r="F10520" s="527">
        <v>426</v>
      </c>
      <c r="G10520" s="518" t="s">
        <v>3791</v>
      </c>
      <c r="J10520" s="635">
        <f t="shared" si="330"/>
        <v>0</v>
      </c>
    </row>
    <row r="10521" spans="6:10" ht="15.75" hidden="1" thickBot="1">
      <c r="F10521" s="527">
        <v>431</v>
      </c>
      <c r="G10521" s="518" t="s">
        <v>4187</v>
      </c>
      <c r="J10521" s="635">
        <f t="shared" si="330"/>
        <v>0</v>
      </c>
    </row>
    <row r="10522" spans="6:10" ht="15.75" hidden="1" thickBot="1">
      <c r="F10522" s="527">
        <v>432</v>
      </c>
      <c r="G10522" s="518" t="s">
        <v>4188</v>
      </c>
      <c r="J10522" s="635">
        <f t="shared" si="330"/>
        <v>0</v>
      </c>
    </row>
    <row r="10523" spans="6:10" ht="15.75" hidden="1" thickBot="1">
      <c r="F10523" s="527">
        <v>433</v>
      </c>
      <c r="G10523" s="518" t="s">
        <v>4189</v>
      </c>
      <c r="J10523" s="635">
        <f t="shared" si="330"/>
        <v>0</v>
      </c>
    </row>
    <row r="10524" spans="6:10" ht="15.75" hidden="1" thickBot="1">
      <c r="F10524" s="527">
        <v>434</v>
      </c>
      <c r="G10524" s="518" t="s">
        <v>4190</v>
      </c>
      <c r="J10524" s="635">
        <f t="shared" si="330"/>
        <v>0</v>
      </c>
    </row>
    <row r="10525" spans="6:10" ht="15.75" hidden="1" thickBot="1">
      <c r="F10525" s="527">
        <v>435</v>
      </c>
      <c r="G10525" s="518" t="s">
        <v>3798</v>
      </c>
      <c r="J10525" s="635">
        <f t="shared" si="330"/>
        <v>0</v>
      </c>
    </row>
    <row r="10526" spans="6:10" ht="15.75" hidden="1" thickBot="1">
      <c r="F10526" s="527">
        <v>441</v>
      </c>
      <c r="G10526" s="518" t="s">
        <v>4191</v>
      </c>
      <c r="J10526" s="635">
        <f t="shared" si="330"/>
        <v>0</v>
      </c>
    </row>
    <row r="10527" spans="6:10" ht="15.75" hidden="1" thickBot="1">
      <c r="F10527" s="527">
        <v>442</v>
      </c>
      <c r="G10527" s="518" t="s">
        <v>4192</v>
      </c>
      <c r="J10527" s="635">
        <f t="shared" si="330"/>
        <v>0</v>
      </c>
    </row>
    <row r="10528" spans="6:10" ht="15.75" hidden="1" thickBot="1">
      <c r="F10528" s="527">
        <v>443</v>
      </c>
      <c r="G10528" s="518" t="s">
        <v>3803</v>
      </c>
      <c r="J10528" s="635">
        <f t="shared" si="330"/>
        <v>0</v>
      </c>
    </row>
    <row r="10529" spans="6:10" ht="15.75" hidden="1" thickBot="1">
      <c r="F10529" s="527">
        <v>444</v>
      </c>
      <c r="G10529" s="518" t="s">
        <v>3804</v>
      </c>
      <c r="J10529" s="635">
        <f t="shared" si="330"/>
        <v>0</v>
      </c>
    </row>
    <row r="10530" spans="6:10" ht="30.75" hidden="1" thickBot="1">
      <c r="F10530" s="527">
        <v>4511</v>
      </c>
      <c r="G10530" s="268" t="s">
        <v>1690</v>
      </c>
      <c r="J10530" s="635">
        <f t="shared" si="330"/>
        <v>0</v>
      </c>
    </row>
    <row r="10531" spans="6:10" ht="30.75" hidden="1" thickBot="1">
      <c r="F10531" s="527">
        <v>4512</v>
      </c>
      <c r="G10531" s="268" t="s">
        <v>1699</v>
      </c>
      <c r="J10531" s="635">
        <f t="shared" si="330"/>
        <v>0</v>
      </c>
    </row>
    <row r="10532" spans="6:10" ht="15.75" hidden="1" thickBot="1">
      <c r="F10532" s="527">
        <v>452</v>
      </c>
      <c r="G10532" s="518" t="s">
        <v>4193</v>
      </c>
      <c r="J10532" s="635">
        <f t="shared" si="330"/>
        <v>0</v>
      </c>
    </row>
    <row r="10533" spans="6:10" ht="15.75" hidden="1" thickBot="1">
      <c r="F10533" s="527">
        <v>453</v>
      </c>
      <c r="G10533" s="518" t="s">
        <v>4194</v>
      </c>
      <c r="J10533" s="635">
        <f t="shared" si="330"/>
        <v>0</v>
      </c>
    </row>
    <row r="10534" spans="6:10" ht="15.75" hidden="1" thickBot="1">
      <c r="F10534" s="527">
        <v>454</v>
      </c>
      <c r="G10534" s="518" t="s">
        <v>3809</v>
      </c>
      <c r="J10534" s="635">
        <f t="shared" si="330"/>
        <v>0</v>
      </c>
    </row>
    <row r="10535" spans="6:10" ht="15.75" hidden="1" thickBot="1">
      <c r="F10535" s="527">
        <v>461</v>
      </c>
      <c r="G10535" s="518" t="s">
        <v>4175</v>
      </c>
      <c r="J10535" s="635">
        <f t="shared" si="330"/>
        <v>0</v>
      </c>
    </row>
    <row r="10536" spans="6:10" ht="15.75" hidden="1" thickBot="1">
      <c r="F10536" s="527">
        <v>462</v>
      </c>
      <c r="G10536" s="518" t="s">
        <v>3812</v>
      </c>
      <c r="J10536" s="635">
        <f t="shared" si="330"/>
        <v>0</v>
      </c>
    </row>
    <row r="10537" spans="6:10" ht="15.75" hidden="1" thickBot="1">
      <c r="F10537" s="527">
        <v>4631</v>
      </c>
      <c r="G10537" s="518" t="s">
        <v>3813</v>
      </c>
      <c r="J10537" s="635">
        <f t="shared" si="330"/>
        <v>0</v>
      </c>
    </row>
    <row r="10538" spans="6:10" ht="15.75" hidden="1" thickBot="1">
      <c r="F10538" s="527">
        <v>4632</v>
      </c>
      <c r="G10538" s="518" t="s">
        <v>3814</v>
      </c>
      <c r="J10538" s="635">
        <f t="shared" si="330"/>
        <v>0</v>
      </c>
    </row>
    <row r="10539" spans="6:10" ht="15.75" hidden="1" thickBot="1">
      <c r="F10539" s="527">
        <v>464</v>
      </c>
      <c r="G10539" s="518" t="s">
        <v>3815</v>
      </c>
      <c r="J10539" s="635">
        <f t="shared" si="330"/>
        <v>0</v>
      </c>
    </row>
    <row r="10540" spans="6:10" ht="15.75" hidden="1" thickBot="1">
      <c r="F10540" s="527">
        <v>465</v>
      </c>
      <c r="G10540" s="518" t="s">
        <v>4176</v>
      </c>
      <c r="J10540" s="635">
        <f t="shared" si="330"/>
        <v>0</v>
      </c>
    </row>
    <row r="10541" spans="6:10" ht="15.75" hidden="1" thickBot="1">
      <c r="F10541" s="527">
        <v>472</v>
      </c>
      <c r="G10541" s="518" t="s">
        <v>3819</v>
      </c>
      <c r="J10541" s="635">
        <f t="shared" si="330"/>
        <v>0</v>
      </c>
    </row>
    <row r="10542" spans="6:10" ht="15.75" hidden="1" thickBot="1">
      <c r="F10542" s="527">
        <v>481</v>
      </c>
      <c r="G10542" s="518" t="s">
        <v>4195</v>
      </c>
      <c r="J10542" s="635">
        <f t="shared" si="330"/>
        <v>0</v>
      </c>
    </row>
    <row r="10543" spans="6:10" ht="15.75" hidden="1" thickBot="1">
      <c r="F10543" s="527">
        <v>482</v>
      </c>
      <c r="G10543" s="518" t="s">
        <v>4196</v>
      </c>
      <c r="J10543" s="635">
        <f t="shared" si="330"/>
        <v>0</v>
      </c>
    </row>
    <row r="10544" spans="6:10" ht="15.75" hidden="1" thickBot="1">
      <c r="F10544" s="527">
        <v>483</v>
      </c>
      <c r="G10544" s="520" t="s">
        <v>4197</v>
      </c>
      <c r="J10544" s="635">
        <f t="shared" si="330"/>
        <v>0</v>
      </c>
    </row>
    <row r="10545" spans="6:10" ht="30.75" hidden="1" thickBot="1">
      <c r="F10545" s="527">
        <v>484</v>
      </c>
      <c r="G10545" s="518" t="s">
        <v>4198</v>
      </c>
      <c r="J10545" s="635">
        <f t="shared" si="330"/>
        <v>0</v>
      </c>
    </row>
    <row r="10546" spans="6:10" ht="30.75" hidden="1" thickBot="1">
      <c r="F10546" s="527">
        <v>485</v>
      </c>
      <c r="G10546" s="518" t="s">
        <v>4199</v>
      </c>
      <c r="J10546" s="635">
        <f t="shared" si="330"/>
        <v>0</v>
      </c>
    </row>
    <row r="10547" spans="6:10" ht="30.75" hidden="1" thickBot="1">
      <c r="F10547" s="527">
        <v>489</v>
      </c>
      <c r="G10547" s="518" t="s">
        <v>3827</v>
      </c>
      <c r="J10547" s="635">
        <f t="shared" si="330"/>
        <v>0</v>
      </c>
    </row>
    <row r="10548" spans="6:10" ht="15.75" hidden="1" thickBot="1">
      <c r="F10548" s="527">
        <v>494</v>
      </c>
      <c r="G10548" s="518" t="s">
        <v>4177</v>
      </c>
      <c r="J10548" s="635">
        <f t="shared" si="330"/>
        <v>0</v>
      </c>
    </row>
    <row r="10549" spans="6:10" ht="30.75" hidden="1" thickBot="1">
      <c r="F10549" s="527">
        <v>495</v>
      </c>
      <c r="G10549" s="518" t="s">
        <v>4178</v>
      </c>
      <c r="J10549" s="635">
        <f t="shared" si="330"/>
        <v>0</v>
      </c>
    </row>
    <row r="10550" spans="6:10" ht="30.75" hidden="1" thickBot="1">
      <c r="F10550" s="527">
        <v>496</v>
      </c>
      <c r="G10550" s="518" t="s">
        <v>4179</v>
      </c>
      <c r="J10550" s="635">
        <f t="shared" si="330"/>
        <v>0</v>
      </c>
    </row>
    <row r="10551" spans="6:10" ht="15.75" hidden="1" thickBot="1">
      <c r="F10551" s="527">
        <v>499</v>
      </c>
      <c r="G10551" s="518" t="s">
        <v>4180</v>
      </c>
      <c r="J10551" s="635">
        <f t="shared" si="330"/>
        <v>0</v>
      </c>
    </row>
    <row r="10552" spans="6:10" ht="15.75" hidden="1" thickBot="1">
      <c r="F10552" s="527">
        <v>511</v>
      </c>
      <c r="G10552" s="520" t="s">
        <v>4200</v>
      </c>
      <c r="J10552" s="635">
        <f t="shared" si="330"/>
        <v>0</v>
      </c>
    </row>
    <row r="10553" spans="6:10" ht="15.75" hidden="1" thickBot="1">
      <c r="F10553" s="527">
        <v>512</v>
      </c>
      <c r="G10553" s="520" t="s">
        <v>4201</v>
      </c>
      <c r="J10553" s="635">
        <f t="shared" si="330"/>
        <v>0</v>
      </c>
    </row>
    <row r="10554" spans="6:10" ht="15.75" hidden="1" thickBot="1">
      <c r="F10554" s="527">
        <v>513</v>
      </c>
      <c r="G10554" s="520" t="s">
        <v>4202</v>
      </c>
      <c r="J10554" s="635">
        <f t="shared" si="330"/>
        <v>0</v>
      </c>
    </row>
    <row r="10555" spans="6:10" ht="15.75" hidden="1" thickBot="1">
      <c r="F10555" s="527">
        <v>514</v>
      </c>
      <c r="G10555" s="518" t="s">
        <v>4203</v>
      </c>
      <c r="J10555" s="635">
        <f t="shared" si="330"/>
        <v>0</v>
      </c>
    </row>
    <row r="10556" spans="6:10" ht="15.75" hidden="1" thickBot="1">
      <c r="F10556" s="527">
        <v>515</v>
      </c>
      <c r="G10556" s="518" t="s">
        <v>3838</v>
      </c>
      <c r="J10556" s="635">
        <f t="shared" si="330"/>
        <v>0</v>
      </c>
    </row>
    <row r="10557" spans="6:10" ht="15.75" hidden="1" thickBot="1">
      <c r="F10557" s="527">
        <v>521</v>
      </c>
      <c r="G10557" s="518" t="s">
        <v>4204</v>
      </c>
      <c r="J10557" s="635">
        <f t="shared" si="330"/>
        <v>0</v>
      </c>
    </row>
    <row r="10558" spans="6:10" ht="15.75" hidden="1" thickBot="1">
      <c r="F10558" s="527">
        <v>522</v>
      </c>
      <c r="G10558" s="518" t="s">
        <v>4205</v>
      </c>
      <c r="J10558" s="635">
        <f t="shared" si="330"/>
        <v>0</v>
      </c>
    </row>
    <row r="10559" spans="6:10" ht="15.75" hidden="1" thickBot="1">
      <c r="F10559" s="527">
        <v>523</v>
      </c>
      <c r="G10559" s="518" t="s">
        <v>3843</v>
      </c>
      <c r="J10559" s="635">
        <f t="shared" si="330"/>
        <v>0</v>
      </c>
    </row>
    <row r="10560" spans="6:10" ht="15.75" hidden="1" thickBot="1">
      <c r="F10560" s="527">
        <v>531</v>
      </c>
      <c r="G10560" s="515" t="s">
        <v>4181</v>
      </c>
      <c r="J10560" s="635">
        <f t="shared" si="330"/>
        <v>0</v>
      </c>
    </row>
    <row r="10561" spans="5:10" ht="15.75" hidden="1" thickBot="1">
      <c r="F10561" s="527">
        <v>541</v>
      </c>
      <c r="G10561" s="518" t="s">
        <v>4206</v>
      </c>
      <c r="J10561" s="635">
        <f t="shared" si="330"/>
        <v>0</v>
      </c>
    </row>
    <row r="10562" spans="5:10" ht="15.75" hidden="1" thickBot="1">
      <c r="F10562" s="527">
        <v>542</v>
      </c>
      <c r="G10562" s="518" t="s">
        <v>4207</v>
      </c>
      <c r="J10562" s="635">
        <f t="shared" si="330"/>
        <v>0</v>
      </c>
    </row>
    <row r="10563" spans="5:10" ht="15.75" hidden="1" thickBot="1">
      <c r="F10563" s="527">
        <v>543</v>
      </c>
      <c r="G10563" s="518" t="s">
        <v>3848</v>
      </c>
      <c r="J10563" s="635">
        <f t="shared" si="330"/>
        <v>0</v>
      </c>
    </row>
    <row r="10564" spans="5:10" ht="30.75" hidden="1" thickBot="1">
      <c r="F10564" s="527">
        <v>551</v>
      </c>
      <c r="G10564" s="518" t="s">
        <v>4182</v>
      </c>
      <c r="J10564" s="635">
        <f t="shared" si="330"/>
        <v>0</v>
      </c>
    </row>
    <row r="10565" spans="5:10" ht="15.75" hidden="1" thickBot="1">
      <c r="F10565" s="528">
        <v>611</v>
      </c>
      <c r="G10565" s="526" t="s">
        <v>3854</v>
      </c>
      <c r="J10565" s="635">
        <f t="shared" si="330"/>
        <v>0</v>
      </c>
    </row>
    <row r="10566" spans="5:10" ht="15.75" hidden="1" thickBot="1">
      <c r="F10566" s="528">
        <v>620</v>
      </c>
      <c r="G10566" s="526" t="s">
        <v>88</v>
      </c>
      <c r="J10566" s="635">
        <f t="shared" si="330"/>
        <v>0</v>
      </c>
    </row>
    <row r="10567" spans="5:10" hidden="1">
      <c r="E10567" s="516"/>
      <c r="F10567" s="528"/>
      <c r="G10567" s="371" t="s">
        <v>4439</v>
      </c>
      <c r="H10567" s="636"/>
      <c r="I10567" s="662"/>
      <c r="J10567" s="637"/>
    </row>
    <row r="10568" spans="5:10" hidden="1">
      <c r="E10568" s="267"/>
      <c r="F10568" s="294" t="s">
        <v>234</v>
      </c>
      <c r="G10568" s="297" t="s">
        <v>235</v>
      </c>
      <c r="H10568" s="638">
        <f>SUM(H10507:H10566)</f>
        <v>0</v>
      </c>
      <c r="I10568" s="639"/>
      <c r="J10568" s="639">
        <f>SUM(H10568:I10568)</f>
        <v>0</v>
      </c>
    </row>
    <row r="10569" spans="5:10" hidden="1">
      <c r="F10569" s="294" t="s">
        <v>236</v>
      </c>
      <c r="G10569" s="297" t="s">
        <v>237</v>
      </c>
      <c r="J10569" s="639">
        <f t="shared" ref="J10569:J10583" si="331">SUM(H10569:I10569)</f>
        <v>0</v>
      </c>
    </row>
    <row r="10570" spans="5:10" hidden="1">
      <c r="F10570" s="294" t="s">
        <v>238</v>
      </c>
      <c r="G10570" s="297" t="s">
        <v>239</v>
      </c>
      <c r="J10570" s="639">
        <f t="shared" si="331"/>
        <v>0</v>
      </c>
    </row>
    <row r="10571" spans="5:10" ht="15.75" hidden="1" thickBot="1">
      <c r="F10571" s="294" t="s">
        <v>240</v>
      </c>
      <c r="G10571" s="297" t="s">
        <v>241</v>
      </c>
      <c r="J10571" s="639">
        <f t="shared" si="331"/>
        <v>0</v>
      </c>
    </row>
    <row r="10572" spans="5:10" ht="15.75" hidden="1" thickBot="1">
      <c r="F10572" s="294" t="s">
        <v>242</v>
      </c>
      <c r="G10572" s="297" t="s">
        <v>243</v>
      </c>
      <c r="J10572" s="639">
        <f t="shared" si="331"/>
        <v>0</v>
      </c>
    </row>
    <row r="10573" spans="5:10" ht="15.75" hidden="1" thickBot="1">
      <c r="F10573" s="294" t="s">
        <v>244</v>
      </c>
      <c r="G10573" s="297" t="s">
        <v>245</v>
      </c>
      <c r="J10573" s="639">
        <f t="shared" si="331"/>
        <v>0</v>
      </c>
    </row>
    <row r="10574" spans="5:10" ht="15.75" hidden="1" thickBot="1">
      <c r="F10574" s="294" t="s">
        <v>246</v>
      </c>
      <c r="G10574" s="683" t="s">
        <v>5121</v>
      </c>
      <c r="J10574" s="639">
        <f t="shared" si="331"/>
        <v>0</v>
      </c>
    </row>
    <row r="10575" spans="5:10" ht="15.75" hidden="1" thickBot="1">
      <c r="F10575" s="294" t="s">
        <v>247</v>
      </c>
      <c r="G10575" s="683" t="s">
        <v>5120</v>
      </c>
      <c r="J10575" s="639">
        <f t="shared" si="331"/>
        <v>0</v>
      </c>
    </row>
    <row r="10576" spans="5:10" ht="15.75" hidden="1" thickBot="1">
      <c r="F10576" s="294" t="s">
        <v>248</v>
      </c>
      <c r="G10576" s="297" t="s">
        <v>57</v>
      </c>
      <c r="J10576" s="639">
        <f t="shared" si="331"/>
        <v>0</v>
      </c>
    </row>
    <row r="10577" spans="5:10" ht="15.75" hidden="1" thickBot="1">
      <c r="F10577" s="294" t="s">
        <v>249</v>
      </c>
      <c r="G10577" s="297" t="s">
        <v>250</v>
      </c>
      <c r="J10577" s="639">
        <f t="shared" si="331"/>
        <v>0</v>
      </c>
    </row>
    <row r="10578" spans="5:10" ht="15.75" hidden="1" thickBot="1">
      <c r="F10578" s="294" t="s">
        <v>251</v>
      </c>
      <c r="G10578" s="297" t="s">
        <v>252</v>
      </c>
      <c r="J10578" s="639">
        <f t="shared" si="331"/>
        <v>0</v>
      </c>
    </row>
    <row r="10579" spans="5:10" ht="15.75" hidden="1" thickBot="1">
      <c r="F10579" s="294" t="s">
        <v>253</v>
      </c>
      <c r="G10579" s="297" t="s">
        <v>254</v>
      </c>
      <c r="J10579" s="639">
        <f t="shared" si="331"/>
        <v>0</v>
      </c>
    </row>
    <row r="10580" spans="5:10" ht="15.75" hidden="1" thickBot="1">
      <c r="F10580" s="294" t="s">
        <v>255</v>
      </c>
      <c r="G10580" s="297" t="s">
        <v>256</v>
      </c>
      <c r="J10580" s="639">
        <f t="shared" si="331"/>
        <v>0</v>
      </c>
    </row>
    <row r="10581" spans="5:10" ht="15.75" hidden="1" thickBot="1">
      <c r="F10581" s="294" t="s">
        <v>257</v>
      </c>
      <c r="G10581" s="297" t="s">
        <v>258</v>
      </c>
      <c r="J10581" s="639">
        <f t="shared" si="331"/>
        <v>0</v>
      </c>
    </row>
    <row r="10582" spans="5:10" ht="15.75" hidden="1" thickBot="1">
      <c r="F10582" s="294" t="s">
        <v>259</v>
      </c>
      <c r="G10582" s="297" t="s">
        <v>260</v>
      </c>
      <c r="J10582" s="639">
        <f t="shared" si="331"/>
        <v>0</v>
      </c>
    </row>
    <row r="10583" spans="5:10" ht="15.75" hidden="1" thickBot="1">
      <c r="F10583" s="294" t="s">
        <v>261</v>
      </c>
      <c r="G10583" s="297" t="s">
        <v>262</v>
      </c>
      <c r="H10583" s="638"/>
      <c r="I10583" s="639"/>
      <c r="J10583" s="639">
        <f t="shared" si="331"/>
        <v>0</v>
      </c>
    </row>
    <row r="10584" spans="5:10" ht="15.75" hidden="1" thickBot="1">
      <c r="G10584" s="274" t="s">
        <v>4440</v>
      </c>
      <c r="H10584" s="640">
        <f>SUM(H10568:H10583)</f>
        <v>0</v>
      </c>
      <c r="I10584" s="641">
        <f>SUM(I10569:I10583)</f>
        <v>0</v>
      </c>
      <c r="J10584" s="641">
        <f>SUM(J10568:J10583)</f>
        <v>0</v>
      </c>
    </row>
    <row r="10585" spans="5:10" hidden="1" collapsed="1">
      <c r="E10585" s="516"/>
      <c r="F10585" s="528"/>
      <c r="G10585" s="276" t="s">
        <v>5038</v>
      </c>
      <c r="H10585" s="642"/>
      <c r="I10585" s="663"/>
      <c r="J10585" s="643"/>
    </row>
    <row r="10586" spans="5:10" hidden="1">
      <c r="E10586" s="267"/>
      <c r="F10586" s="294" t="s">
        <v>234</v>
      </c>
      <c r="G10586" s="297" t="s">
        <v>235</v>
      </c>
      <c r="H10586" s="638">
        <f>SUM(H10507:H10566)</f>
        <v>0</v>
      </c>
      <c r="I10586" s="639"/>
      <c r="J10586" s="639">
        <f>SUM(H10586:I10586)</f>
        <v>0</v>
      </c>
    </row>
    <row r="10587" spans="5:10" hidden="1">
      <c r="F10587" s="294" t="s">
        <v>236</v>
      </c>
      <c r="G10587" s="297" t="s">
        <v>237</v>
      </c>
      <c r="J10587" s="639">
        <f t="shared" ref="J10587:J10601" si="332">SUM(H10587:I10587)</f>
        <v>0</v>
      </c>
    </row>
    <row r="10588" spans="5:10" hidden="1">
      <c r="F10588" s="294" t="s">
        <v>238</v>
      </c>
      <c r="G10588" s="297" t="s">
        <v>239</v>
      </c>
      <c r="J10588" s="639">
        <f t="shared" si="332"/>
        <v>0</v>
      </c>
    </row>
    <row r="10589" spans="5:10" ht="15.75" hidden="1" thickBot="1">
      <c r="F10589" s="294" t="s">
        <v>240</v>
      </c>
      <c r="G10589" s="297" t="s">
        <v>241</v>
      </c>
      <c r="J10589" s="639">
        <f t="shared" si="332"/>
        <v>0</v>
      </c>
    </row>
    <row r="10590" spans="5:10" ht="15.75" hidden="1" thickBot="1">
      <c r="F10590" s="294" t="s">
        <v>242</v>
      </c>
      <c r="G10590" s="297" t="s">
        <v>243</v>
      </c>
      <c r="J10590" s="639">
        <f t="shared" si="332"/>
        <v>0</v>
      </c>
    </row>
    <row r="10591" spans="5:10" ht="15.75" hidden="1" thickBot="1">
      <c r="F10591" s="294" t="s">
        <v>244</v>
      </c>
      <c r="G10591" s="297" t="s">
        <v>245</v>
      </c>
      <c r="J10591" s="639">
        <f t="shared" si="332"/>
        <v>0</v>
      </c>
    </row>
    <row r="10592" spans="5:10" ht="15.75" hidden="1" thickBot="1">
      <c r="F10592" s="294" t="s">
        <v>246</v>
      </c>
      <c r="G10592" s="683" t="s">
        <v>5121</v>
      </c>
      <c r="J10592" s="639">
        <f t="shared" si="332"/>
        <v>0</v>
      </c>
    </row>
    <row r="10593" spans="5:10" ht="15.75" hidden="1" thickBot="1">
      <c r="F10593" s="294" t="s">
        <v>247</v>
      </c>
      <c r="G10593" s="683" t="s">
        <v>5120</v>
      </c>
      <c r="J10593" s="639">
        <f t="shared" si="332"/>
        <v>0</v>
      </c>
    </row>
    <row r="10594" spans="5:10" ht="15.75" hidden="1" thickBot="1">
      <c r="F10594" s="294" t="s">
        <v>248</v>
      </c>
      <c r="G10594" s="297" t="s">
        <v>57</v>
      </c>
      <c r="J10594" s="639">
        <f t="shared" si="332"/>
        <v>0</v>
      </c>
    </row>
    <row r="10595" spans="5:10" ht="15.75" hidden="1" thickBot="1">
      <c r="F10595" s="294" t="s">
        <v>249</v>
      </c>
      <c r="G10595" s="297" t="s">
        <v>250</v>
      </c>
      <c r="J10595" s="639">
        <f t="shared" si="332"/>
        <v>0</v>
      </c>
    </row>
    <row r="10596" spans="5:10" ht="15.75" hidden="1" thickBot="1">
      <c r="F10596" s="294" t="s">
        <v>251</v>
      </c>
      <c r="G10596" s="297" t="s">
        <v>252</v>
      </c>
      <c r="J10596" s="639">
        <f t="shared" si="332"/>
        <v>0</v>
      </c>
    </row>
    <row r="10597" spans="5:10" ht="15.75" hidden="1" thickBot="1">
      <c r="F10597" s="294" t="s">
        <v>253</v>
      </c>
      <c r="G10597" s="297" t="s">
        <v>254</v>
      </c>
      <c r="J10597" s="639">
        <f t="shared" si="332"/>
        <v>0</v>
      </c>
    </row>
    <row r="10598" spans="5:10" ht="15.75" hidden="1" thickBot="1">
      <c r="F10598" s="294" t="s">
        <v>255</v>
      </c>
      <c r="G10598" s="297" t="s">
        <v>256</v>
      </c>
      <c r="J10598" s="639">
        <f t="shared" si="332"/>
        <v>0</v>
      </c>
    </row>
    <row r="10599" spans="5:10" ht="15.75" hidden="1" thickBot="1">
      <c r="F10599" s="294" t="s">
        <v>257</v>
      </c>
      <c r="G10599" s="297" t="s">
        <v>258</v>
      </c>
      <c r="J10599" s="639">
        <f t="shared" si="332"/>
        <v>0</v>
      </c>
    </row>
    <row r="10600" spans="5:10" ht="15.75" hidden="1" thickBot="1">
      <c r="F10600" s="294" t="s">
        <v>259</v>
      </c>
      <c r="G10600" s="297" t="s">
        <v>260</v>
      </c>
      <c r="J10600" s="639">
        <f t="shared" si="332"/>
        <v>0</v>
      </c>
    </row>
    <row r="10601" spans="5:10" ht="15.75" hidden="1" thickBot="1">
      <c r="F10601" s="294" t="s">
        <v>261</v>
      </c>
      <c r="G10601" s="297" t="s">
        <v>262</v>
      </c>
      <c r="H10601" s="638"/>
      <c r="I10601" s="639"/>
      <c r="J10601" s="639">
        <f t="shared" si="332"/>
        <v>0</v>
      </c>
    </row>
    <row r="10602" spans="5:10" ht="15.75" hidden="1" thickBot="1">
      <c r="G10602" s="274" t="s">
        <v>5025</v>
      </c>
      <c r="H10602" s="640">
        <f>SUM(H10586:H10601)</f>
        <v>0</v>
      </c>
      <c r="I10602" s="641">
        <f>SUM(I10587:I10601)</f>
        <v>0</v>
      </c>
      <c r="J10602" s="641">
        <f>SUM(J10586:J10601)</f>
        <v>0</v>
      </c>
    </row>
    <row r="10603" spans="5:10" hidden="1"/>
    <row r="10604" spans="5:10" hidden="1">
      <c r="E10604" s="516"/>
      <c r="F10604" s="528"/>
      <c r="G10604" s="295" t="s">
        <v>4329</v>
      </c>
      <c r="H10604" s="646"/>
      <c r="I10604" s="664"/>
      <c r="J10604" s="647"/>
    </row>
    <row r="10605" spans="5:10" hidden="1">
      <c r="E10605" s="267"/>
      <c r="F10605" s="294" t="s">
        <v>234</v>
      </c>
      <c r="G10605" s="297" t="s">
        <v>235</v>
      </c>
      <c r="H10605" s="638">
        <f>SUM(H10586,H10487)</f>
        <v>0</v>
      </c>
      <c r="I10605" s="639"/>
      <c r="J10605" s="639">
        <f>SUM(H10605:I10605)</f>
        <v>0</v>
      </c>
    </row>
    <row r="10606" spans="5:10" hidden="1">
      <c r="F10606" s="294" t="s">
        <v>236</v>
      </c>
      <c r="G10606" s="297" t="s">
        <v>237</v>
      </c>
      <c r="J10606" s="639">
        <f t="shared" ref="J10606:J10620" si="333">SUM(H10606:I10606)</f>
        <v>0</v>
      </c>
    </row>
    <row r="10607" spans="5:10" hidden="1">
      <c r="F10607" s="294" t="s">
        <v>238</v>
      </c>
      <c r="G10607" s="297" t="s">
        <v>239</v>
      </c>
      <c r="J10607" s="639">
        <f t="shared" si="333"/>
        <v>0</v>
      </c>
    </row>
    <row r="10608" spans="5:10" ht="15.75" hidden="1" thickBot="1">
      <c r="F10608" s="294" t="s">
        <v>240</v>
      </c>
      <c r="G10608" s="297" t="s">
        <v>241</v>
      </c>
      <c r="J10608" s="639">
        <f t="shared" si="333"/>
        <v>0</v>
      </c>
    </row>
    <row r="10609" spans="5:10" ht="15.75" hidden="1" thickBot="1">
      <c r="F10609" s="294" t="s">
        <v>242</v>
      </c>
      <c r="G10609" s="297" t="s">
        <v>243</v>
      </c>
      <c r="J10609" s="639">
        <f t="shared" si="333"/>
        <v>0</v>
      </c>
    </row>
    <row r="10610" spans="5:10" ht="15.75" hidden="1" thickBot="1">
      <c r="F10610" s="294" t="s">
        <v>244</v>
      </c>
      <c r="G10610" s="297" t="s">
        <v>245</v>
      </c>
      <c r="J10610" s="639">
        <f t="shared" si="333"/>
        <v>0</v>
      </c>
    </row>
    <row r="10611" spans="5:10" ht="15.75" hidden="1" thickBot="1">
      <c r="F10611" s="294" t="s">
        <v>246</v>
      </c>
      <c r="G10611" s="683" t="s">
        <v>5121</v>
      </c>
      <c r="J10611" s="639">
        <f t="shared" si="333"/>
        <v>0</v>
      </c>
    </row>
    <row r="10612" spans="5:10" ht="15.75" hidden="1" thickBot="1">
      <c r="F10612" s="294" t="s">
        <v>247</v>
      </c>
      <c r="G10612" s="683" t="s">
        <v>5120</v>
      </c>
      <c r="J10612" s="639">
        <f t="shared" si="333"/>
        <v>0</v>
      </c>
    </row>
    <row r="10613" spans="5:10" ht="15.75" hidden="1" thickBot="1">
      <c r="F10613" s="294" t="s">
        <v>248</v>
      </c>
      <c r="G10613" s="297" t="s">
        <v>57</v>
      </c>
      <c r="J10613" s="639">
        <f t="shared" si="333"/>
        <v>0</v>
      </c>
    </row>
    <row r="10614" spans="5:10" ht="15.75" hidden="1" thickBot="1">
      <c r="F10614" s="294" t="s">
        <v>249</v>
      </c>
      <c r="G10614" s="297" t="s">
        <v>250</v>
      </c>
      <c r="J10614" s="639">
        <f t="shared" si="333"/>
        <v>0</v>
      </c>
    </row>
    <row r="10615" spans="5:10" ht="15.75" hidden="1" thickBot="1">
      <c r="F10615" s="294" t="s">
        <v>251</v>
      </c>
      <c r="G10615" s="297" t="s">
        <v>252</v>
      </c>
      <c r="J10615" s="639">
        <f t="shared" si="333"/>
        <v>0</v>
      </c>
    </row>
    <row r="10616" spans="5:10" ht="15.75" hidden="1" thickBot="1">
      <c r="F10616" s="294" t="s">
        <v>253</v>
      </c>
      <c r="G10616" s="297" t="s">
        <v>254</v>
      </c>
      <c r="J10616" s="639">
        <f t="shared" si="333"/>
        <v>0</v>
      </c>
    </row>
    <row r="10617" spans="5:10" ht="15.75" hidden="1" thickBot="1">
      <c r="F10617" s="294" t="s">
        <v>255</v>
      </c>
      <c r="G10617" s="297" t="s">
        <v>256</v>
      </c>
      <c r="J10617" s="639">
        <f t="shared" si="333"/>
        <v>0</v>
      </c>
    </row>
    <row r="10618" spans="5:10" ht="15.75" hidden="1" thickBot="1">
      <c r="F10618" s="294" t="s">
        <v>257</v>
      </c>
      <c r="G10618" s="297" t="s">
        <v>258</v>
      </c>
      <c r="J10618" s="639">
        <f t="shared" si="333"/>
        <v>0</v>
      </c>
    </row>
    <row r="10619" spans="5:10" ht="15.75" hidden="1" thickBot="1">
      <c r="F10619" s="294" t="s">
        <v>259</v>
      </c>
      <c r="G10619" s="297" t="s">
        <v>260</v>
      </c>
      <c r="J10619" s="639">
        <f t="shared" si="333"/>
        <v>0</v>
      </c>
    </row>
    <row r="10620" spans="5:10" ht="15.75" hidden="1" thickBot="1">
      <c r="F10620" s="294" t="s">
        <v>261</v>
      </c>
      <c r="G10620" s="297" t="s">
        <v>262</v>
      </c>
      <c r="H10620" s="638"/>
      <c r="I10620" s="639"/>
      <c r="J10620" s="639">
        <f t="shared" si="333"/>
        <v>0</v>
      </c>
    </row>
    <row r="10621" spans="5:10" ht="15.75" hidden="1" thickBot="1">
      <c r="G10621" s="274" t="s">
        <v>4330</v>
      </c>
      <c r="H10621" s="640">
        <f>SUM(H10605:H10620)</f>
        <v>0</v>
      </c>
      <c r="I10621" s="641">
        <f>SUM(I10606:I10620)</f>
        <v>0</v>
      </c>
      <c r="J10621" s="641">
        <f>SUM(J10605:J10620)</f>
        <v>0</v>
      </c>
    </row>
    <row r="10622" spans="5:10" hidden="1"/>
    <row r="10623" spans="5:10" hidden="1">
      <c r="E10623" s="516"/>
      <c r="F10623" s="528"/>
      <c r="G10623" s="295" t="s">
        <v>5066</v>
      </c>
      <c r="H10623" s="646"/>
      <c r="I10623" s="664"/>
      <c r="J10623" s="647"/>
    </row>
    <row r="10624" spans="5:10" hidden="1">
      <c r="E10624" s="267"/>
      <c r="F10624" s="294" t="s">
        <v>234</v>
      </c>
      <c r="G10624" s="297" t="s">
        <v>235</v>
      </c>
      <c r="H10624" s="638">
        <f>SUM(H10605)</f>
        <v>0</v>
      </c>
      <c r="I10624" s="639"/>
      <c r="J10624" s="639">
        <f>SUM(H10624:I10624)</f>
        <v>0</v>
      </c>
    </row>
    <row r="10625" spans="6:10" hidden="1">
      <c r="F10625" s="294" t="s">
        <v>236</v>
      </c>
      <c r="G10625" s="297" t="s">
        <v>237</v>
      </c>
      <c r="J10625" s="639">
        <f t="shared" ref="J10625:J10639" si="334">SUM(H10625:I10625)</f>
        <v>0</v>
      </c>
    </row>
    <row r="10626" spans="6:10" hidden="1">
      <c r="F10626" s="294" t="s">
        <v>238</v>
      </c>
      <c r="G10626" s="297" t="s">
        <v>239</v>
      </c>
      <c r="J10626" s="639">
        <f t="shared" si="334"/>
        <v>0</v>
      </c>
    </row>
    <row r="10627" spans="6:10" ht="15.75" hidden="1" thickBot="1">
      <c r="F10627" s="294" t="s">
        <v>240</v>
      </c>
      <c r="G10627" s="297" t="s">
        <v>241</v>
      </c>
      <c r="J10627" s="639">
        <f t="shared" si="334"/>
        <v>0</v>
      </c>
    </row>
    <row r="10628" spans="6:10" ht="15.75" hidden="1" thickBot="1">
      <c r="F10628" s="294" t="s">
        <v>242</v>
      </c>
      <c r="G10628" s="297" t="s">
        <v>243</v>
      </c>
      <c r="J10628" s="639">
        <f t="shared" si="334"/>
        <v>0</v>
      </c>
    </row>
    <row r="10629" spans="6:10" ht="15.75" hidden="1" thickBot="1">
      <c r="F10629" s="294" t="s">
        <v>244</v>
      </c>
      <c r="G10629" s="297" t="s">
        <v>245</v>
      </c>
      <c r="J10629" s="639">
        <f t="shared" si="334"/>
        <v>0</v>
      </c>
    </row>
    <row r="10630" spans="6:10" ht="15.75" hidden="1" thickBot="1">
      <c r="F10630" s="294" t="s">
        <v>246</v>
      </c>
      <c r="G10630" s="683" t="s">
        <v>5121</v>
      </c>
      <c r="J10630" s="639">
        <f t="shared" si="334"/>
        <v>0</v>
      </c>
    </row>
    <row r="10631" spans="6:10" ht="15.75" hidden="1" thickBot="1">
      <c r="F10631" s="294" t="s">
        <v>247</v>
      </c>
      <c r="G10631" s="683" t="s">
        <v>5120</v>
      </c>
      <c r="J10631" s="639">
        <f t="shared" si="334"/>
        <v>0</v>
      </c>
    </row>
    <row r="10632" spans="6:10" ht="15.75" hidden="1" thickBot="1">
      <c r="F10632" s="294" t="s">
        <v>248</v>
      </c>
      <c r="G10632" s="297" t="s">
        <v>57</v>
      </c>
      <c r="J10632" s="639">
        <f t="shared" si="334"/>
        <v>0</v>
      </c>
    </row>
    <row r="10633" spans="6:10" ht="15.75" hidden="1" thickBot="1">
      <c r="F10633" s="294" t="s">
        <v>249</v>
      </c>
      <c r="G10633" s="297" t="s">
        <v>250</v>
      </c>
      <c r="J10633" s="639">
        <f t="shared" si="334"/>
        <v>0</v>
      </c>
    </row>
    <row r="10634" spans="6:10" ht="15.75" hidden="1" thickBot="1">
      <c r="F10634" s="294" t="s">
        <v>251</v>
      </c>
      <c r="G10634" s="297" t="s">
        <v>252</v>
      </c>
      <c r="J10634" s="639">
        <f t="shared" si="334"/>
        <v>0</v>
      </c>
    </row>
    <row r="10635" spans="6:10" ht="15.75" hidden="1" thickBot="1">
      <c r="F10635" s="294" t="s">
        <v>253</v>
      </c>
      <c r="G10635" s="297" t="s">
        <v>254</v>
      </c>
      <c r="J10635" s="639">
        <f t="shared" si="334"/>
        <v>0</v>
      </c>
    </row>
    <row r="10636" spans="6:10" ht="15.75" hidden="1" thickBot="1">
      <c r="F10636" s="294" t="s">
        <v>255</v>
      </c>
      <c r="G10636" s="297" t="s">
        <v>256</v>
      </c>
      <c r="J10636" s="639">
        <f t="shared" si="334"/>
        <v>0</v>
      </c>
    </row>
    <row r="10637" spans="6:10" ht="15.75" hidden="1" thickBot="1">
      <c r="F10637" s="294" t="s">
        <v>257</v>
      </c>
      <c r="G10637" s="297" t="s">
        <v>258</v>
      </c>
      <c r="J10637" s="639">
        <f t="shared" si="334"/>
        <v>0</v>
      </c>
    </row>
    <row r="10638" spans="6:10" ht="15.75" hidden="1" thickBot="1">
      <c r="F10638" s="294" t="s">
        <v>259</v>
      </c>
      <c r="G10638" s="297" t="s">
        <v>260</v>
      </c>
      <c r="J10638" s="639">
        <f t="shared" si="334"/>
        <v>0</v>
      </c>
    </row>
    <row r="10639" spans="6:10" ht="15.75" hidden="1" thickBot="1">
      <c r="F10639" s="294" t="s">
        <v>261</v>
      </c>
      <c r="G10639" s="297" t="s">
        <v>262</v>
      </c>
      <c r="H10639" s="638"/>
      <c r="I10639" s="639"/>
      <c r="J10639" s="639">
        <f t="shared" si="334"/>
        <v>0</v>
      </c>
    </row>
    <row r="10640" spans="6:10" ht="15.75" hidden="1" thickBot="1">
      <c r="G10640" s="274" t="s">
        <v>5067</v>
      </c>
      <c r="H10640" s="640">
        <f>SUM(H10624:H10639)</f>
        <v>0</v>
      </c>
      <c r="I10640" s="641">
        <f>SUM(I10625:I10639)</f>
        <v>0</v>
      </c>
      <c r="J10640" s="641">
        <f>SUM(J10624:J10639)</f>
        <v>0</v>
      </c>
    </row>
    <row r="10641" spans="1:10" hidden="1"/>
    <row r="10642" spans="1:10" hidden="1">
      <c r="A10642" s="505">
        <v>4</v>
      </c>
      <c r="B10642" s="506" t="s">
        <v>4345</v>
      </c>
      <c r="C10642" s="505" t="s">
        <v>4015</v>
      </c>
      <c r="D10642" s="507"/>
      <c r="E10642" s="508"/>
      <c r="F10642" s="508"/>
      <c r="G10642" s="509" t="s">
        <v>4326</v>
      </c>
      <c r="H10642" s="672"/>
      <c r="I10642" s="673"/>
      <c r="J10642" s="658"/>
    </row>
    <row r="10643" spans="1:10" ht="16.5" hidden="1" customHeight="1">
      <c r="C10643" s="273" t="s">
        <v>3594</v>
      </c>
      <c r="G10643" s="517" t="s">
        <v>4321</v>
      </c>
    </row>
    <row r="10644" spans="1:10" hidden="1">
      <c r="C10644" s="273" t="s">
        <v>4129</v>
      </c>
      <c r="D10644" s="264"/>
      <c r="G10644" s="517" t="s">
        <v>4322</v>
      </c>
    </row>
    <row r="10645" spans="1:10" hidden="1">
      <c r="C10645" s="273"/>
      <c r="D10645" s="357">
        <v>820</v>
      </c>
      <c r="E10645" s="357"/>
      <c r="F10645" s="357"/>
      <c r="G10645" s="358" t="s">
        <v>207</v>
      </c>
    </row>
    <row r="10646" spans="1:10" hidden="1">
      <c r="F10646" s="527">
        <v>411</v>
      </c>
      <c r="G10646" s="518" t="s">
        <v>4173</v>
      </c>
      <c r="J10646" s="635">
        <f>SUM(H10646:I10646)</f>
        <v>0</v>
      </c>
    </row>
    <row r="10647" spans="1:10" hidden="1">
      <c r="F10647" s="527">
        <v>412</v>
      </c>
      <c r="G10647" s="515" t="s">
        <v>3770</v>
      </c>
      <c r="J10647" s="635">
        <f t="shared" ref="J10647:J10705" si="335">SUM(H10647:I10647)</f>
        <v>0</v>
      </c>
    </row>
    <row r="10648" spans="1:10" hidden="1">
      <c r="F10648" s="527">
        <v>413</v>
      </c>
      <c r="G10648" s="518" t="s">
        <v>4174</v>
      </c>
      <c r="J10648" s="635">
        <f t="shared" si="335"/>
        <v>0</v>
      </c>
    </row>
    <row r="10649" spans="1:10" hidden="1">
      <c r="F10649" s="527">
        <v>414</v>
      </c>
      <c r="G10649" s="518" t="s">
        <v>3773</v>
      </c>
      <c r="J10649" s="635">
        <f t="shared" si="335"/>
        <v>0</v>
      </c>
    </row>
    <row r="10650" spans="1:10" hidden="1">
      <c r="F10650" s="527">
        <v>415</v>
      </c>
      <c r="G10650" s="518" t="s">
        <v>4183</v>
      </c>
      <c r="J10650" s="635">
        <f t="shared" si="335"/>
        <v>0</v>
      </c>
    </row>
    <row r="10651" spans="1:10" hidden="1">
      <c r="F10651" s="527">
        <v>416</v>
      </c>
      <c r="G10651" s="518" t="s">
        <v>4184</v>
      </c>
      <c r="J10651" s="635">
        <f t="shared" si="335"/>
        <v>0</v>
      </c>
    </row>
    <row r="10652" spans="1:10" hidden="1">
      <c r="F10652" s="527">
        <v>417</v>
      </c>
      <c r="G10652" s="518" t="s">
        <v>4185</v>
      </c>
      <c r="J10652" s="635">
        <f t="shared" si="335"/>
        <v>0</v>
      </c>
    </row>
    <row r="10653" spans="1:10" hidden="1">
      <c r="F10653" s="527">
        <v>418</v>
      </c>
      <c r="G10653" s="518" t="s">
        <v>3779</v>
      </c>
      <c r="J10653" s="635">
        <f t="shared" si="335"/>
        <v>0</v>
      </c>
    </row>
    <row r="10654" spans="1:10" hidden="1">
      <c r="F10654" s="527">
        <v>421</v>
      </c>
      <c r="G10654" s="518" t="s">
        <v>3783</v>
      </c>
      <c r="J10654" s="635">
        <f t="shared" si="335"/>
        <v>0</v>
      </c>
    </row>
    <row r="10655" spans="1:10" hidden="1">
      <c r="F10655" s="527">
        <v>422</v>
      </c>
      <c r="G10655" s="518" t="s">
        <v>3784</v>
      </c>
      <c r="J10655" s="635">
        <f t="shared" si="335"/>
        <v>0</v>
      </c>
    </row>
    <row r="10656" spans="1:10" hidden="1">
      <c r="F10656" s="527">
        <v>423</v>
      </c>
      <c r="G10656" s="518" t="s">
        <v>3785</v>
      </c>
      <c r="J10656" s="635">
        <f t="shared" si="335"/>
        <v>0</v>
      </c>
    </row>
    <row r="10657" spans="6:10" hidden="1">
      <c r="F10657" s="527">
        <v>424</v>
      </c>
      <c r="G10657" s="518" t="s">
        <v>3787</v>
      </c>
      <c r="J10657" s="635">
        <f t="shared" si="335"/>
        <v>0</v>
      </c>
    </row>
    <row r="10658" spans="6:10" hidden="1">
      <c r="F10658" s="527">
        <v>425</v>
      </c>
      <c r="G10658" s="518" t="s">
        <v>4186</v>
      </c>
      <c r="J10658" s="635">
        <f t="shared" si="335"/>
        <v>0</v>
      </c>
    </row>
    <row r="10659" spans="6:10" hidden="1">
      <c r="F10659" s="527">
        <v>426</v>
      </c>
      <c r="G10659" s="518" t="s">
        <v>3791</v>
      </c>
      <c r="J10659" s="635">
        <f t="shared" si="335"/>
        <v>0</v>
      </c>
    </row>
    <row r="10660" spans="6:10" hidden="1">
      <c r="F10660" s="527">
        <v>431</v>
      </c>
      <c r="G10660" s="518" t="s">
        <v>4187</v>
      </c>
      <c r="J10660" s="635">
        <f t="shared" si="335"/>
        <v>0</v>
      </c>
    </row>
    <row r="10661" spans="6:10" hidden="1">
      <c r="F10661" s="527">
        <v>432</v>
      </c>
      <c r="G10661" s="518" t="s">
        <v>4188</v>
      </c>
      <c r="J10661" s="635">
        <f t="shared" si="335"/>
        <v>0</v>
      </c>
    </row>
    <row r="10662" spans="6:10" hidden="1">
      <c r="F10662" s="527">
        <v>433</v>
      </c>
      <c r="G10662" s="518" t="s">
        <v>4189</v>
      </c>
      <c r="J10662" s="635">
        <f t="shared" si="335"/>
        <v>0</v>
      </c>
    </row>
    <row r="10663" spans="6:10" hidden="1">
      <c r="F10663" s="527">
        <v>434</v>
      </c>
      <c r="G10663" s="518" t="s">
        <v>4190</v>
      </c>
      <c r="J10663" s="635">
        <f t="shared" si="335"/>
        <v>0</v>
      </c>
    </row>
    <row r="10664" spans="6:10" hidden="1">
      <c r="F10664" s="527">
        <v>435</v>
      </c>
      <c r="G10664" s="518" t="s">
        <v>3798</v>
      </c>
      <c r="J10664" s="635">
        <f t="shared" si="335"/>
        <v>0</v>
      </c>
    </row>
    <row r="10665" spans="6:10" hidden="1">
      <c r="F10665" s="527">
        <v>441</v>
      </c>
      <c r="G10665" s="518" t="s">
        <v>4191</v>
      </c>
      <c r="J10665" s="635">
        <f t="shared" si="335"/>
        <v>0</v>
      </c>
    </row>
    <row r="10666" spans="6:10" hidden="1">
      <c r="F10666" s="527">
        <v>442</v>
      </c>
      <c r="G10666" s="518" t="s">
        <v>4192</v>
      </c>
      <c r="J10666" s="635">
        <f t="shared" si="335"/>
        <v>0</v>
      </c>
    </row>
    <row r="10667" spans="6:10" hidden="1">
      <c r="F10667" s="527">
        <v>443</v>
      </c>
      <c r="G10667" s="518" t="s">
        <v>3803</v>
      </c>
      <c r="J10667" s="635">
        <f t="shared" si="335"/>
        <v>0</v>
      </c>
    </row>
    <row r="10668" spans="6:10" hidden="1">
      <c r="F10668" s="527">
        <v>444</v>
      </c>
      <c r="G10668" s="518" t="s">
        <v>3804</v>
      </c>
      <c r="J10668" s="635">
        <f t="shared" si="335"/>
        <v>0</v>
      </c>
    </row>
    <row r="10669" spans="6:10" ht="30" hidden="1">
      <c r="F10669" s="527">
        <v>4511</v>
      </c>
      <c r="G10669" s="268" t="s">
        <v>1690</v>
      </c>
      <c r="J10669" s="635">
        <f t="shared" si="335"/>
        <v>0</v>
      </c>
    </row>
    <row r="10670" spans="6:10" ht="19.5" hidden="1" customHeight="1">
      <c r="F10670" s="527">
        <v>4512</v>
      </c>
      <c r="G10670" s="268" t="s">
        <v>1699</v>
      </c>
      <c r="J10670" s="635">
        <f t="shared" si="335"/>
        <v>0</v>
      </c>
    </row>
    <row r="10671" spans="6:10" hidden="1">
      <c r="F10671" s="527">
        <v>452</v>
      </c>
      <c r="G10671" s="518" t="s">
        <v>4193</v>
      </c>
      <c r="J10671" s="635">
        <f t="shared" si="335"/>
        <v>0</v>
      </c>
    </row>
    <row r="10672" spans="6:10" hidden="1">
      <c r="F10672" s="527">
        <v>453</v>
      </c>
      <c r="G10672" s="518" t="s">
        <v>4194</v>
      </c>
      <c r="J10672" s="635">
        <f t="shared" si="335"/>
        <v>0</v>
      </c>
    </row>
    <row r="10673" spans="6:10" hidden="1">
      <c r="F10673" s="527">
        <v>454</v>
      </c>
      <c r="G10673" s="518" t="s">
        <v>3809</v>
      </c>
      <c r="J10673" s="635">
        <f t="shared" si="335"/>
        <v>0</v>
      </c>
    </row>
    <row r="10674" spans="6:10" hidden="1">
      <c r="F10674" s="527">
        <v>461</v>
      </c>
      <c r="G10674" s="518" t="s">
        <v>4175</v>
      </c>
      <c r="J10674" s="635">
        <f t="shared" si="335"/>
        <v>0</v>
      </c>
    </row>
    <row r="10675" spans="6:10" hidden="1">
      <c r="F10675" s="527">
        <v>462</v>
      </c>
      <c r="G10675" s="518" t="s">
        <v>3812</v>
      </c>
      <c r="J10675" s="635">
        <f t="shared" si="335"/>
        <v>0</v>
      </c>
    </row>
    <row r="10676" spans="6:10" hidden="1">
      <c r="F10676" s="527">
        <v>4631</v>
      </c>
      <c r="G10676" s="518" t="s">
        <v>3813</v>
      </c>
      <c r="J10676" s="635">
        <f t="shared" si="335"/>
        <v>0</v>
      </c>
    </row>
    <row r="10677" spans="6:10" hidden="1">
      <c r="F10677" s="527">
        <v>4632</v>
      </c>
      <c r="G10677" s="518" t="s">
        <v>3814</v>
      </c>
      <c r="J10677" s="635">
        <f t="shared" si="335"/>
        <v>0</v>
      </c>
    </row>
    <row r="10678" spans="6:10" hidden="1">
      <c r="F10678" s="527">
        <v>464</v>
      </c>
      <c r="G10678" s="518" t="s">
        <v>3815</v>
      </c>
      <c r="J10678" s="635">
        <f t="shared" si="335"/>
        <v>0</v>
      </c>
    </row>
    <row r="10679" spans="6:10" hidden="1">
      <c r="F10679" s="527">
        <v>465</v>
      </c>
      <c r="G10679" s="518" t="s">
        <v>4176</v>
      </c>
      <c r="J10679" s="635">
        <f t="shared" si="335"/>
        <v>0</v>
      </c>
    </row>
    <row r="10680" spans="6:10" hidden="1">
      <c r="F10680" s="527">
        <v>472</v>
      </c>
      <c r="G10680" s="518" t="s">
        <v>3819</v>
      </c>
      <c r="J10680" s="635">
        <f t="shared" si="335"/>
        <v>0</v>
      </c>
    </row>
    <row r="10681" spans="6:10" hidden="1">
      <c r="F10681" s="527">
        <v>481</v>
      </c>
      <c r="G10681" s="518" t="s">
        <v>4195</v>
      </c>
      <c r="J10681" s="635">
        <f t="shared" si="335"/>
        <v>0</v>
      </c>
    </row>
    <row r="10682" spans="6:10" hidden="1">
      <c r="F10682" s="527">
        <v>482</v>
      </c>
      <c r="G10682" s="518" t="s">
        <v>4196</v>
      </c>
      <c r="J10682" s="635">
        <f t="shared" si="335"/>
        <v>0</v>
      </c>
    </row>
    <row r="10683" spans="6:10" hidden="1">
      <c r="F10683" s="527">
        <v>483</v>
      </c>
      <c r="G10683" s="520" t="s">
        <v>4197</v>
      </c>
      <c r="J10683" s="635">
        <f t="shared" si="335"/>
        <v>0</v>
      </c>
    </row>
    <row r="10684" spans="6:10" ht="30" hidden="1">
      <c r="F10684" s="527">
        <v>484</v>
      </c>
      <c r="G10684" s="518" t="s">
        <v>4198</v>
      </c>
      <c r="J10684" s="635">
        <f t="shared" si="335"/>
        <v>0</v>
      </c>
    </row>
    <row r="10685" spans="6:10" ht="30" hidden="1">
      <c r="F10685" s="527">
        <v>485</v>
      </c>
      <c r="G10685" s="518" t="s">
        <v>4199</v>
      </c>
      <c r="J10685" s="635">
        <f t="shared" si="335"/>
        <v>0</v>
      </c>
    </row>
    <row r="10686" spans="6:10" ht="30" hidden="1">
      <c r="F10686" s="527">
        <v>489</v>
      </c>
      <c r="G10686" s="518" t="s">
        <v>3827</v>
      </c>
      <c r="J10686" s="635">
        <f t="shared" si="335"/>
        <v>0</v>
      </c>
    </row>
    <row r="10687" spans="6:10" hidden="1">
      <c r="F10687" s="527">
        <v>494</v>
      </c>
      <c r="G10687" s="518" t="s">
        <v>4177</v>
      </c>
      <c r="J10687" s="635">
        <f t="shared" si="335"/>
        <v>0</v>
      </c>
    </row>
    <row r="10688" spans="6:10" ht="30" hidden="1">
      <c r="F10688" s="527">
        <v>495</v>
      </c>
      <c r="G10688" s="518" t="s">
        <v>4178</v>
      </c>
      <c r="J10688" s="635">
        <f t="shared" si="335"/>
        <v>0</v>
      </c>
    </row>
    <row r="10689" spans="6:10" ht="30" hidden="1">
      <c r="F10689" s="527">
        <v>496</v>
      </c>
      <c r="G10689" s="518" t="s">
        <v>4179</v>
      </c>
      <c r="J10689" s="635">
        <f t="shared" si="335"/>
        <v>0</v>
      </c>
    </row>
    <row r="10690" spans="6:10" hidden="1">
      <c r="F10690" s="527">
        <v>499</v>
      </c>
      <c r="G10690" s="518" t="s">
        <v>4180</v>
      </c>
      <c r="J10690" s="635">
        <f t="shared" si="335"/>
        <v>0</v>
      </c>
    </row>
    <row r="10691" spans="6:10" hidden="1">
      <c r="F10691" s="527">
        <v>511</v>
      </c>
      <c r="G10691" s="520" t="s">
        <v>4200</v>
      </c>
      <c r="J10691" s="635">
        <f t="shared" si="335"/>
        <v>0</v>
      </c>
    </row>
    <row r="10692" spans="6:10" ht="15.75" hidden="1" thickBot="1">
      <c r="F10692" s="527">
        <v>512</v>
      </c>
      <c r="G10692" s="520" t="s">
        <v>4201</v>
      </c>
      <c r="J10692" s="635">
        <f t="shared" si="335"/>
        <v>0</v>
      </c>
    </row>
    <row r="10693" spans="6:10" ht="15.75" hidden="1" thickBot="1">
      <c r="F10693" s="527">
        <v>513</v>
      </c>
      <c r="G10693" s="520" t="s">
        <v>4202</v>
      </c>
      <c r="J10693" s="635">
        <f t="shared" si="335"/>
        <v>0</v>
      </c>
    </row>
    <row r="10694" spans="6:10" ht="15.75" hidden="1" thickBot="1">
      <c r="F10694" s="527">
        <v>514</v>
      </c>
      <c r="G10694" s="518" t="s">
        <v>4203</v>
      </c>
      <c r="J10694" s="635">
        <f t="shared" si="335"/>
        <v>0</v>
      </c>
    </row>
    <row r="10695" spans="6:10" ht="15.75" hidden="1" thickBot="1">
      <c r="F10695" s="527">
        <v>515</v>
      </c>
      <c r="G10695" s="518" t="s">
        <v>3838</v>
      </c>
      <c r="J10695" s="635">
        <f t="shared" si="335"/>
        <v>0</v>
      </c>
    </row>
    <row r="10696" spans="6:10" ht="15.75" hidden="1" thickBot="1">
      <c r="F10696" s="527">
        <v>521</v>
      </c>
      <c r="G10696" s="518" t="s">
        <v>4204</v>
      </c>
      <c r="J10696" s="635">
        <f t="shared" si="335"/>
        <v>0</v>
      </c>
    </row>
    <row r="10697" spans="6:10" ht="15.75" hidden="1" thickBot="1">
      <c r="F10697" s="527">
        <v>522</v>
      </c>
      <c r="G10697" s="518" t="s">
        <v>4205</v>
      </c>
      <c r="J10697" s="635">
        <f t="shared" si="335"/>
        <v>0</v>
      </c>
    </row>
    <row r="10698" spans="6:10" ht="15.75" hidden="1" thickBot="1">
      <c r="F10698" s="527">
        <v>523</v>
      </c>
      <c r="G10698" s="518" t="s">
        <v>3843</v>
      </c>
      <c r="J10698" s="635">
        <f t="shared" si="335"/>
        <v>0</v>
      </c>
    </row>
    <row r="10699" spans="6:10" ht="15.75" hidden="1" thickBot="1">
      <c r="F10699" s="527">
        <v>531</v>
      </c>
      <c r="G10699" s="515" t="s">
        <v>4181</v>
      </c>
      <c r="J10699" s="635">
        <f t="shared" si="335"/>
        <v>0</v>
      </c>
    </row>
    <row r="10700" spans="6:10" ht="15.75" hidden="1" thickBot="1">
      <c r="F10700" s="527">
        <v>541</v>
      </c>
      <c r="G10700" s="518" t="s">
        <v>4206</v>
      </c>
      <c r="J10700" s="635">
        <f t="shared" si="335"/>
        <v>0</v>
      </c>
    </row>
    <row r="10701" spans="6:10" ht="15.75" hidden="1" thickBot="1">
      <c r="F10701" s="527">
        <v>542</v>
      </c>
      <c r="G10701" s="518" t="s">
        <v>4207</v>
      </c>
      <c r="J10701" s="635">
        <f t="shared" si="335"/>
        <v>0</v>
      </c>
    </row>
    <row r="10702" spans="6:10" ht="15.75" hidden="1" thickBot="1">
      <c r="F10702" s="527">
        <v>543</v>
      </c>
      <c r="G10702" s="518" t="s">
        <v>3848</v>
      </c>
      <c r="J10702" s="635">
        <f t="shared" si="335"/>
        <v>0</v>
      </c>
    </row>
    <row r="10703" spans="6:10" ht="30.75" hidden="1" thickBot="1">
      <c r="F10703" s="527">
        <v>551</v>
      </c>
      <c r="G10703" s="518" t="s">
        <v>4182</v>
      </c>
      <c r="J10703" s="635">
        <f t="shared" si="335"/>
        <v>0</v>
      </c>
    </row>
    <row r="10704" spans="6:10" ht="15.75" hidden="1" thickBot="1">
      <c r="F10704" s="528">
        <v>611</v>
      </c>
      <c r="G10704" s="526" t="s">
        <v>3854</v>
      </c>
      <c r="J10704" s="635">
        <f t="shared" si="335"/>
        <v>0</v>
      </c>
    </row>
    <row r="10705" spans="5:10" ht="15.75" hidden="1" thickBot="1">
      <c r="F10705" s="528">
        <v>620</v>
      </c>
      <c r="G10705" s="526" t="s">
        <v>88</v>
      </c>
      <c r="J10705" s="635">
        <f t="shared" si="335"/>
        <v>0</v>
      </c>
    </row>
    <row r="10706" spans="5:10" hidden="1">
      <c r="E10706" s="516"/>
      <c r="F10706" s="528"/>
      <c r="G10706" s="372" t="s">
        <v>4439</v>
      </c>
      <c r="H10706" s="636"/>
      <c r="I10706" s="662"/>
      <c r="J10706" s="637"/>
    </row>
    <row r="10707" spans="5:10" hidden="1">
      <c r="E10707" s="267"/>
      <c r="F10707" s="294" t="s">
        <v>234</v>
      </c>
      <c r="G10707" s="297" t="s">
        <v>235</v>
      </c>
      <c r="H10707" s="638">
        <f>SUM(H10646:H10705)</f>
        <v>0</v>
      </c>
      <c r="I10707" s="639"/>
      <c r="J10707" s="639">
        <f t="shared" ref="J10707:J10722" si="336">SUM(H10707:I10707)</f>
        <v>0</v>
      </c>
    </row>
    <row r="10708" spans="5:10" hidden="1">
      <c r="F10708" s="294" t="s">
        <v>236</v>
      </c>
      <c r="G10708" s="297" t="s">
        <v>237</v>
      </c>
      <c r="J10708" s="639">
        <f t="shared" si="336"/>
        <v>0</v>
      </c>
    </row>
    <row r="10709" spans="5:10" hidden="1">
      <c r="F10709" s="294" t="s">
        <v>238</v>
      </c>
      <c r="G10709" s="297" t="s">
        <v>239</v>
      </c>
      <c r="J10709" s="639">
        <f t="shared" si="336"/>
        <v>0</v>
      </c>
    </row>
    <row r="10710" spans="5:10" ht="15.75" hidden="1" thickBot="1">
      <c r="F10710" s="294" t="s">
        <v>240</v>
      </c>
      <c r="G10710" s="297" t="s">
        <v>241</v>
      </c>
      <c r="J10710" s="639">
        <f t="shared" si="336"/>
        <v>0</v>
      </c>
    </row>
    <row r="10711" spans="5:10" ht="15.75" hidden="1" thickBot="1">
      <c r="F10711" s="294" t="s">
        <v>242</v>
      </c>
      <c r="G10711" s="297" t="s">
        <v>243</v>
      </c>
      <c r="J10711" s="639">
        <f t="shared" si="336"/>
        <v>0</v>
      </c>
    </row>
    <row r="10712" spans="5:10" ht="15.75" hidden="1" thickBot="1">
      <c r="F10712" s="294" t="s">
        <v>244</v>
      </c>
      <c r="G10712" s="297" t="s">
        <v>245</v>
      </c>
      <c r="J10712" s="639">
        <f t="shared" si="336"/>
        <v>0</v>
      </c>
    </row>
    <row r="10713" spans="5:10" ht="15.75" hidden="1" thickBot="1">
      <c r="F10713" s="294" t="s">
        <v>246</v>
      </c>
      <c r="G10713" s="683" t="s">
        <v>5121</v>
      </c>
      <c r="J10713" s="639">
        <f t="shared" si="336"/>
        <v>0</v>
      </c>
    </row>
    <row r="10714" spans="5:10" ht="15.75" hidden="1" thickBot="1">
      <c r="F10714" s="294" t="s">
        <v>247</v>
      </c>
      <c r="G10714" s="683" t="s">
        <v>5120</v>
      </c>
      <c r="J10714" s="639">
        <f t="shared" si="336"/>
        <v>0</v>
      </c>
    </row>
    <row r="10715" spans="5:10" ht="15.75" hidden="1" thickBot="1">
      <c r="F10715" s="294" t="s">
        <v>248</v>
      </c>
      <c r="G10715" s="297" t="s">
        <v>57</v>
      </c>
      <c r="J10715" s="639">
        <f t="shared" si="336"/>
        <v>0</v>
      </c>
    </row>
    <row r="10716" spans="5:10" ht="15.75" hidden="1" thickBot="1">
      <c r="F10716" s="294" t="s">
        <v>249</v>
      </c>
      <c r="G10716" s="297" t="s">
        <v>250</v>
      </c>
      <c r="J10716" s="639">
        <f t="shared" si="336"/>
        <v>0</v>
      </c>
    </row>
    <row r="10717" spans="5:10" ht="15.75" hidden="1" thickBot="1">
      <c r="F10717" s="294" t="s">
        <v>251</v>
      </c>
      <c r="G10717" s="297" t="s">
        <v>252</v>
      </c>
      <c r="J10717" s="639">
        <f t="shared" si="336"/>
        <v>0</v>
      </c>
    </row>
    <row r="10718" spans="5:10" ht="15.75" hidden="1" thickBot="1">
      <c r="F10718" s="294" t="s">
        <v>253</v>
      </c>
      <c r="G10718" s="297" t="s">
        <v>254</v>
      </c>
      <c r="J10718" s="639">
        <f t="shared" si="336"/>
        <v>0</v>
      </c>
    </row>
    <row r="10719" spans="5:10" ht="15.75" hidden="1" thickBot="1">
      <c r="F10719" s="294" t="s">
        <v>255</v>
      </c>
      <c r="G10719" s="297" t="s">
        <v>256</v>
      </c>
      <c r="J10719" s="639">
        <f t="shared" si="336"/>
        <v>0</v>
      </c>
    </row>
    <row r="10720" spans="5:10" ht="15.75" hidden="1" thickBot="1">
      <c r="F10720" s="294" t="s">
        <v>257</v>
      </c>
      <c r="G10720" s="297" t="s">
        <v>258</v>
      </c>
      <c r="J10720" s="639">
        <f t="shared" si="336"/>
        <v>0</v>
      </c>
    </row>
    <row r="10721" spans="5:10" ht="15.75" hidden="1" thickBot="1">
      <c r="F10721" s="294" t="s">
        <v>259</v>
      </c>
      <c r="G10721" s="297" t="s">
        <v>260</v>
      </c>
      <c r="J10721" s="639">
        <f t="shared" si="336"/>
        <v>0</v>
      </c>
    </row>
    <row r="10722" spans="5:10" ht="15.75" hidden="1" thickBot="1">
      <c r="F10722" s="294" t="s">
        <v>261</v>
      </c>
      <c r="G10722" s="297" t="s">
        <v>262</v>
      </c>
      <c r="H10722" s="638"/>
      <c r="I10722" s="639"/>
      <c r="J10722" s="639">
        <f t="shared" si="336"/>
        <v>0</v>
      </c>
    </row>
    <row r="10723" spans="5:10" ht="15.75" hidden="1" thickBot="1">
      <c r="G10723" s="274" t="s">
        <v>4440</v>
      </c>
      <c r="H10723" s="640">
        <f>SUM(H10707:H10722)</f>
        <v>0</v>
      </c>
      <c r="I10723" s="641">
        <f>SUM(I10708:I10722)</f>
        <v>0</v>
      </c>
      <c r="J10723" s="641">
        <f>SUM(J10707:J10722)</f>
        <v>0</v>
      </c>
    </row>
    <row r="10724" spans="5:10" hidden="1" collapsed="1">
      <c r="E10724" s="516"/>
      <c r="F10724" s="528"/>
      <c r="G10724" s="276" t="s">
        <v>4441</v>
      </c>
      <c r="H10724" s="642"/>
      <c r="I10724" s="663"/>
      <c r="J10724" s="643"/>
    </row>
    <row r="10725" spans="5:10" hidden="1">
      <c r="E10725" s="267"/>
      <c r="F10725" s="294" t="s">
        <v>234</v>
      </c>
      <c r="G10725" s="297" t="s">
        <v>235</v>
      </c>
      <c r="H10725" s="638">
        <f>SUM(H10646:H10705)</f>
        <v>0</v>
      </c>
      <c r="I10725" s="639"/>
      <c r="J10725" s="639">
        <f>SUM(H10725:I10725)</f>
        <v>0</v>
      </c>
    </row>
    <row r="10726" spans="5:10" hidden="1">
      <c r="F10726" s="294" t="s">
        <v>236</v>
      </c>
      <c r="G10726" s="297" t="s">
        <v>237</v>
      </c>
      <c r="J10726" s="639">
        <f t="shared" ref="J10726:J10740" si="337">SUM(H10726:I10726)</f>
        <v>0</v>
      </c>
    </row>
    <row r="10727" spans="5:10" hidden="1">
      <c r="F10727" s="294" t="s">
        <v>238</v>
      </c>
      <c r="G10727" s="297" t="s">
        <v>239</v>
      </c>
      <c r="J10727" s="639">
        <f t="shared" si="337"/>
        <v>0</v>
      </c>
    </row>
    <row r="10728" spans="5:10" ht="15.75" hidden="1" thickBot="1">
      <c r="F10728" s="294" t="s">
        <v>240</v>
      </c>
      <c r="G10728" s="297" t="s">
        <v>241</v>
      </c>
      <c r="J10728" s="639">
        <f t="shared" si="337"/>
        <v>0</v>
      </c>
    </row>
    <row r="10729" spans="5:10" ht="15.75" hidden="1" thickBot="1">
      <c r="F10729" s="294" t="s">
        <v>242</v>
      </c>
      <c r="G10729" s="297" t="s">
        <v>243</v>
      </c>
      <c r="J10729" s="639">
        <f t="shared" si="337"/>
        <v>0</v>
      </c>
    </row>
    <row r="10730" spans="5:10" ht="15.75" hidden="1" thickBot="1">
      <c r="F10730" s="294" t="s">
        <v>244</v>
      </c>
      <c r="G10730" s="297" t="s">
        <v>245</v>
      </c>
      <c r="J10730" s="639">
        <f t="shared" si="337"/>
        <v>0</v>
      </c>
    </row>
    <row r="10731" spans="5:10" ht="15.75" hidden="1" thickBot="1">
      <c r="F10731" s="294" t="s">
        <v>246</v>
      </c>
      <c r="G10731" s="683" t="s">
        <v>5121</v>
      </c>
      <c r="J10731" s="639">
        <f t="shared" si="337"/>
        <v>0</v>
      </c>
    </row>
    <row r="10732" spans="5:10" ht="15.75" hidden="1" thickBot="1">
      <c r="F10732" s="294" t="s">
        <v>247</v>
      </c>
      <c r="G10732" s="683" t="s">
        <v>5120</v>
      </c>
      <c r="J10732" s="639">
        <f t="shared" si="337"/>
        <v>0</v>
      </c>
    </row>
    <row r="10733" spans="5:10" ht="15.75" hidden="1" thickBot="1">
      <c r="F10733" s="294" t="s">
        <v>248</v>
      </c>
      <c r="G10733" s="297" t="s">
        <v>57</v>
      </c>
      <c r="J10733" s="639">
        <f t="shared" si="337"/>
        <v>0</v>
      </c>
    </row>
    <row r="10734" spans="5:10" ht="15.75" hidden="1" thickBot="1">
      <c r="F10734" s="294" t="s">
        <v>249</v>
      </c>
      <c r="G10734" s="297" t="s">
        <v>250</v>
      </c>
      <c r="J10734" s="639">
        <f t="shared" si="337"/>
        <v>0</v>
      </c>
    </row>
    <row r="10735" spans="5:10" ht="15.75" hidden="1" thickBot="1">
      <c r="F10735" s="294" t="s">
        <v>251</v>
      </c>
      <c r="G10735" s="297" t="s">
        <v>252</v>
      </c>
      <c r="J10735" s="639">
        <f t="shared" si="337"/>
        <v>0</v>
      </c>
    </row>
    <row r="10736" spans="5:10" ht="15.75" hidden="1" thickBot="1">
      <c r="F10736" s="294" t="s">
        <v>253</v>
      </c>
      <c r="G10736" s="297" t="s">
        <v>254</v>
      </c>
      <c r="J10736" s="639">
        <f t="shared" si="337"/>
        <v>0</v>
      </c>
    </row>
    <row r="10737" spans="3:10" ht="15.75" hidden="1" thickBot="1">
      <c r="F10737" s="294" t="s">
        <v>255</v>
      </c>
      <c r="G10737" s="297" t="s">
        <v>256</v>
      </c>
      <c r="J10737" s="639">
        <f t="shared" si="337"/>
        <v>0</v>
      </c>
    </row>
    <row r="10738" spans="3:10" ht="15.75" hidden="1" thickBot="1">
      <c r="F10738" s="294" t="s">
        <v>257</v>
      </c>
      <c r="G10738" s="297" t="s">
        <v>258</v>
      </c>
      <c r="J10738" s="639">
        <f t="shared" si="337"/>
        <v>0</v>
      </c>
    </row>
    <row r="10739" spans="3:10" ht="15.75" hidden="1" thickBot="1">
      <c r="F10739" s="294" t="s">
        <v>259</v>
      </c>
      <c r="G10739" s="297" t="s">
        <v>260</v>
      </c>
      <c r="J10739" s="639">
        <f t="shared" si="337"/>
        <v>0</v>
      </c>
    </row>
    <row r="10740" spans="3:10" ht="15.75" hidden="1" thickBot="1">
      <c r="F10740" s="294" t="s">
        <v>261</v>
      </c>
      <c r="G10740" s="297" t="s">
        <v>262</v>
      </c>
      <c r="H10740" s="638"/>
      <c r="I10740" s="639"/>
      <c r="J10740" s="639">
        <f t="shared" si="337"/>
        <v>0</v>
      </c>
    </row>
    <row r="10741" spans="3:10" ht="15.75" hidden="1" collapsed="1" thickBot="1">
      <c r="G10741" s="274" t="s">
        <v>4442</v>
      </c>
      <c r="H10741" s="640">
        <f>SUM(H10725:H10740)</f>
        <v>0</v>
      </c>
      <c r="I10741" s="641">
        <f>SUM(I10726:I10740)</f>
        <v>0</v>
      </c>
      <c r="J10741" s="641">
        <f>SUM(J10725:J10740)</f>
        <v>0</v>
      </c>
    </row>
    <row r="10742" spans="3:10" hidden="1"/>
    <row r="10743" spans="3:10" hidden="1">
      <c r="C10743" s="273" t="s">
        <v>4842</v>
      </c>
      <c r="D10743" s="264"/>
      <c r="G10743" s="519" t="s">
        <v>4240</v>
      </c>
    </row>
    <row r="10744" spans="3:10" hidden="1">
      <c r="C10744" s="273"/>
      <c r="D10744" s="357">
        <v>820</v>
      </c>
      <c r="E10744" s="357"/>
      <c r="F10744" s="357"/>
      <c r="G10744" s="358" t="s">
        <v>207</v>
      </c>
    </row>
    <row r="10745" spans="3:10" hidden="1">
      <c r="F10745" s="527">
        <v>411</v>
      </c>
      <c r="G10745" s="518" t="s">
        <v>4173</v>
      </c>
      <c r="J10745" s="635">
        <f>SUM(H10745:I10745)</f>
        <v>0</v>
      </c>
    </row>
    <row r="10746" spans="3:10" hidden="1">
      <c r="F10746" s="527">
        <v>412</v>
      </c>
      <c r="G10746" s="515" t="s">
        <v>3770</v>
      </c>
      <c r="J10746" s="635">
        <f t="shared" ref="J10746:J10804" si="338">SUM(H10746:I10746)</f>
        <v>0</v>
      </c>
    </row>
    <row r="10747" spans="3:10" hidden="1">
      <c r="F10747" s="527">
        <v>413</v>
      </c>
      <c r="G10747" s="518" t="s">
        <v>4174</v>
      </c>
      <c r="J10747" s="635">
        <f t="shared" si="338"/>
        <v>0</v>
      </c>
    </row>
    <row r="10748" spans="3:10" hidden="1">
      <c r="F10748" s="527">
        <v>414</v>
      </c>
      <c r="G10748" s="518" t="s">
        <v>3773</v>
      </c>
      <c r="J10748" s="635">
        <f t="shared" si="338"/>
        <v>0</v>
      </c>
    </row>
    <row r="10749" spans="3:10" hidden="1">
      <c r="F10749" s="527">
        <v>415</v>
      </c>
      <c r="G10749" s="518" t="s">
        <v>4183</v>
      </c>
      <c r="J10749" s="635">
        <f t="shared" si="338"/>
        <v>0</v>
      </c>
    </row>
    <row r="10750" spans="3:10" hidden="1">
      <c r="F10750" s="527">
        <v>416</v>
      </c>
      <c r="G10750" s="518" t="s">
        <v>4184</v>
      </c>
      <c r="J10750" s="635">
        <f t="shared" si="338"/>
        <v>0</v>
      </c>
    </row>
    <row r="10751" spans="3:10" hidden="1">
      <c r="F10751" s="527">
        <v>417</v>
      </c>
      <c r="G10751" s="518" t="s">
        <v>4185</v>
      </c>
      <c r="J10751" s="635">
        <f t="shared" si="338"/>
        <v>0</v>
      </c>
    </row>
    <row r="10752" spans="3:10" hidden="1">
      <c r="F10752" s="527">
        <v>418</v>
      </c>
      <c r="G10752" s="518" t="s">
        <v>3779</v>
      </c>
      <c r="J10752" s="635">
        <f t="shared" si="338"/>
        <v>0</v>
      </c>
    </row>
    <row r="10753" spans="6:10" hidden="1">
      <c r="F10753" s="527">
        <v>421</v>
      </c>
      <c r="G10753" s="518" t="s">
        <v>3783</v>
      </c>
      <c r="J10753" s="635">
        <f t="shared" si="338"/>
        <v>0</v>
      </c>
    </row>
    <row r="10754" spans="6:10" hidden="1">
      <c r="F10754" s="527">
        <v>422</v>
      </c>
      <c r="G10754" s="518" t="s">
        <v>3784</v>
      </c>
      <c r="J10754" s="635">
        <f t="shared" si="338"/>
        <v>0</v>
      </c>
    </row>
    <row r="10755" spans="6:10" hidden="1">
      <c r="F10755" s="527">
        <v>423</v>
      </c>
      <c r="G10755" s="518" t="s">
        <v>3785</v>
      </c>
      <c r="J10755" s="635">
        <f t="shared" si="338"/>
        <v>0</v>
      </c>
    </row>
    <row r="10756" spans="6:10" hidden="1">
      <c r="F10756" s="527">
        <v>424</v>
      </c>
      <c r="G10756" s="518" t="s">
        <v>3787</v>
      </c>
      <c r="J10756" s="635">
        <f t="shared" si="338"/>
        <v>0</v>
      </c>
    </row>
    <row r="10757" spans="6:10" hidden="1">
      <c r="F10757" s="527">
        <v>425</v>
      </c>
      <c r="G10757" s="518" t="s">
        <v>4186</v>
      </c>
      <c r="J10757" s="635">
        <f t="shared" si="338"/>
        <v>0</v>
      </c>
    </row>
    <row r="10758" spans="6:10" hidden="1">
      <c r="F10758" s="527">
        <v>426</v>
      </c>
      <c r="G10758" s="518" t="s">
        <v>3791</v>
      </c>
      <c r="J10758" s="635">
        <f t="shared" si="338"/>
        <v>0</v>
      </c>
    </row>
    <row r="10759" spans="6:10" hidden="1">
      <c r="F10759" s="527">
        <v>431</v>
      </c>
      <c r="G10759" s="518" t="s">
        <v>4187</v>
      </c>
      <c r="J10759" s="635">
        <f t="shared" si="338"/>
        <v>0</v>
      </c>
    </row>
    <row r="10760" spans="6:10" hidden="1">
      <c r="F10760" s="527">
        <v>432</v>
      </c>
      <c r="G10760" s="518" t="s">
        <v>4188</v>
      </c>
      <c r="J10760" s="635">
        <f t="shared" si="338"/>
        <v>0</v>
      </c>
    </row>
    <row r="10761" spans="6:10" hidden="1">
      <c r="F10761" s="527">
        <v>433</v>
      </c>
      <c r="G10761" s="518" t="s">
        <v>4189</v>
      </c>
      <c r="J10761" s="635">
        <f t="shared" si="338"/>
        <v>0</v>
      </c>
    </row>
    <row r="10762" spans="6:10" hidden="1">
      <c r="F10762" s="527">
        <v>434</v>
      </c>
      <c r="G10762" s="518" t="s">
        <v>4190</v>
      </c>
      <c r="J10762" s="635">
        <f t="shared" si="338"/>
        <v>0</v>
      </c>
    </row>
    <row r="10763" spans="6:10" hidden="1">
      <c r="F10763" s="527">
        <v>435</v>
      </c>
      <c r="G10763" s="518" t="s">
        <v>3798</v>
      </c>
      <c r="J10763" s="635">
        <f t="shared" si="338"/>
        <v>0</v>
      </c>
    </row>
    <row r="10764" spans="6:10" hidden="1">
      <c r="F10764" s="527">
        <v>441</v>
      </c>
      <c r="G10764" s="518" t="s">
        <v>4191</v>
      </c>
      <c r="J10764" s="635">
        <f t="shared" si="338"/>
        <v>0</v>
      </c>
    </row>
    <row r="10765" spans="6:10" hidden="1">
      <c r="F10765" s="527">
        <v>442</v>
      </c>
      <c r="G10765" s="518" t="s">
        <v>4192</v>
      </c>
      <c r="J10765" s="635">
        <f t="shared" si="338"/>
        <v>0</v>
      </c>
    </row>
    <row r="10766" spans="6:10" hidden="1">
      <c r="F10766" s="527">
        <v>443</v>
      </c>
      <c r="G10766" s="518" t="s">
        <v>3803</v>
      </c>
      <c r="J10766" s="635">
        <f t="shared" si="338"/>
        <v>0</v>
      </c>
    </row>
    <row r="10767" spans="6:10" hidden="1">
      <c r="F10767" s="527">
        <v>444</v>
      </c>
      <c r="G10767" s="518" t="s">
        <v>3804</v>
      </c>
      <c r="J10767" s="635">
        <f t="shared" si="338"/>
        <v>0</v>
      </c>
    </row>
    <row r="10768" spans="6:10" ht="30" hidden="1">
      <c r="F10768" s="527">
        <v>4511</v>
      </c>
      <c r="G10768" s="268" t="s">
        <v>1690</v>
      </c>
      <c r="J10768" s="635">
        <f t="shared" si="338"/>
        <v>0</v>
      </c>
    </row>
    <row r="10769" spans="6:10" ht="30" hidden="1">
      <c r="F10769" s="527">
        <v>4512</v>
      </c>
      <c r="G10769" s="268" t="s">
        <v>1699</v>
      </c>
      <c r="J10769" s="635">
        <f t="shared" si="338"/>
        <v>0</v>
      </c>
    </row>
    <row r="10770" spans="6:10" hidden="1">
      <c r="F10770" s="527">
        <v>452</v>
      </c>
      <c r="G10770" s="518" t="s">
        <v>4193</v>
      </c>
      <c r="J10770" s="635">
        <f t="shared" si="338"/>
        <v>0</v>
      </c>
    </row>
    <row r="10771" spans="6:10" hidden="1">
      <c r="F10771" s="527">
        <v>453</v>
      </c>
      <c r="G10771" s="518" t="s">
        <v>4194</v>
      </c>
      <c r="J10771" s="635">
        <f t="shared" si="338"/>
        <v>0</v>
      </c>
    </row>
    <row r="10772" spans="6:10" hidden="1">
      <c r="F10772" s="527">
        <v>454</v>
      </c>
      <c r="G10772" s="518" t="s">
        <v>3809</v>
      </c>
      <c r="J10772" s="635">
        <f t="shared" si="338"/>
        <v>0</v>
      </c>
    </row>
    <row r="10773" spans="6:10" hidden="1">
      <c r="F10773" s="527">
        <v>461</v>
      </c>
      <c r="G10773" s="518" t="s">
        <v>4175</v>
      </c>
      <c r="J10773" s="635">
        <f t="shared" si="338"/>
        <v>0</v>
      </c>
    </row>
    <row r="10774" spans="6:10" hidden="1">
      <c r="F10774" s="527">
        <v>462</v>
      </c>
      <c r="G10774" s="518" t="s">
        <v>3812</v>
      </c>
      <c r="J10774" s="635">
        <f t="shared" si="338"/>
        <v>0</v>
      </c>
    </row>
    <row r="10775" spans="6:10" hidden="1">
      <c r="F10775" s="527">
        <v>4631</v>
      </c>
      <c r="G10775" s="518" t="s">
        <v>3813</v>
      </c>
      <c r="J10775" s="635">
        <f t="shared" si="338"/>
        <v>0</v>
      </c>
    </row>
    <row r="10776" spans="6:10" hidden="1">
      <c r="F10776" s="527">
        <v>4632</v>
      </c>
      <c r="G10776" s="518" t="s">
        <v>3814</v>
      </c>
      <c r="J10776" s="635">
        <f t="shared" si="338"/>
        <v>0</v>
      </c>
    </row>
    <row r="10777" spans="6:10" hidden="1">
      <c r="F10777" s="527">
        <v>464</v>
      </c>
      <c r="G10777" s="518" t="s">
        <v>3815</v>
      </c>
      <c r="J10777" s="635">
        <f t="shared" si="338"/>
        <v>0</v>
      </c>
    </row>
    <row r="10778" spans="6:10" hidden="1">
      <c r="F10778" s="527">
        <v>465</v>
      </c>
      <c r="G10778" s="518" t="s">
        <v>4176</v>
      </c>
      <c r="J10778" s="635">
        <f t="shared" si="338"/>
        <v>0</v>
      </c>
    </row>
    <row r="10779" spans="6:10" ht="15.75" hidden="1" thickBot="1">
      <c r="F10779" s="527">
        <v>472</v>
      </c>
      <c r="G10779" s="518" t="s">
        <v>3819</v>
      </c>
      <c r="J10779" s="635">
        <f t="shared" si="338"/>
        <v>0</v>
      </c>
    </row>
    <row r="10780" spans="6:10" ht="15.75" hidden="1" thickBot="1">
      <c r="F10780" s="527">
        <v>481</v>
      </c>
      <c r="G10780" s="518" t="s">
        <v>4195</v>
      </c>
      <c r="J10780" s="635">
        <f t="shared" si="338"/>
        <v>0</v>
      </c>
    </row>
    <row r="10781" spans="6:10" ht="15.75" hidden="1" thickBot="1">
      <c r="F10781" s="527">
        <v>482</v>
      </c>
      <c r="G10781" s="518" t="s">
        <v>4196</v>
      </c>
      <c r="J10781" s="635">
        <f t="shared" si="338"/>
        <v>0</v>
      </c>
    </row>
    <row r="10782" spans="6:10" ht="15.75" hidden="1" thickBot="1">
      <c r="F10782" s="527">
        <v>483</v>
      </c>
      <c r="G10782" s="520" t="s">
        <v>4197</v>
      </c>
      <c r="J10782" s="635">
        <f t="shared" si="338"/>
        <v>0</v>
      </c>
    </row>
    <row r="10783" spans="6:10" ht="30.75" hidden="1" thickBot="1">
      <c r="F10783" s="527">
        <v>484</v>
      </c>
      <c r="G10783" s="518" t="s">
        <v>4198</v>
      </c>
      <c r="J10783" s="635">
        <f t="shared" si="338"/>
        <v>0</v>
      </c>
    </row>
    <row r="10784" spans="6:10" ht="30.75" hidden="1" thickBot="1">
      <c r="F10784" s="527">
        <v>485</v>
      </c>
      <c r="G10784" s="518" t="s">
        <v>4199</v>
      </c>
      <c r="J10784" s="635">
        <f t="shared" si="338"/>
        <v>0</v>
      </c>
    </row>
    <row r="10785" spans="6:10" ht="30.75" hidden="1" thickBot="1">
      <c r="F10785" s="527">
        <v>489</v>
      </c>
      <c r="G10785" s="518" t="s">
        <v>3827</v>
      </c>
      <c r="J10785" s="635">
        <f t="shared" si="338"/>
        <v>0</v>
      </c>
    </row>
    <row r="10786" spans="6:10" ht="15.75" hidden="1" thickBot="1">
      <c r="F10786" s="527">
        <v>494</v>
      </c>
      <c r="G10786" s="518" t="s">
        <v>4177</v>
      </c>
      <c r="J10786" s="635">
        <f t="shared" si="338"/>
        <v>0</v>
      </c>
    </row>
    <row r="10787" spans="6:10" ht="30.75" hidden="1" thickBot="1">
      <c r="F10787" s="527">
        <v>495</v>
      </c>
      <c r="G10787" s="518" t="s">
        <v>4178</v>
      </c>
      <c r="J10787" s="635">
        <f t="shared" si="338"/>
        <v>0</v>
      </c>
    </row>
    <row r="10788" spans="6:10" ht="30.75" hidden="1" thickBot="1">
      <c r="F10788" s="527">
        <v>496</v>
      </c>
      <c r="G10788" s="518" t="s">
        <v>4179</v>
      </c>
      <c r="J10788" s="635">
        <f t="shared" si="338"/>
        <v>0</v>
      </c>
    </row>
    <row r="10789" spans="6:10" ht="15.75" hidden="1" thickBot="1">
      <c r="F10789" s="527">
        <v>499</v>
      </c>
      <c r="G10789" s="518" t="s">
        <v>4180</v>
      </c>
      <c r="J10789" s="635">
        <f t="shared" si="338"/>
        <v>0</v>
      </c>
    </row>
    <row r="10790" spans="6:10" ht="15.75" hidden="1" thickBot="1">
      <c r="F10790" s="527">
        <v>511</v>
      </c>
      <c r="G10790" s="520" t="s">
        <v>4200</v>
      </c>
      <c r="J10790" s="635">
        <f t="shared" si="338"/>
        <v>0</v>
      </c>
    </row>
    <row r="10791" spans="6:10" ht="15.75" hidden="1" thickBot="1">
      <c r="F10791" s="527">
        <v>512</v>
      </c>
      <c r="G10791" s="520" t="s">
        <v>4201</v>
      </c>
      <c r="J10791" s="635">
        <f t="shared" si="338"/>
        <v>0</v>
      </c>
    </row>
    <row r="10792" spans="6:10" ht="15.75" hidden="1" thickBot="1">
      <c r="F10792" s="527">
        <v>513</v>
      </c>
      <c r="G10792" s="520" t="s">
        <v>4202</v>
      </c>
      <c r="J10792" s="635">
        <f t="shared" si="338"/>
        <v>0</v>
      </c>
    </row>
    <row r="10793" spans="6:10" ht="15.75" hidden="1" thickBot="1">
      <c r="F10793" s="527">
        <v>514</v>
      </c>
      <c r="G10793" s="518" t="s">
        <v>4203</v>
      </c>
      <c r="J10793" s="635">
        <f t="shared" si="338"/>
        <v>0</v>
      </c>
    </row>
    <row r="10794" spans="6:10" ht="15.75" hidden="1" thickBot="1">
      <c r="F10794" s="527">
        <v>515</v>
      </c>
      <c r="G10794" s="518" t="s">
        <v>3838</v>
      </c>
      <c r="J10794" s="635">
        <f t="shared" si="338"/>
        <v>0</v>
      </c>
    </row>
    <row r="10795" spans="6:10" ht="15.75" hidden="1" thickBot="1">
      <c r="F10795" s="527">
        <v>521</v>
      </c>
      <c r="G10795" s="518" t="s">
        <v>4204</v>
      </c>
      <c r="J10795" s="635">
        <f t="shared" si="338"/>
        <v>0</v>
      </c>
    </row>
    <row r="10796" spans="6:10" ht="15.75" hidden="1" thickBot="1">
      <c r="F10796" s="527">
        <v>522</v>
      </c>
      <c r="G10796" s="518" t="s">
        <v>4205</v>
      </c>
      <c r="J10796" s="635">
        <f t="shared" si="338"/>
        <v>0</v>
      </c>
    </row>
    <row r="10797" spans="6:10" ht="15.75" hidden="1" thickBot="1">
      <c r="F10797" s="527">
        <v>523</v>
      </c>
      <c r="G10797" s="518" t="s">
        <v>3843</v>
      </c>
      <c r="J10797" s="635">
        <f t="shared" si="338"/>
        <v>0</v>
      </c>
    </row>
    <row r="10798" spans="6:10" ht="15.75" hidden="1" thickBot="1">
      <c r="F10798" s="527">
        <v>531</v>
      </c>
      <c r="G10798" s="515" t="s">
        <v>4181</v>
      </c>
      <c r="J10798" s="635">
        <f t="shared" si="338"/>
        <v>0</v>
      </c>
    </row>
    <row r="10799" spans="6:10" ht="15.75" hidden="1" thickBot="1">
      <c r="F10799" s="527">
        <v>541</v>
      </c>
      <c r="G10799" s="518" t="s">
        <v>4206</v>
      </c>
      <c r="J10799" s="635">
        <f t="shared" si="338"/>
        <v>0</v>
      </c>
    </row>
    <row r="10800" spans="6:10" ht="15.75" hidden="1" thickBot="1">
      <c r="F10800" s="527">
        <v>542</v>
      </c>
      <c r="G10800" s="518" t="s">
        <v>4207</v>
      </c>
      <c r="J10800" s="635">
        <f t="shared" si="338"/>
        <v>0</v>
      </c>
    </row>
    <row r="10801" spans="5:10" ht="15.75" hidden="1" thickBot="1">
      <c r="F10801" s="527">
        <v>543</v>
      </c>
      <c r="G10801" s="518" t="s">
        <v>3848</v>
      </c>
      <c r="J10801" s="635">
        <f t="shared" si="338"/>
        <v>0</v>
      </c>
    </row>
    <row r="10802" spans="5:10" ht="30.75" hidden="1" thickBot="1">
      <c r="F10802" s="527">
        <v>551</v>
      </c>
      <c r="G10802" s="518" t="s">
        <v>4182</v>
      </c>
      <c r="J10802" s="635">
        <f t="shared" si="338"/>
        <v>0</v>
      </c>
    </row>
    <row r="10803" spans="5:10" ht="15.75" hidden="1" thickBot="1">
      <c r="F10803" s="528">
        <v>611</v>
      </c>
      <c r="G10803" s="526" t="s">
        <v>3854</v>
      </c>
      <c r="J10803" s="635">
        <f t="shared" si="338"/>
        <v>0</v>
      </c>
    </row>
    <row r="10804" spans="5:10" ht="15.75" hidden="1" thickBot="1">
      <c r="F10804" s="528">
        <v>620</v>
      </c>
      <c r="G10804" s="526" t="s">
        <v>88</v>
      </c>
      <c r="J10804" s="635">
        <f t="shared" si="338"/>
        <v>0</v>
      </c>
    </row>
    <row r="10805" spans="5:10" hidden="1">
      <c r="E10805" s="516"/>
      <c r="F10805" s="528"/>
      <c r="G10805" s="371" t="s">
        <v>4439</v>
      </c>
      <c r="H10805" s="636"/>
      <c r="I10805" s="662"/>
      <c r="J10805" s="637"/>
    </row>
    <row r="10806" spans="5:10" hidden="1">
      <c r="E10806" s="267"/>
      <c r="F10806" s="294" t="s">
        <v>234</v>
      </c>
      <c r="G10806" s="297" t="s">
        <v>235</v>
      </c>
      <c r="H10806" s="638">
        <f>SUM(H10745:H10804)</f>
        <v>0</v>
      </c>
      <c r="I10806" s="639"/>
      <c r="J10806" s="639">
        <f>SUM(H10806:I10806)</f>
        <v>0</v>
      </c>
    </row>
    <row r="10807" spans="5:10" hidden="1">
      <c r="F10807" s="294" t="s">
        <v>236</v>
      </c>
      <c r="G10807" s="297" t="s">
        <v>237</v>
      </c>
      <c r="J10807" s="639">
        <f t="shared" ref="J10807:J10821" si="339">SUM(H10807:I10807)</f>
        <v>0</v>
      </c>
    </row>
    <row r="10808" spans="5:10" hidden="1">
      <c r="F10808" s="294" t="s">
        <v>238</v>
      </c>
      <c r="G10808" s="297" t="s">
        <v>239</v>
      </c>
      <c r="J10808" s="639">
        <f t="shared" si="339"/>
        <v>0</v>
      </c>
    </row>
    <row r="10809" spans="5:10" ht="15.75" hidden="1" thickBot="1">
      <c r="F10809" s="294" t="s">
        <v>240</v>
      </c>
      <c r="G10809" s="297" t="s">
        <v>241</v>
      </c>
      <c r="J10809" s="639">
        <f t="shared" si="339"/>
        <v>0</v>
      </c>
    </row>
    <row r="10810" spans="5:10" ht="15.75" hidden="1" thickBot="1">
      <c r="F10810" s="294" t="s">
        <v>242</v>
      </c>
      <c r="G10810" s="297" t="s">
        <v>243</v>
      </c>
      <c r="J10810" s="639">
        <f t="shared" si="339"/>
        <v>0</v>
      </c>
    </row>
    <row r="10811" spans="5:10" ht="15.75" hidden="1" thickBot="1">
      <c r="F10811" s="294" t="s">
        <v>244</v>
      </c>
      <c r="G10811" s="297" t="s">
        <v>245</v>
      </c>
      <c r="J10811" s="639">
        <f t="shared" si="339"/>
        <v>0</v>
      </c>
    </row>
    <row r="10812" spans="5:10" ht="15.75" hidden="1" thickBot="1">
      <c r="F10812" s="294" t="s">
        <v>246</v>
      </c>
      <c r="G10812" s="683" t="s">
        <v>5121</v>
      </c>
      <c r="J10812" s="639">
        <f t="shared" si="339"/>
        <v>0</v>
      </c>
    </row>
    <row r="10813" spans="5:10" ht="15.75" hidden="1" thickBot="1">
      <c r="F10813" s="294" t="s">
        <v>247</v>
      </c>
      <c r="G10813" s="683" t="s">
        <v>5120</v>
      </c>
      <c r="J10813" s="639">
        <f t="shared" si="339"/>
        <v>0</v>
      </c>
    </row>
    <row r="10814" spans="5:10" ht="15.75" hidden="1" thickBot="1">
      <c r="F10814" s="294" t="s">
        <v>248</v>
      </c>
      <c r="G10814" s="297" t="s">
        <v>57</v>
      </c>
      <c r="J10814" s="639">
        <f t="shared" si="339"/>
        <v>0</v>
      </c>
    </row>
    <row r="10815" spans="5:10" ht="15.75" hidden="1" thickBot="1">
      <c r="F10815" s="294" t="s">
        <v>249</v>
      </c>
      <c r="G10815" s="297" t="s">
        <v>250</v>
      </c>
      <c r="J10815" s="639">
        <f t="shared" si="339"/>
        <v>0</v>
      </c>
    </row>
    <row r="10816" spans="5:10" ht="15.75" hidden="1" thickBot="1">
      <c r="F10816" s="294" t="s">
        <v>251</v>
      </c>
      <c r="G10816" s="297" t="s">
        <v>252</v>
      </c>
      <c r="J10816" s="639">
        <f t="shared" si="339"/>
        <v>0</v>
      </c>
    </row>
    <row r="10817" spans="5:10" ht="15.75" hidden="1" thickBot="1">
      <c r="F10817" s="294" t="s">
        <v>253</v>
      </c>
      <c r="G10817" s="297" t="s">
        <v>254</v>
      </c>
      <c r="J10817" s="639">
        <f t="shared" si="339"/>
        <v>0</v>
      </c>
    </row>
    <row r="10818" spans="5:10" ht="15.75" hidden="1" thickBot="1">
      <c r="F10818" s="294" t="s">
        <v>255</v>
      </c>
      <c r="G10818" s="297" t="s">
        <v>256</v>
      </c>
      <c r="J10818" s="639">
        <f t="shared" si="339"/>
        <v>0</v>
      </c>
    </row>
    <row r="10819" spans="5:10" ht="15.75" hidden="1" thickBot="1">
      <c r="F10819" s="294" t="s">
        <v>257</v>
      </c>
      <c r="G10819" s="297" t="s">
        <v>258</v>
      </c>
      <c r="J10819" s="639">
        <f t="shared" si="339"/>
        <v>0</v>
      </c>
    </row>
    <row r="10820" spans="5:10" ht="15.75" hidden="1" thickBot="1">
      <c r="F10820" s="294" t="s">
        <v>259</v>
      </c>
      <c r="G10820" s="297" t="s">
        <v>260</v>
      </c>
      <c r="J10820" s="639">
        <f t="shared" si="339"/>
        <v>0</v>
      </c>
    </row>
    <row r="10821" spans="5:10" ht="15.75" hidden="1" thickBot="1">
      <c r="F10821" s="294" t="s">
        <v>261</v>
      </c>
      <c r="G10821" s="297" t="s">
        <v>262</v>
      </c>
      <c r="H10821" s="638"/>
      <c r="I10821" s="639"/>
      <c r="J10821" s="639">
        <f t="shared" si="339"/>
        <v>0</v>
      </c>
    </row>
    <row r="10822" spans="5:10" ht="15.75" hidden="1" thickBot="1">
      <c r="G10822" s="274" t="s">
        <v>4440</v>
      </c>
      <c r="H10822" s="640">
        <f>SUM(H10806:H10821)</f>
        <v>0</v>
      </c>
      <c r="I10822" s="641">
        <f>SUM(I10807:I10821)</f>
        <v>0</v>
      </c>
      <c r="J10822" s="641">
        <f>SUM(J10806:J10821)</f>
        <v>0</v>
      </c>
    </row>
    <row r="10823" spans="5:10" hidden="1" collapsed="1">
      <c r="E10823" s="516"/>
      <c r="F10823" s="528"/>
      <c r="G10823" s="276" t="s">
        <v>5039</v>
      </c>
      <c r="H10823" s="642"/>
      <c r="I10823" s="663"/>
      <c r="J10823" s="643"/>
    </row>
    <row r="10824" spans="5:10" hidden="1">
      <c r="E10824" s="267"/>
      <c r="F10824" s="294" t="s">
        <v>234</v>
      </c>
      <c r="G10824" s="297" t="s">
        <v>235</v>
      </c>
      <c r="H10824" s="638">
        <f>SUM(H10745:H10804)</f>
        <v>0</v>
      </c>
      <c r="I10824" s="639"/>
      <c r="J10824" s="639">
        <f>SUM(H10824:I10824)</f>
        <v>0</v>
      </c>
    </row>
    <row r="10825" spans="5:10" hidden="1">
      <c r="F10825" s="294" t="s">
        <v>236</v>
      </c>
      <c r="G10825" s="297" t="s">
        <v>237</v>
      </c>
      <c r="J10825" s="639">
        <f t="shared" ref="J10825:J10839" si="340">SUM(H10825:I10825)</f>
        <v>0</v>
      </c>
    </row>
    <row r="10826" spans="5:10" hidden="1">
      <c r="F10826" s="294" t="s">
        <v>238</v>
      </c>
      <c r="G10826" s="297" t="s">
        <v>239</v>
      </c>
      <c r="J10826" s="639">
        <f t="shared" si="340"/>
        <v>0</v>
      </c>
    </row>
    <row r="10827" spans="5:10" ht="15.75" hidden="1" thickBot="1">
      <c r="F10827" s="294" t="s">
        <v>240</v>
      </c>
      <c r="G10827" s="297" t="s">
        <v>241</v>
      </c>
      <c r="J10827" s="639">
        <f t="shared" si="340"/>
        <v>0</v>
      </c>
    </row>
    <row r="10828" spans="5:10" ht="15.75" hidden="1" thickBot="1">
      <c r="F10828" s="294" t="s">
        <v>242</v>
      </c>
      <c r="G10828" s="297" t="s">
        <v>243</v>
      </c>
      <c r="J10828" s="639">
        <f t="shared" si="340"/>
        <v>0</v>
      </c>
    </row>
    <row r="10829" spans="5:10" ht="15.75" hidden="1" thickBot="1">
      <c r="F10829" s="294" t="s">
        <v>244</v>
      </c>
      <c r="G10829" s="297" t="s">
        <v>245</v>
      </c>
      <c r="J10829" s="639">
        <f t="shared" si="340"/>
        <v>0</v>
      </c>
    </row>
    <row r="10830" spans="5:10" ht="15.75" hidden="1" thickBot="1">
      <c r="F10830" s="294" t="s">
        <v>246</v>
      </c>
      <c r="G10830" s="683" t="s">
        <v>5121</v>
      </c>
      <c r="J10830" s="639">
        <f t="shared" si="340"/>
        <v>0</v>
      </c>
    </row>
    <row r="10831" spans="5:10" ht="15.75" hidden="1" thickBot="1">
      <c r="F10831" s="294" t="s">
        <v>247</v>
      </c>
      <c r="G10831" s="683" t="s">
        <v>5120</v>
      </c>
      <c r="J10831" s="639">
        <f t="shared" si="340"/>
        <v>0</v>
      </c>
    </row>
    <row r="10832" spans="5:10" ht="15.75" hidden="1" thickBot="1">
      <c r="F10832" s="294" t="s">
        <v>248</v>
      </c>
      <c r="G10832" s="297" t="s">
        <v>57</v>
      </c>
      <c r="J10832" s="639">
        <f t="shared" si="340"/>
        <v>0</v>
      </c>
    </row>
    <row r="10833" spans="3:10" ht="15.75" hidden="1" thickBot="1">
      <c r="F10833" s="294" t="s">
        <v>249</v>
      </c>
      <c r="G10833" s="297" t="s">
        <v>250</v>
      </c>
      <c r="J10833" s="639">
        <f t="shared" si="340"/>
        <v>0</v>
      </c>
    </row>
    <row r="10834" spans="3:10" ht="15.75" hidden="1" thickBot="1">
      <c r="F10834" s="294" t="s">
        <v>251</v>
      </c>
      <c r="G10834" s="297" t="s">
        <v>252</v>
      </c>
      <c r="J10834" s="639">
        <f t="shared" si="340"/>
        <v>0</v>
      </c>
    </row>
    <row r="10835" spans="3:10" ht="15.75" hidden="1" thickBot="1">
      <c r="F10835" s="294" t="s">
        <v>253</v>
      </c>
      <c r="G10835" s="297" t="s">
        <v>254</v>
      </c>
      <c r="J10835" s="639">
        <f t="shared" si="340"/>
        <v>0</v>
      </c>
    </row>
    <row r="10836" spans="3:10" ht="15.75" hidden="1" thickBot="1">
      <c r="F10836" s="294" t="s">
        <v>255</v>
      </c>
      <c r="G10836" s="297" t="s">
        <v>256</v>
      </c>
      <c r="J10836" s="639">
        <f t="shared" si="340"/>
        <v>0</v>
      </c>
    </row>
    <row r="10837" spans="3:10" ht="15.75" hidden="1" thickBot="1">
      <c r="F10837" s="294" t="s">
        <v>257</v>
      </c>
      <c r="G10837" s="297" t="s">
        <v>258</v>
      </c>
      <c r="J10837" s="639">
        <f t="shared" si="340"/>
        <v>0</v>
      </c>
    </row>
    <row r="10838" spans="3:10" ht="15.75" hidden="1" thickBot="1">
      <c r="F10838" s="294" t="s">
        <v>259</v>
      </c>
      <c r="G10838" s="297" t="s">
        <v>260</v>
      </c>
      <c r="J10838" s="639">
        <f t="shared" si="340"/>
        <v>0</v>
      </c>
    </row>
    <row r="10839" spans="3:10" ht="15.75" hidden="1" thickBot="1">
      <c r="F10839" s="294" t="s">
        <v>261</v>
      </c>
      <c r="G10839" s="297" t="s">
        <v>262</v>
      </c>
      <c r="H10839" s="638"/>
      <c r="I10839" s="639"/>
      <c r="J10839" s="639">
        <f t="shared" si="340"/>
        <v>0</v>
      </c>
    </row>
    <row r="10840" spans="3:10" ht="15.75" hidden="1" thickBot="1">
      <c r="G10840" s="274" t="s">
        <v>5026</v>
      </c>
      <c r="H10840" s="640">
        <f>SUM(H10824:H10839)</f>
        <v>0</v>
      </c>
      <c r="I10840" s="641">
        <f>SUM(I10825:I10839)</f>
        <v>0</v>
      </c>
      <c r="J10840" s="641">
        <f>SUM(J10824:J10839)</f>
        <v>0</v>
      </c>
    </row>
    <row r="10841" spans="3:10" hidden="1"/>
    <row r="10842" spans="3:10" hidden="1">
      <c r="C10842" s="273" t="s">
        <v>4843</v>
      </c>
      <c r="D10842" s="264"/>
      <c r="G10842" s="563" t="s">
        <v>4240</v>
      </c>
    </row>
    <row r="10843" spans="3:10" hidden="1">
      <c r="C10843" s="273"/>
      <c r="D10843" s="357">
        <v>820</v>
      </c>
      <c r="E10843" s="357"/>
      <c r="F10843" s="357"/>
      <c r="G10843" s="358" t="s">
        <v>207</v>
      </c>
    </row>
    <row r="10844" spans="3:10" hidden="1">
      <c r="F10844" s="569">
        <v>411</v>
      </c>
      <c r="G10844" s="562" t="s">
        <v>4173</v>
      </c>
      <c r="J10844" s="635">
        <f>SUM(H10844:I10844)</f>
        <v>0</v>
      </c>
    </row>
    <row r="10845" spans="3:10" hidden="1">
      <c r="F10845" s="569">
        <v>412</v>
      </c>
      <c r="G10845" s="558" t="s">
        <v>3770</v>
      </c>
      <c r="J10845" s="635">
        <f t="shared" ref="J10845:J10903" si="341">SUM(H10845:I10845)</f>
        <v>0</v>
      </c>
    </row>
    <row r="10846" spans="3:10" hidden="1">
      <c r="F10846" s="569">
        <v>413</v>
      </c>
      <c r="G10846" s="562" t="s">
        <v>4174</v>
      </c>
      <c r="J10846" s="635">
        <f t="shared" si="341"/>
        <v>0</v>
      </c>
    </row>
    <row r="10847" spans="3:10" hidden="1">
      <c r="F10847" s="569">
        <v>414</v>
      </c>
      <c r="G10847" s="562" t="s">
        <v>3773</v>
      </c>
      <c r="J10847" s="635">
        <f t="shared" si="341"/>
        <v>0</v>
      </c>
    </row>
    <row r="10848" spans="3:10" hidden="1">
      <c r="F10848" s="569">
        <v>415</v>
      </c>
      <c r="G10848" s="562" t="s">
        <v>4183</v>
      </c>
      <c r="J10848" s="635">
        <f t="shared" si="341"/>
        <v>0</v>
      </c>
    </row>
    <row r="10849" spans="6:10" hidden="1">
      <c r="F10849" s="569">
        <v>416</v>
      </c>
      <c r="G10849" s="562" t="s">
        <v>4184</v>
      </c>
      <c r="J10849" s="635">
        <f t="shared" si="341"/>
        <v>0</v>
      </c>
    </row>
    <row r="10850" spans="6:10" hidden="1">
      <c r="F10850" s="569">
        <v>417</v>
      </c>
      <c r="G10850" s="562" t="s">
        <v>4185</v>
      </c>
      <c r="J10850" s="635">
        <f t="shared" si="341"/>
        <v>0</v>
      </c>
    </row>
    <row r="10851" spans="6:10" hidden="1">
      <c r="F10851" s="569">
        <v>418</v>
      </c>
      <c r="G10851" s="562" t="s">
        <v>3779</v>
      </c>
      <c r="J10851" s="635">
        <f t="shared" si="341"/>
        <v>0</v>
      </c>
    </row>
    <row r="10852" spans="6:10" hidden="1">
      <c r="F10852" s="569">
        <v>421</v>
      </c>
      <c r="G10852" s="562" t="s">
        <v>3783</v>
      </c>
      <c r="J10852" s="635">
        <f t="shared" si="341"/>
        <v>0</v>
      </c>
    </row>
    <row r="10853" spans="6:10" hidden="1">
      <c r="F10853" s="569">
        <v>422</v>
      </c>
      <c r="G10853" s="562" t="s">
        <v>3784</v>
      </c>
      <c r="J10853" s="635">
        <f t="shared" si="341"/>
        <v>0</v>
      </c>
    </row>
    <row r="10854" spans="6:10" hidden="1">
      <c r="F10854" s="569">
        <v>423</v>
      </c>
      <c r="G10854" s="562" t="s">
        <v>3785</v>
      </c>
      <c r="J10854" s="635">
        <f t="shared" si="341"/>
        <v>0</v>
      </c>
    </row>
    <row r="10855" spans="6:10" hidden="1">
      <c r="F10855" s="569">
        <v>424</v>
      </c>
      <c r="G10855" s="562" t="s">
        <v>3787</v>
      </c>
      <c r="J10855" s="635">
        <f t="shared" si="341"/>
        <v>0</v>
      </c>
    </row>
    <row r="10856" spans="6:10" hidden="1">
      <c r="F10856" s="569">
        <v>425</v>
      </c>
      <c r="G10856" s="562" t="s">
        <v>4186</v>
      </c>
      <c r="J10856" s="635">
        <f t="shared" si="341"/>
        <v>0</v>
      </c>
    </row>
    <row r="10857" spans="6:10" hidden="1">
      <c r="F10857" s="569">
        <v>426</v>
      </c>
      <c r="G10857" s="562" t="s">
        <v>3791</v>
      </c>
      <c r="J10857" s="635">
        <f t="shared" si="341"/>
        <v>0</v>
      </c>
    </row>
    <row r="10858" spans="6:10" hidden="1">
      <c r="F10858" s="569">
        <v>431</v>
      </c>
      <c r="G10858" s="562" t="s">
        <v>4187</v>
      </c>
      <c r="J10858" s="635">
        <f t="shared" si="341"/>
        <v>0</v>
      </c>
    </row>
    <row r="10859" spans="6:10" hidden="1">
      <c r="F10859" s="569">
        <v>432</v>
      </c>
      <c r="G10859" s="562" t="s">
        <v>4188</v>
      </c>
      <c r="J10859" s="635">
        <f t="shared" si="341"/>
        <v>0</v>
      </c>
    </row>
    <row r="10860" spans="6:10" hidden="1">
      <c r="F10860" s="569">
        <v>433</v>
      </c>
      <c r="G10860" s="562" t="s">
        <v>4189</v>
      </c>
      <c r="J10860" s="635">
        <f t="shared" si="341"/>
        <v>0</v>
      </c>
    </row>
    <row r="10861" spans="6:10" hidden="1">
      <c r="F10861" s="569">
        <v>434</v>
      </c>
      <c r="G10861" s="562" t="s">
        <v>4190</v>
      </c>
      <c r="J10861" s="635">
        <f t="shared" si="341"/>
        <v>0</v>
      </c>
    </row>
    <row r="10862" spans="6:10" hidden="1">
      <c r="F10862" s="569">
        <v>435</v>
      </c>
      <c r="G10862" s="562" t="s">
        <v>3798</v>
      </c>
      <c r="J10862" s="635">
        <f t="shared" si="341"/>
        <v>0</v>
      </c>
    </row>
    <row r="10863" spans="6:10" hidden="1">
      <c r="F10863" s="569">
        <v>441</v>
      </c>
      <c r="G10863" s="562" t="s">
        <v>4191</v>
      </c>
      <c r="J10863" s="635">
        <f t="shared" si="341"/>
        <v>0</v>
      </c>
    </row>
    <row r="10864" spans="6:10" hidden="1">
      <c r="F10864" s="569">
        <v>442</v>
      </c>
      <c r="G10864" s="562" t="s">
        <v>4192</v>
      </c>
      <c r="J10864" s="635">
        <f t="shared" si="341"/>
        <v>0</v>
      </c>
    </row>
    <row r="10865" spans="6:10" hidden="1">
      <c r="F10865" s="569">
        <v>443</v>
      </c>
      <c r="G10865" s="562" t="s">
        <v>3803</v>
      </c>
      <c r="J10865" s="635">
        <f t="shared" si="341"/>
        <v>0</v>
      </c>
    </row>
    <row r="10866" spans="6:10" hidden="1">
      <c r="F10866" s="569">
        <v>444</v>
      </c>
      <c r="G10866" s="562" t="s">
        <v>3804</v>
      </c>
      <c r="J10866" s="635">
        <f t="shared" si="341"/>
        <v>0</v>
      </c>
    </row>
    <row r="10867" spans="6:10" ht="30" hidden="1">
      <c r="F10867" s="569">
        <v>4511</v>
      </c>
      <c r="G10867" s="268" t="s">
        <v>1690</v>
      </c>
      <c r="J10867" s="635">
        <f t="shared" si="341"/>
        <v>0</v>
      </c>
    </row>
    <row r="10868" spans="6:10" ht="30" hidden="1">
      <c r="F10868" s="569">
        <v>4512</v>
      </c>
      <c r="G10868" s="268" t="s">
        <v>1699</v>
      </c>
      <c r="J10868" s="635">
        <f t="shared" si="341"/>
        <v>0</v>
      </c>
    </row>
    <row r="10869" spans="6:10" hidden="1">
      <c r="F10869" s="569">
        <v>452</v>
      </c>
      <c r="G10869" s="562" t="s">
        <v>4193</v>
      </c>
      <c r="J10869" s="635">
        <f t="shared" si="341"/>
        <v>0</v>
      </c>
    </row>
    <row r="10870" spans="6:10" hidden="1">
      <c r="F10870" s="569">
        <v>453</v>
      </c>
      <c r="G10870" s="562" t="s">
        <v>4194</v>
      </c>
      <c r="J10870" s="635">
        <f t="shared" si="341"/>
        <v>0</v>
      </c>
    </row>
    <row r="10871" spans="6:10" hidden="1">
      <c r="F10871" s="569">
        <v>454</v>
      </c>
      <c r="G10871" s="562" t="s">
        <v>3809</v>
      </c>
      <c r="J10871" s="635">
        <f t="shared" si="341"/>
        <v>0</v>
      </c>
    </row>
    <row r="10872" spans="6:10" hidden="1">
      <c r="F10872" s="569">
        <v>461</v>
      </c>
      <c r="G10872" s="562" t="s">
        <v>4175</v>
      </c>
      <c r="J10872" s="635">
        <f t="shared" si="341"/>
        <v>0</v>
      </c>
    </row>
    <row r="10873" spans="6:10" hidden="1">
      <c r="F10873" s="569">
        <v>462</v>
      </c>
      <c r="G10873" s="562" t="s">
        <v>3812</v>
      </c>
      <c r="J10873" s="635">
        <f t="shared" si="341"/>
        <v>0</v>
      </c>
    </row>
    <row r="10874" spans="6:10" hidden="1">
      <c r="F10874" s="569">
        <v>4631</v>
      </c>
      <c r="G10874" s="562" t="s">
        <v>3813</v>
      </c>
      <c r="J10874" s="635">
        <f t="shared" si="341"/>
        <v>0</v>
      </c>
    </row>
    <row r="10875" spans="6:10" hidden="1">
      <c r="F10875" s="569">
        <v>4632</v>
      </c>
      <c r="G10875" s="562" t="s">
        <v>3814</v>
      </c>
      <c r="J10875" s="635">
        <f t="shared" si="341"/>
        <v>0</v>
      </c>
    </row>
    <row r="10876" spans="6:10" hidden="1">
      <c r="F10876" s="569">
        <v>464</v>
      </c>
      <c r="G10876" s="562" t="s">
        <v>3815</v>
      </c>
      <c r="J10876" s="635">
        <f t="shared" si="341"/>
        <v>0</v>
      </c>
    </row>
    <row r="10877" spans="6:10" hidden="1">
      <c r="F10877" s="569">
        <v>465</v>
      </c>
      <c r="G10877" s="562" t="s">
        <v>4176</v>
      </c>
      <c r="J10877" s="635">
        <f t="shared" si="341"/>
        <v>0</v>
      </c>
    </row>
    <row r="10878" spans="6:10" ht="15.75" hidden="1" thickBot="1">
      <c r="F10878" s="569">
        <v>472</v>
      </c>
      <c r="G10878" s="562" t="s">
        <v>3819</v>
      </c>
      <c r="J10878" s="635">
        <f t="shared" si="341"/>
        <v>0</v>
      </c>
    </row>
    <row r="10879" spans="6:10" ht="15.75" hidden="1" thickBot="1">
      <c r="F10879" s="569">
        <v>481</v>
      </c>
      <c r="G10879" s="562" t="s">
        <v>4195</v>
      </c>
      <c r="J10879" s="635">
        <f t="shared" si="341"/>
        <v>0</v>
      </c>
    </row>
    <row r="10880" spans="6:10" ht="15.75" hidden="1" thickBot="1">
      <c r="F10880" s="569">
        <v>482</v>
      </c>
      <c r="G10880" s="562" t="s">
        <v>4196</v>
      </c>
      <c r="J10880" s="635">
        <f t="shared" si="341"/>
        <v>0</v>
      </c>
    </row>
    <row r="10881" spans="6:10" ht="15.75" hidden="1" thickBot="1">
      <c r="F10881" s="569">
        <v>483</v>
      </c>
      <c r="G10881" s="566" t="s">
        <v>4197</v>
      </c>
      <c r="J10881" s="635">
        <f t="shared" si="341"/>
        <v>0</v>
      </c>
    </row>
    <row r="10882" spans="6:10" ht="30.75" hidden="1" thickBot="1">
      <c r="F10882" s="569">
        <v>484</v>
      </c>
      <c r="G10882" s="562" t="s">
        <v>4198</v>
      </c>
      <c r="J10882" s="635">
        <f t="shared" si="341"/>
        <v>0</v>
      </c>
    </row>
    <row r="10883" spans="6:10" ht="30.75" hidden="1" thickBot="1">
      <c r="F10883" s="569">
        <v>485</v>
      </c>
      <c r="G10883" s="562" t="s">
        <v>4199</v>
      </c>
      <c r="J10883" s="635">
        <f t="shared" si="341"/>
        <v>0</v>
      </c>
    </row>
    <row r="10884" spans="6:10" ht="30.75" hidden="1" thickBot="1">
      <c r="F10884" s="569">
        <v>489</v>
      </c>
      <c r="G10884" s="562" t="s">
        <v>3827</v>
      </c>
      <c r="J10884" s="635">
        <f t="shared" si="341"/>
        <v>0</v>
      </c>
    </row>
    <row r="10885" spans="6:10" ht="15.75" hidden="1" thickBot="1">
      <c r="F10885" s="569">
        <v>494</v>
      </c>
      <c r="G10885" s="562" t="s">
        <v>4177</v>
      </c>
      <c r="J10885" s="635">
        <f t="shared" si="341"/>
        <v>0</v>
      </c>
    </row>
    <row r="10886" spans="6:10" ht="30.75" hidden="1" thickBot="1">
      <c r="F10886" s="569">
        <v>495</v>
      </c>
      <c r="G10886" s="562" t="s">
        <v>4178</v>
      </c>
      <c r="J10886" s="635">
        <f t="shared" si="341"/>
        <v>0</v>
      </c>
    </row>
    <row r="10887" spans="6:10" ht="30.75" hidden="1" thickBot="1">
      <c r="F10887" s="569">
        <v>496</v>
      </c>
      <c r="G10887" s="562" t="s">
        <v>4179</v>
      </c>
      <c r="J10887" s="635">
        <f t="shared" si="341"/>
        <v>0</v>
      </c>
    </row>
    <row r="10888" spans="6:10" ht="15.75" hidden="1" thickBot="1">
      <c r="F10888" s="569">
        <v>499</v>
      </c>
      <c r="G10888" s="562" t="s">
        <v>4180</v>
      </c>
      <c r="J10888" s="635">
        <f t="shared" si="341"/>
        <v>0</v>
      </c>
    </row>
    <row r="10889" spans="6:10" ht="15.75" hidden="1" thickBot="1">
      <c r="F10889" s="569">
        <v>511</v>
      </c>
      <c r="G10889" s="566" t="s">
        <v>4200</v>
      </c>
      <c r="J10889" s="635">
        <f t="shared" si="341"/>
        <v>0</v>
      </c>
    </row>
    <row r="10890" spans="6:10" ht="15.75" hidden="1" thickBot="1">
      <c r="F10890" s="569">
        <v>512</v>
      </c>
      <c r="G10890" s="566" t="s">
        <v>4201</v>
      </c>
      <c r="J10890" s="635">
        <f t="shared" si="341"/>
        <v>0</v>
      </c>
    </row>
    <row r="10891" spans="6:10" ht="15.75" hidden="1" thickBot="1">
      <c r="F10891" s="569">
        <v>513</v>
      </c>
      <c r="G10891" s="566" t="s">
        <v>4202</v>
      </c>
      <c r="J10891" s="635">
        <f t="shared" si="341"/>
        <v>0</v>
      </c>
    </row>
    <row r="10892" spans="6:10" ht="15.75" hidden="1" thickBot="1">
      <c r="F10892" s="569">
        <v>514</v>
      </c>
      <c r="G10892" s="562" t="s">
        <v>4203</v>
      </c>
      <c r="J10892" s="635">
        <f t="shared" si="341"/>
        <v>0</v>
      </c>
    </row>
    <row r="10893" spans="6:10" ht="15.75" hidden="1" thickBot="1">
      <c r="F10893" s="569">
        <v>515</v>
      </c>
      <c r="G10893" s="562" t="s">
        <v>3838</v>
      </c>
      <c r="J10893" s="635">
        <f t="shared" si="341"/>
        <v>0</v>
      </c>
    </row>
    <row r="10894" spans="6:10" ht="15.75" hidden="1" thickBot="1">
      <c r="F10894" s="569">
        <v>521</v>
      </c>
      <c r="G10894" s="562" t="s">
        <v>4204</v>
      </c>
      <c r="J10894" s="635">
        <f t="shared" si="341"/>
        <v>0</v>
      </c>
    </row>
    <row r="10895" spans="6:10" ht="15.75" hidden="1" thickBot="1">
      <c r="F10895" s="569">
        <v>522</v>
      </c>
      <c r="G10895" s="562" t="s">
        <v>4205</v>
      </c>
      <c r="J10895" s="635">
        <f t="shared" si="341"/>
        <v>0</v>
      </c>
    </row>
    <row r="10896" spans="6:10" ht="15.75" hidden="1" thickBot="1">
      <c r="F10896" s="569">
        <v>523</v>
      </c>
      <c r="G10896" s="562" t="s">
        <v>3843</v>
      </c>
      <c r="J10896" s="635">
        <f t="shared" si="341"/>
        <v>0</v>
      </c>
    </row>
    <row r="10897" spans="5:10" ht="15.75" hidden="1" thickBot="1">
      <c r="F10897" s="569">
        <v>531</v>
      </c>
      <c r="G10897" s="558" t="s">
        <v>4181</v>
      </c>
      <c r="J10897" s="635">
        <f t="shared" si="341"/>
        <v>0</v>
      </c>
    </row>
    <row r="10898" spans="5:10" ht="15.75" hidden="1" thickBot="1">
      <c r="F10898" s="569">
        <v>541</v>
      </c>
      <c r="G10898" s="562" t="s">
        <v>4206</v>
      </c>
      <c r="J10898" s="635">
        <f t="shared" si="341"/>
        <v>0</v>
      </c>
    </row>
    <row r="10899" spans="5:10" ht="15.75" hidden="1" thickBot="1">
      <c r="F10899" s="569">
        <v>542</v>
      </c>
      <c r="G10899" s="562" t="s">
        <v>4207</v>
      </c>
      <c r="J10899" s="635">
        <f t="shared" si="341"/>
        <v>0</v>
      </c>
    </row>
    <row r="10900" spans="5:10" ht="15.75" hidden="1" thickBot="1">
      <c r="F10900" s="569">
        <v>543</v>
      </c>
      <c r="G10900" s="562" t="s">
        <v>3848</v>
      </c>
      <c r="J10900" s="635">
        <f t="shared" si="341"/>
        <v>0</v>
      </c>
    </row>
    <row r="10901" spans="5:10" ht="30.75" hidden="1" thickBot="1">
      <c r="F10901" s="569">
        <v>551</v>
      </c>
      <c r="G10901" s="562" t="s">
        <v>4182</v>
      </c>
      <c r="J10901" s="635">
        <f t="shared" si="341"/>
        <v>0</v>
      </c>
    </row>
    <row r="10902" spans="5:10" ht="15.75" hidden="1" thickBot="1">
      <c r="F10902" s="570">
        <v>611</v>
      </c>
      <c r="G10902" s="568" t="s">
        <v>3854</v>
      </c>
      <c r="J10902" s="635">
        <f t="shared" si="341"/>
        <v>0</v>
      </c>
    </row>
    <row r="10903" spans="5:10" ht="15.75" hidden="1" thickBot="1">
      <c r="F10903" s="570">
        <v>620</v>
      </c>
      <c r="G10903" s="568" t="s">
        <v>88</v>
      </c>
      <c r="J10903" s="635">
        <f t="shared" si="341"/>
        <v>0</v>
      </c>
    </row>
    <row r="10904" spans="5:10" hidden="1">
      <c r="E10904" s="559"/>
      <c r="F10904" s="570"/>
      <c r="G10904" s="371" t="s">
        <v>4439</v>
      </c>
      <c r="H10904" s="636"/>
      <c r="I10904" s="662"/>
      <c r="J10904" s="637"/>
    </row>
    <row r="10905" spans="5:10" hidden="1">
      <c r="E10905" s="267"/>
      <c r="F10905" s="682" t="s">
        <v>234</v>
      </c>
      <c r="G10905" s="683" t="s">
        <v>235</v>
      </c>
      <c r="H10905" s="638">
        <f>SUM(H10844:H10903)</f>
        <v>0</v>
      </c>
      <c r="I10905" s="639"/>
      <c r="J10905" s="639">
        <f>SUM(H10905:I10905)</f>
        <v>0</v>
      </c>
    </row>
    <row r="10906" spans="5:10" hidden="1">
      <c r="F10906" s="682" t="s">
        <v>236</v>
      </c>
      <c r="G10906" s="683" t="s">
        <v>237</v>
      </c>
      <c r="J10906" s="639">
        <f t="shared" ref="J10906:J10920" si="342">SUM(H10906:I10906)</f>
        <v>0</v>
      </c>
    </row>
    <row r="10907" spans="5:10" hidden="1">
      <c r="F10907" s="682" t="s">
        <v>238</v>
      </c>
      <c r="G10907" s="683" t="s">
        <v>239</v>
      </c>
      <c r="J10907" s="639">
        <f t="shared" si="342"/>
        <v>0</v>
      </c>
    </row>
    <row r="10908" spans="5:10" ht="15.75" hidden="1" thickBot="1">
      <c r="F10908" s="682" t="s">
        <v>240</v>
      </c>
      <c r="G10908" s="683" t="s">
        <v>241</v>
      </c>
      <c r="J10908" s="639">
        <f t="shared" si="342"/>
        <v>0</v>
      </c>
    </row>
    <row r="10909" spans="5:10" ht="15.75" hidden="1" thickBot="1">
      <c r="F10909" s="682" t="s">
        <v>242</v>
      </c>
      <c r="G10909" s="683" t="s">
        <v>243</v>
      </c>
      <c r="J10909" s="639">
        <f t="shared" si="342"/>
        <v>0</v>
      </c>
    </row>
    <row r="10910" spans="5:10" ht="15.75" hidden="1" thickBot="1">
      <c r="F10910" s="682" t="s">
        <v>244</v>
      </c>
      <c r="G10910" s="683" t="s">
        <v>245</v>
      </c>
      <c r="J10910" s="639">
        <f t="shared" si="342"/>
        <v>0</v>
      </c>
    </row>
    <row r="10911" spans="5:10" ht="15.75" hidden="1" thickBot="1">
      <c r="F10911" s="682" t="s">
        <v>246</v>
      </c>
      <c r="G10911" s="683" t="s">
        <v>5121</v>
      </c>
      <c r="J10911" s="639">
        <f t="shared" si="342"/>
        <v>0</v>
      </c>
    </row>
    <row r="10912" spans="5:10" ht="15.75" hidden="1" thickBot="1">
      <c r="F10912" s="682" t="s">
        <v>247</v>
      </c>
      <c r="G10912" s="683" t="s">
        <v>5120</v>
      </c>
      <c r="J10912" s="639">
        <f t="shared" si="342"/>
        <v>0</v>
      </c>
    </row>
    <row r="10913" spans="5:10" ht="15.75" hidden="1" thickBot="1">
      <c r="F10913" s="682" t="s">
        <v>248</v>
      </c>
      <c r="G10913" s="683" t="s">
        <v>57</v>
      </c>
      <c r="J10913" s="639">
        <f t="shared" si="342"/>
        <v>0</v>
      </c>
    </row>
    <row r="10914" spans="5:10" ht="15.75" hidden="1" thickBot="1">
      <c r="F10914" s="682" t="s">
        <v>249</v>
      </c>
      <c r="G10914" s="683" t="s">
        <v>250</v>
      </c>
      <c r="J10914" s="639">
        <f t="shared" si="342"/>
        <v>0</v>
      </c>
    </row>
    <row r="10915" spans="5:10" ht="15.75" hidden="1" thickBot="1">
      <c r="F10915" s="682" t="s">
        <v>251</v>
      </c>
      <c r="G10915" s="683" t="s">
        <v>252</v>
      </c>
      <c r="J10915" s="639">
        <f t="shared" si="342"/>
        <v>0</v>
      </c>
    </row>
    <row r="10916" spans="5:10" ht="15.75" hidden="1" thickBot="1">
      <c r="F10916" s="682" t="s">
        <v>253</v>
      </c>
      <c r="G10916" s="683" t="s">
        <v>254</v>
      </c>
      <c r="J10916" s="639">
        <f t="shared" si="342"/>
        <v>0</v>
      </c>
    </row>
    <row r="10917" spans="5:10" ht="15.75" hidden="1" thickBot="1">
      <c r="F10917" s="682" t="s">
        <v>255</v>
      </c>
      <c r="G10917" s="683" t="s">
        <v>256</v>
      </c>
      <c r="J10917" s="639">
        <f t="shared" si="342"/>
        <v>0</v>
      </c>
    </row>
    <row r="10918" spans="5:10" ht="15.75" hidden="1" thickBot="1">
      <c r="F10918" s="682" t="s">
        <v>257</v>
      </c>
      <c r="G10918" s="683" t="s">
        <v>258</v>
      </c>
      <c r="J10918" s="639">
        <f t="shared" si="342"/>
        <v>0</v>
      </c>
    </row>
    <row r="10919" spans="5:10" ht="15.75" hidden="1" thickBot="1">
      <c r="F10919" s="682" t="s">
        <v>259</v>
      </c>
      <c r="G10919" s="683" t="s">
        <v>260</v>
      </c>
      <c r="J10919" s="639">
        <f t="shared" si="342"/>
        <v>0</v>
      </c>
    </row>
    <row r="10920" spans="5:10" ht="15.75" hidden="1" thickBot="1">
      <c r="F10920" s="682" t="s">
        <v>261</v>
      </c>
      <c r="G10920" s="683" t="s">
        <v>262</v>
      </c>
      <c r="H10920" s="638"/>
      <c r="I10920" s="639"/>
      <c r="J10920" s="639">
        <f t="shared" si="342"/>
        <v>0</v>
      </c>
    </row>
    <row r="10921" spans="5:10" ht="15.75" hidden="1" thickBot="1">
      <c r="G10921" s="274" t="s">
        <v>4440</v>
      </c>
      <c r="H10921" s="640">
        <f>SUM(H10905:H10920)</f>
        <v>0</v>
      </c>
      <c r="I10921" s="641">
        <f>SUM(I10906:I10920)</f>
        <v>0</v>
      </c>
      <c r="J10921" s="641">
        <f>SUM(J10905:J10920)</f>
        <v>0</v>
      </c>
    </row>
    <row r="10922" spans="5:10" hidden="1" collapsed="1">
      <c r="E10922" s="559"/>
      <c r="F10922" s="570"/>
      <c r="G10922" s="276" t="s">
        <v>5040</v>
      </c>
      <c r="H10922" s="642"/>
      <c r="I10922" s="663"/>
      <c r="J10922" s="643"/>
    </row>
    <row r="10923" spans="5:10" hidden="1">
      <c r="E10923" s="267"/>
      <c r="F10923" s="682" t="s">
        <v>234</v>
      </c>
      <c r="G10923" s="683" t="s">
        <v>235</v>
      </c>
      <c r="H10923" s="638">
        <f>SUM(H10844:H10903)</f>
        <v>0</v>
      </c>
      <c r="I10923" s="639"/>
      <c r="J10923" s="639">
        <f>SUM(H10923:I10923)</f>
        <v>0</v>
      </c>
    </row>
    <row r="10924" spans="5:10" hidden="1">
      <c r="F10924" s="682" t="s">
        <v>236</v>
      </c>
      <c r="G10924" s="683" t="s">
        <v>237</v>
      </c>
      <c r="J10924" s="639">
        <f t="shared" ref="J10924:J10938" si="343">SUM(H10924:I10924)</f>
        <v>0</v>
      </c>
    </row>
    <row r="10925" spans="5:10" hidden="1">
      <c r="F10925" s="682" t="s">
        <v>238</v>
      </c>
      <c r="G10925" s="683" t="s">
        <v>239</v>
      </c>
      <c r="J10925" s="639">
        <f t="shared" si="343"/>
        <v>0</v>
      </c>
    </row>
    <row r="10926" spans="5:10" ht="15.75" hidden="1" thickBot="1">
      <c r="F10926" s="682" t="s">
        <v>240</v>
      </c>
      <c r="G10926" s="683" t="s">
        <v>241</v>
      </c>
      <c r="J10926" s="639">
        <f t="shared" si="343"/>
        <v>0</v>
      </c>
    </row>
    <row r="10927" spans="5:10" ht="15.75" hidden="1" thickBot="1">
      <c r="F10927" s="682" t="s">
        <v>242</v>
      </c>
      <c r="G10927" s="683" t="s">
        <v>243</v>
      </c>
      <c r="J10927" s="639">
        <f t="shared" si="343"/>
        <v>0</v>
      </c>
    </row>
    <row r="10928" spans="5:10" ht="15.75" hidden="1" thickBot="1">
      <c r="F10928" s="682" t="s">
        <v>244</v>
      </c>
      <c r="G10928" s="683" t="s">
        <v>245</v>
      </c>
      <c r="J10928" s="639">
        <f t="shared" si="343"/>
        <v>0</v>
      </c>
    </row>
    <row r="10929" spans="3:10" ht="15.75" hidden="1" thickBot="1">
      <c r="F10929" s="682" t="s">
        <v>246</v>
      </c>
      <c r="G10929" s="683" t="s">
        <v>5121</v>
      </c>
      <c r="J10929" s="639">
        <f t="shared" si="343"/>
        <v>0</v>
      </c>
    </row>
    <row r="10930" spans="3:10" ht="15.75" hidden="1" thickBot="1">
      <c r="F10930" s="682" t="s">
        <v>247</v>
      </c>
      <c r="G10930" s="683" t="s">
        <v>5120</v>
      </c>
      <c r="J10930" s="639">
        <f t="shared" si="343"/>
        <v>0</v>
      </c>
    </row>
    <row r="10931" spans="3:10" ht="15.75" hidden="1" thickBot="1">
      <c r="F10931" s="682" t="s">
        <v>248</v>
      </c>
      <c r="G10931" s="683" t="s">
        <v>57</v>
      </c>
      <c r="J10931" s="639">
        <f t="shared" si="343"/>
        <v>0</v>
      </c>
    </row>
    <row r="10932" spans="3:10" ht="15.75" hidden="1" thickBot="1">
      <c r="F10932" s="682" t="s">
        <v>249</v>
      </c>
      <c r="G10932" s="683" t="s">
        <v>250</v>
      </c>
      <c r="J10932" s="639">
        <f t="shared" si="343"/>
        <v>0</v>
      </c>
    </row>
    <row r="10933" spans="3:10" ht="15.75" hidden="1" thickBot="1">
      <c r="F10933" s="682" t="s">
        <v>251</v>
      </c>
      <c r="G10933" s="683" t="s">
        <v>252</v>
      </c>
      <c r="J10933" s="639">
        <f t="shared" si="343"/>
        <v>0</v>
      </c>
    </row>
    <row r="10934" spans="3:10" ht="15.75" hidden="1" thickBot="1">
      <c r="F10934" s="682" t="s">
        <v>253</v>
      </c>
      <c r="G10934" s="683" t="s">
        <v>254</v>
      </c>
      <c r="J10934" s="639">
        <f t="shared" si="343"/>
        <v>0</v>
      </c>
    </row>
    <row r="10935" spans="3:10" ht="15.75" hidden="1" thickBot="1">
      <c r="F10935" s="682" t="s">
        <v>255</v>
      </c>
      <c r="G10935" s="683" t="s">
        <v>256</v>
      </c>
      <c r="J10935" s="639">
        <f t="shared" si="343"/>
        <v>0</v>
      </c>
    </row>
    <row r="10936" spans="3:10" ht="15.75" hidden="1" thickBot="1">
      <c r="F10936" s="682" t="s">
        <v>257</v>
      </c>
      <c r="G10936" s="683" t="s">
        <v>258</v>
      </c>
      <c r="J10936" s="639">
        <f t="shared" si="343"/>
        <v>0</v>
      </c>
    </row>
    <row r="10937" spans="3:10" ht="15.75" hidden="1" thickBot="1">
      <c r="F10937" s="682" t="s">
        <v>259</v>
      </c>
      <c r="G10937" s="683" t="s">
        <v>260</v>
      </c>
      <c r="J10937" s="639">
        <f t="shared" si="343"/>
        <v>0</v>
      </c>
    </row>
    <row r="10938" spans="3:10" ht="15.75" hidden="1" thickBot="1">
      <c r="F10938" s="682" t="s">
        <v>261</v>
      </c>
      <c r="G10938" s="683" t="s">
        <v>262</v>
      </c>
      <c r="H10938" s="638"/>
      <c r="I10938" s="639"/>
      <c r="J10938" s="639">
        <f t="shared" si="343"/>
        <v>0</v>
      </c>
    </row>
    <row r="10939" spans="3:10" ht="15.75" hidden="1" thickBot="1">
      <c r="G10939" s="274" t="s">
        <v>5027</v>
      </c>
      <c r="H10939" s="640">
        <f>SUM(H10923:H10938)</f>
        <v>0</v>
      </c>
      <c r="I10939" s="641">
        <f>SUM(I10924:I10938)</f>
        <v>0</v>
      </c>
      <c r="J10939" s="641">
        <f>SUM(J10923:J10938)</f>
        <v>0</v>
      </c>
    </row>
    <row r="10940" spans="3:10" hidden="1">
      <c r="G10940" s="331"/>
      <c r="H10940" s="644"/>
      <c r="I10940" s="645"/>
      <c r="J10940" s="645"/>
    </row>
    <row r="10941" spans="3:10" hidden="1">
      <c r="C10941" s="273" t="s">
        <v>4844</v>
      </c>
      <c r="D10941" s="264"/>
      <c r="G10941" s="563" t="s">
        <v>4240</v>
      </c>
    </row>
    <row r="10942" spans="3:10" hidden="1">
      <c r="C10942" s="273"/>
      <c r="D10942" s="357">
        <v>820</v>
      </c>
      <c r="E10942" s="357"/>
      <c r="F10942" s="357"/>
      <c r="G10942" s="358" t="s">
        <v>207</v>
      </c>
    </row>
    <row r="10943" spans="3:10" hidden="1">
      <c r="F10943" s="569">
        <v>411</v>
      </c>
      <c r="G10943" s="562" t="s">
        <v>4173</v>
      </c>
      <c r="J10943" s="635">
        <f>SUM(H10943:I10943)</f>
        <v>0</v>
      </c>
    </row>
    <row r="10944" spans="3:10" hidden="1">
      <c r="F10944" s="569">
        <v>412</v>
      </c>
      <c r="G10944" s="558" t="s">
        <v>3770</v>
      </c>
      <c r="J10944" s="635">
        <f t="shared" ref="J10944:J11002" si="344">SUM(H10944:I10944)</f>
        <v>0</v>
      </c>
    </row>
    <row r="10945" spans="6:10" hidden="1">
      <c r="F10945" s="569">
        <v>413</v>
      </c>
      <c r="G10945" s="562" t="s">
        <v>4174</v>
      </c>
      <c r="J10945" s="635">
        <f t="shared" si="344"/>
        <v>0</v>
      </c>
    </row>
    <row r="10946" spans="6:10" hidden="1">
      <c r="F10946" s="569">
        <v>414</v>
      </c>
      <c r="G10946" s="562" t="s">
        <v>3773</v>
      </c>
      <c r="J10946" s="635">
        <f t="shared" si="344"/>
        <v>0</v>
      </c>
    </row>
    <row r="10947" spans="6:10" hidden="1">
      <c r="F10947" s="569">
        <v>415</v>
      </c>
      <c r="G10947" s="562" t="s">
        <v>4183</v>
      </c>
      <c r="J10947" s="635">
        <f t="shared" si="344"/>
        <v>0</v>
      </c>
    </row>
    <row r="10948" spans="6:10" hidden="1">
      <c r="F10948" s="569">
        <v>416</v>
      </c>
      <c r="G10948" s="562" t="s">
        <v>4184</v>
      </c>
      <c r="J10948" s="635">
        <f t="shared" si="344"/>
        <v>0</v>
      </c>
    </row>
    <row r="10949" spans="6:10" hidden="1">
      <c r="F10949" s="569">
        <v>417</v>
      </c>
      <c r="G10949" s="562" t="s">
        <v>4185</v>
      </c>
      <c r="J10949" s="635">
        <f t="shared" si="344"/>
        <v>0</v>
      </c>
    </row>
    <row r="10950" spans="6:10" hidden="1">
      <c r="F10950" s="569">
        <v>418</v>
      </c>
      <c r="G10950" s="562" t="s">
        <v>3779</v>
      </c>
      <c r="J10950" s="635">
        <f t="shared" si="344"/>
        <v>0</v>
      </c>
    </row>
    <row r="10951" spans="6:10" hidden="1">
      <c r="F10951" s="569">
        <v>421</v>
      </c>
      <c r="G10951" s="562" t="s">
        <v>3783</v>
      </c>
      <c r="J10951" s="635">
        <f t="shared" si="344"/>
        <v>0</v>
      </c>
    </row>
    <row r="10952" spans="6:10" hidden="1">
      <c r="F10952" s="569">
        <v>422</v>
      </c>
      <c r="G10952" s="562" t="s">
        <v>3784</v>
      </c>
      <c r="J10952" s="635">
        <f t="shared" si="344"/>
        <v>0</v>
      </c>
    </row>
    <row r="10953" spans="6:10" hidden="1">
      <c r="F10953" s="569">
        <v>423</v>
      </c>
      <c r="G10953" s="562" t="s">
        <v>3785</v>
      </c>
      <c r="J10953" s="635">
        <f t="shared" si="344"/>
        <v>0</v>
      </c>
    </row>
    <row r="10954" spans="6:10" hidden="1">
      <c r="F10954" s="569">
        <v>424</v>
      </c>
      <c r="G10954" s="562" t="s">
        <v>3787</v>
      </c>
      <c r="J10954" s="635">
        <f t="shared" si="344"/>
        <v>0</v>
      </c>
    </row>
    <row r="10955" spans="6:10" hidden="1">
      <c r="F10955" s="569">
        <v>425</v>
      </c>
      <c r="G10955" s="562" t="s">
        <v>4186</v>
      </c>
      <c r="J10955" s="635">
        <f t="shared" si="344"/>
        <v>0</v>
      </c>
    </row>
    <row r="10956" spans="6:10" hidden="1">
      <c r="F10956" s="569">
        <v>426</v>
      </c>
      <c r="G10956" s="562" t="s">
        <v>3791</v>
      </c>
      <c r="J10956" s="635">
        <f t="shared" si="344"/>
        <v>0</v>
      </c>
    </row>
    <row r="10957" spans="6:10" hidden="1">
      <c r="F10957" s="569">
        <v>431</v>
      </c>
      <c r="G10957" s="562" t="s">
        <v>4187</v>
      </c>
      <c r="J10957" s="635">
        <f t="shared" si="344"/>
        <v>0</v>
      </c>
    </row>
    <row r="10958" spans="6:10" hidden="1">
      <c r="F10958" s="569">
        <v>432</v>
      </c>
      <c r="G10958" s="562" t="s">
        <v>4188</v>
      </c>
      <c r="J10958" s="635">
        <f t="shared" si="344"/>
        <v>0</v>
      </c>
    </row>
    <row r="10959" spans="6:10" hidden="1">
      <c r="F10959" s="569">
        <v>433</v>
      </c>
      <c r="G10959" s="562" t="s">
        <v>4189</v>
      </c>
      <c r="J10959" s="635">
        <f t="shared" si="344"/>
        <v>0</v>
      </c>
    </row>
    <row r="10960" spans="6:10" hidden="1">
      <c r="F10960" s="569">
        <v>434</v>
      </c>
      <c r="G10960" s="562" t="s">
        <v>4190</v>
      </c>
      <c r="J10960" s="635">
        <f t="shared" si="344"/>
        <v>0</v>
      </c>
    </row>
    <row r="10961" spans="6:10" hidden="1">
      <c r="F10961" s="569">
        <v>435</v>
      </c>
      <c r="G10961" s="562" t="s">
        <v>3798</v>
      </c>
      <c r="J10961" s="635">
        <f t="shared" si="344"/>
        <v>0</v>
      </c>
    </row>
    <row r="10962" spans="6:10" hidden="1">
      <c r="F10962" s="569">
        <v>441</v>
      </c>
      <c r="G10962" s="562" t="s">
        <v>4191</v>
      </c>
      <c r="J10962" s="635">
        <f t="shared" si="344"/>
        <v>0</v>
      </c>
    </row>
    <row r="10963" spans="6:10" hidden="1">
      <c r="F10963" s="569">
        <v>442</v>
      </c>
      <c r="G10963" s="562" t="s">
        <v>4192</v>
      </c>
      <c r="J10963" s="635">
        <f t="shared" si="344"/>
        <v>0</v>
      </c>
    </row>
    <row r="10964" spans="6:10" hidden="1">
      <c r="F10964" s="569">
        <v>443</v>
      </c>
      <c r="G10964" s="562" t="s">
        <v>3803</v>
      </c>
      <c r="J10964" s="635">
        <f t="shared" si="344"/>
        <v>0</v>
      </c>
    </row>
    <row r="10965" spans="6:10" hidden="1">
      <c r="F10965" s="569">
        <v>444</v>
      </c>
      <c r="G10965" s="562" t="s">
        <v>3804</v>
      </c>
      <c r="J10965" s="635">
        <f t="shared" si="344"/>
        <v>0</v>
      </c>
    </row>
    <row r="10966" spans="6:10" ht="30" hidden="1">
      <c r="F10966" s="569">
        <v>4511</v>
      </c>
      <c r="G10966" s="268" t="s">
        <v>1690</v>
      </c>
      <c r="J10966" s="635">
        <f t="shared" si="344"/>
        <v>0</v>
      </c>
    </row>
    <row r="10967" spans="6:10" ht="30" hidden="1">
      <c r="F10967" s="569">
        <v>4512</v>
      </c>
      <c r="G10967" s="268" t="s">
        <v>1699</v>
      </c>
      <c r="J10967" s="635">
        <f t="shared" si="344"/>
        <v>0</v>
      </c>
    </row>
    <row r="10968" spans="6:10" hidden="1">
      <c r="F10968" s="569">
        <v>452</v>
      </c>
      <c r="G10968" s="562" t="s">
        <v>4193</v>
      </c>
      <c r="J10968" s="635">
        <f t="shared" si="344"/>
        <v>0</v>
      </c>
    </row>
    <row r="10969" spans="6:10" hidden="1">
      <c r="F10969" s="569">
        <v>453</v>
      </c>
      <c r="G10969" s="562" t="s">
        <v>4194</v>
      </c>
      <c r="J10969" s="635">
        <f t="shared" si="344"/>
        <v>0</v>
      </c>
    </row>
    <row r="10970" spans="6:10" hidden="1">
      <c r="F10970" s="569">
        <v>454</v>
      </c>
      <c r="G10970" s="562" t="s">
        <v>3809</v>
      </c>
      <c r="J10970" s="635">
        <f t="shared" si="344"/>
        <v>0</v>
      </c>
    </row>
    <row r="10971" spans="6:10" hidden="1">
      <c r="F10971" s="569">
        <v>461</v>
      </c>
      <c r="G10971" s="562" t="s">
        <v>4175</v>
      </c>
      <c r="J10971" s="635">
        <f t="shared" si="344"/>
        <v>0</v>
      </c>
    </row>
    <row r="10972" spans="6:10" hidden="1">
      <c r="F10972" s="569">
        <v>462</v>
      </c>
      <c r="G10972" s="562" t="s">
        <v>3812</v>
      </c>
      <c r="J10972" s="635">
        <f t="shared" si="344"/>
        <v>0</v>
      </c>
    </row>
    <row r="10973" spans="6:10" hidden="1">
      <c r="F10973" s="569">
        <v>4631</v>
      </c>
      <c r="G10973" s="562" t="s">
        <v>3813</v>
      </c>
      <c r="J10973" s="635">
        <f t="shared" si="344"/>
        <v>0</v>
      </c>
    </row>
    <row r="10974" spans="6:10" hidden="1">
      <c r="F10974" s="569">
        <v>4632</v>
      </c>
      <c r="G10974" s="562" t="s">
        <v>3814</v>
      </c>
      <c r="J10974" s="635">
        <f t="shared" si="344"/>
        <v>0</v>
      </c>
    </row>
    <row r="10975" spans="6:10" hidden="1">
      <c r="F10975" s="569">
        <v>464</v>
      </c>
      <c r="G10975" s="562" t="s">
        <v>3815</v>
      </c>
      <c r="J10975" s="635">
        <f t="shared" si="344"/>
        <v>0</v>
      </c>
    </row>
    <row r="10976" spans="6:10" hidden="1">
      <c r="F10976" s="569">
        <v>465</v>
      </c>
      <c r="G10976" s="562" t="s">
        <v>4176</v>
      </c>
      <c r="J10976" s="635">
        <f t="shared" si="344"/>
        <v>0</v>
      </c>
    </row>
    <row r="10977" spans="6:10" ht="15.75" hidden="1" thickBot="1">
      <c r="F10977" s="569">
        <v>472</v>
      </c>
      <c r="G10977" s="562" t="s">
        <v>3819</v>
      </c>
      <c r="J10977" s="635">
        <f t="shared" si="344"/>
        <v>0</v>
      </c>
    </row>
    <row r="10978" spans="6:10" ht="15.75" hidden="1" thickBot="1">
      <c r="F10978" s="569">
        <v>481</v>
      </c>
      <c r="G10978" s="562" t="s">
        <v>4195</v>
      </c>
      <c r="J10978" s="635">
        <f t="shared" si="344"/>
        <v>0</v>
      </c>
    </row>
    <row r="10979" spans="6:10" ht="15.75" hidden="1" thickBot="1">
      <c r="F10979" s="569">
        <v>482</v>
      </c>
      <c r="G10979" s="562" t="s">
        <v>4196</v>
      </c>
      <c r="J10979" s="635">
        <f t="shared" si="344"/>
        <v>0</v>
      </c>
    </row>
    <row r="10980" spans="6:10" ht="15.75" hidden="1" thickBot="1">
      <c r="F10980" s="569">
        <v>483</v>
      </c>
      <c r="G10980" s="566" t="s">
        <v>4197</v>
      </c>
      <c r="J10980" s="635">
        <f t="shared" si="344"/>
        <v>0</v>
      </c>
    </row>
    <row r="10981" spans="6:10" ht="30.75" hidden="1" thickBot="1">
      <c r="F10981" s="569">
        <v>484</v>
      </c>
      <c r="G10981" s="562" t="s">
        <v>4198</v>
      </c>
      <c r="J10981" s="635">
        <f t="shared" si="344"/>
        <v>0</v>
      </c>
    </row>
    <row r="10982" spans="6:10" ht="30.75" hidden="1" thickBot="1">
      <c r="F10982" s="569">
        <v>485</v>
      </c>
      <c r="G10982" s="562" t="s">
        <v>4199</v>
      </c>
      <c r="J10982" s="635">
        <f t="shared" si="344"/>
        <v>0</v>
      </c>
    </row>
    <row r="10983" spans="6:10" ht="30.75" hidden="1" thickBot="1">
      <c r="F10983" s="569">
        <v>489</v>
      </c>
      <c r="G10983" s="562" t="s">
        <v>3827</v>
      </c>
      <c r="J10983" s="635">
        <f t="shared" si="344"/>
        <v>0</v>
      </c>
    </row>
    <row r="10984" spans="6:10" ht="15.75" hidden="1" thickBot="1">
      <c r="F10984" s="569">
        <v>494</v>
      </c>
      <c r="G10984" s="562" t="s">
        <v>4177</v>
      </c>
      <c r="J10984" s="635">
        <f t="shared" si="344"/>
        <v>0</v>
      </c>
    </row>
    <row r="10985" spans="6:10" ht="30.75" hidden="1" thickBot="1">
      <c r="F10985" s="569">
        <v>495</v>
      </c>
      <c r="G10985" s="562" t="s">
        <v>4178</v>
      </c>
      <c r="J10985" s="635">
        <f t="shared" si="344"/>
        <v>0</v>
      </c>
    </row>
    <row r="10986" spans="6:10" ht="30.75" hidden="1" thickBot="1">
      <c r="F10986" s="569">
        <v>496</v>
      </c>
      <c r="G10986" s="562" t="s">
        <v>4179</v>
      </c>
      <c r="J10986" s="635">
        <f t="shared" si="344"/>
        <v>0</v>
      </c>
    </row>
    <row r="10987" spans="6:10" ht="15.75" hidden="1" thickBot="1">
      <c r="F10987" s="569">
        <v>499</v>
      </c>
      <c r="G10987" s="562" t="s">
        <v>4180</v>
      </c>
      <c r="J10987" s="635">
        <f t="shared" si="344"/>
        <v>0</v>
      </c>
    </row>
    <row r="10988" spans="6:10" ht="15.75" hidden="1" thickBot="1">
      <c r="F10988" s="569">
        <v>511</v>
      </c>
      <c r="G10988" s="566" t="s">
        <v>4200</v>
      </c>
      <c r="J10988" s="635">
        <f t="shared" si="344"/>
        <v>0</v>
      </c>
    </row>
    <row r="10989" spans="6:10" ht="15.75" hidden="1" thickBot="1">
      <c r="F10989" s="569">
        <v>512</v>
      </c>
      <c r="G10989" s="566" t="s">
        <v>4201</v>
      </c>
      <c r="J10989" s="635">
        <f t="shared" si="344"/>
        <v>0</v>
      </c>
    </row>
    <row r="10990" spans="6:10" ht="15.75" hidden="1" thickBot="1">
      <c r="F10990" s="569">
        <v>513</v>
      </c>
      <c r="G10990" s="566" t="s">
        <v>4202</v>
      </c>
      <c r="J10990" s="635">
        <f t="shared" si="344"/>
        <v>0</v>
      </c>
    </row>
    <row r="10991" spans="6:10" ht="15.75" hidden="1" thickBot="1">
      <c r="F10991" s="569">
        <v>514</v>
      </c>
      <c r="G10991" s="562" t="s">
        <v>4203</v>
      </c>
      <c r="J10991" s="635">
        <f t="shared" si="344"/>
        <v>0</v>
      </c>
    </row>
    <row r="10992" spans="6:10" ht="15.75" hidden="1" thickBot="1">
      <c r="F10992" s="569">
        <v>515</v>
      </c>
      <c r="G10992" s="562" t="s">
        <v>3838</v>
      </c>
      <c r="J10992" s="635">
        <f t="shared" si="344"/>
        <v>0</v>
      </c>
    </row>
    <row r="10993" spans="5:10" ht="15.75" hidden="1" thickBot="1">
      <c r="F10993" s="569">
        <v>521</v>
      </c>
      <c r="G10993" s="562" t="s">
        <v>4204</v>
      </c>
      <c r="J10993" s="635">
        <f t="shared" si="344"/>
        <v>0</v>
      </c>
    </row>
    <row r="10994" spans="5:10" ht="15.75" hidden="1" thickBot="1">
      <c r="F10994" s="569">
        <v>522</v>
      </c>
      <c r="G10994" s="562" t="s">
        <v>4205</v>
      </c>
      <c r="J10994" s="635">
        <f t="shared" si="344"/>
        <v>0</v>
      </c>
    </row>
    <row r="10995" spans="5:10" ht="15.75" hidden="1" thickBot="1">
      <c r="F10995" s="569">
        <v>523</v>
      </c>
      <c r="G10995" s="562" t="s">
        <v>3843</v>
      </c>
      <c r="J10995" s="635">
        <f t="shared" si="344"/>
        <v>0</v>
      </c>
    </row>
    <row r="10996" spans="5:10" ht="15.75" hidden="1" thickBot="1">
      <c r="F10996" s="569">
        <v>531</v>
      </c>
      <c r="G10996" s="558" t="s">
        <v>4181</v>
      </c>
      <c r="J10996" s="635">
        <f t="shared" si="344"/>
        <v>0</v>
      </c>
    </row>
    <row r="10997" spans="5:10" ht="15.75" hidden="1" thickBot="1">
      <c r="F10997" s="569">
        <v>541</v>
      </c>
      <c r="G10997" s="562" t="s">
        <v>4206</v>
      </c>
      <c r="J10997" s="635">
        <f t="shared" si="344"/>
        <v>0</v>
      </c>
    </row>
    <row r="10998" spans="5:10" ht="15.75" hidden="1" thickBot="1">
      <c r="F10998" s="569">
        <v>542</v>
      </c>
      <c r="G10998" s="562" t="s">
        <v>4207</v>
      </c>
      <c r="J10998" s="635">
        <f t="shared" si="344"/>
        <v>0</v>
      </c>
    </row>
    <row r="10999" spans="5:10" ht="15.75" hidden="1" thickBot="1">
      <c r="F10999" s="569">
        <v>543</v>
      </c>
      <c r="G10999" s="562" t="s">
        <v>3848</v>
      </c>
      <c r="J10999" s="635">
        <f t="shared" si="344"/>
        <v>0</v>
      </c>
    </row>
    <row r="11000" spans="5:10" ht="30.75" hidden="1" thickBot="1">
      <c r="F11000" s="569">
        <v>551</v>
      </c>
      <c r="G11000" s="562" t="s">
        <v>4182</v>
      </c>
      <c r="J11000" s="635">
        <f t="shared" si="344"/>
        <v>0</v>
      </c>
    </row>
    <row r="11001" spans="5:10" ht="15.75" hidden="1" thickBot="1">
      <c r="F11001" s="570">
        <v>611</v>
      </c>
      <c r="G11001" s="568" t="s">
        <v>3854</v>
      </c>
      <c r="J11001" s="635">
        <f t="shared" si="344"/>
        <v>0</v>
      </c>
    </row>
    <row r="11002" spans="5:10" ht="15.75" hidden="1" thickBot="1">
      <c r="F11002" s="570">
        <v>620</v>
      </c>
      <c r="G11002" s="568" t="s">
        <v>88</v>
      </c>
      <c r="J11002" s="635">
        <f t="shared" si="344"/>
        <v>0</v>
      </c>
    </row>
    <row r="11003" spans="5:10" hidden="1">
      <c r="E11003" s="559"/>
      <c r="F11003" s="570"/>
      <c r="G11003" s="371" t="s">
        <v>4439</v>
      </c>
      <c r="H11003" s="636"/>
      <c r="I11003" s="662"/>
      <c r="J11003" s="637"/>
    </row>
    <row r="11004" spans="5:10" hidden="1">
      <c r="E11004" s="267"/>
      <c r="F11004" s="682" t="s">
        <v>234</v>
      </c>
      <c r="G11004" s="683" t="s">
        <v>235</v>
      </c>
      <c r="H11004" s="638">
        <f>SUM(H10943:H11002)</f>
        <v>0</v>
      </c>
      <c r="I11004" s="639"/>
      <c r="J11004" s="639">
        <f>SUM(H11004:I11004)</f>
        <v>0</v>
      </c>
    </row>
    <row r="11005" spans="5:10" hidden="1">
      <c r="F11005" s="682" t="s">
        <v>236</v>
      </c>
      <c r="G11005" s="683" t="s">
        <v>237</v>
      </c>
      <c r="J11005" s="639">
        <f t="shared" ref="J11005:J11019" si="345">SUM(H11005:I11005)</f>
        <v>0</v>
      </c>
    </row>
    <row r="11006" spans="5:10" hidden="1">
      <c r="F11006" s="682" t="s">
        <v>238</v>
      </c>
      <c r="G11006" s="683" t="s">
        <v>239</v>
      </c>
      <c r="J11006" s="639">
        <f t="shared" si="345"/>
        <v>0</v>
      </c>
    </row>
    <row r="11007" spans="5:10" ht="15.75" hidden="1" thickBot="1">
      <c r="F11007" s="682" t="s">
        <v>240</v>
      </c>
      <c r="G11007" s="683" t="s">
        <v>241</v>
      </c>
      <c r="J11007" s="639">
        <f t="shared" si="345"/>
        <v>0</v>
      </c>
    </row>
    <row r="11008" spans="5:10" ht="15.75" hidden="1" thickBot="1">
      <c r="F11008" s="682" t="s">
        <v>242</v>
      </c>
      <c r="G11008" s="683" t="s">
        <v>243</v>
      </c>
      <c r="J11008" s="639">
        <f t="shared" si="345"/>
        <v>0</v>
      </c>
    </row>
    <row r="11009" spans="5:10" ht="15.75" hidden="1" thickBot="1">
      <c r="F11009" s="682" t="s">
        <v>244</v>
      </c>
      <c r="G11009" s="683" t="s">
        <v>245</v>
      </c>
      <c r="J11009" s="639">
        <f t="shared" si="345"/>
        <v>0</v>
      </c>
    </row>
    <row r="11010" spans="5:10" ht="15.75" hidden="1" thickBot="1">
      <c r="F11010" s="682" t="s">
        <v>246</v>
      </c>
      <c r="G11010" s="683" t="s">
        <v>5121</v>
      </c>
      <c r="J11010" s="639">
        <f t="shared" si="345"/>
        <v>0</v>
      </c>
    </row>
    <row r="11011" spans="5:10" ht="15.75" hidden="1" thickBot="1">
      <c r="F11011" s="682" t="s">
        <v>247</v>
      </c>
      <c r="G11011" s="683" t="s">
        <v>5120</v>
      </c>
      <c r="J11011" s="639">
        <f t="shared" si="345"/>
        <v>0</v>
      </c>
    </row>
    <row r="11012" spans="5:10" ht="15.75" hidden="1" thickBot="1">
      <c r="F11012" s="682" t="s">
        <v>248</v>
      </c>
      <c r="G11012" s="683" t="s">
        <v>57</v>
      </c>
      <c r="J11012" s="639">
        <f t="shared" si="345"/>
        <v>0</v>
      </c>
    </row>
    <row r="11013" spans="5:10" ht="15.75" hidden="1" thickBot="1">
      <c r="F11013" s="682" t="s">
        <v>249</v>
      </c>
      <c r="G11013" s="683" t="s">
        <v>250</v>
      </c>
      <c r="J11013" s="639">
        <f t="shared" si="345"/>
        <v>0</v>
      </c>
    </row>
    <row r="11014" spans="5:10" ht="15.75" hidden="1" thickBot="1">
      <c r="F11014" s="682" t="s">
        <v>251</v>
      </c>
      <c r="G11014" s="683" t="s">
        <v>252</v>
      </c>
      <c r="J11014" s="639">
        <f t="shared" si="345"/>
        <v>0</v>
      </c>
    </row>
    <row r="11015" spans="5:10" ht="15.75" hidden="1" thickBot="1">
      <c r="F11015" s="682" t="s">
        <v>253</v>
      </c>
      <c r="G11015" s="683" t="s">
        <v>254</v>
      </c>
      <c r="J11015" s="639">
        <f t="shared" si="345"/>
        <v>0</v>
      </c>
    </row>
    <row r="11016" spans="5:10" ht="15.75" hidden="1" thickBot="1">
      <c r="F11016" s="682" t="s">
        <v>255</v>
      </c>
      <c r="G11016" s="683" t="s">
        <v>256</v>
      </c>
      <c r="J11016" s="639">
        <f t="shared" si="345"/>
        <v>0</v>
      </c>
    </row>
    <row r="11017" spans="5:10" ht="15.75" hidden="1" thickBot="1">
      <c r="F11017" s="682" t="s">
        <v>257</v>
      </c>
      <c r="G11017" s="683" t="s">
        <v>258</v>
      </c>
      <c r="J11017" s="639">
        <f t="shared" si="345"/>
        <v>0</v>
      </c>
    </row>
    <row r="11018" spans="5:10" ht="15.75" hidden="1" thickBot="1">
      <c r="F11018" s="682" t="s">
        <v>259</v>
      </c>
      <c r="G11018" s="683" t="s">
        <v>260</v>
      </c>
      <c r="J11018" s="639">
        <f t="shared" si="345"/>
        <v>0</v>
      </c>
    </row>
    <row r="11019" spans="5:10" ht="15.75" hidden="1" thickBot="1">
      <c r="F11019" s="682" t="s">
        <v>261</v>
      </c>
      <c r="G11019" s="683" t="s">
        <v>262</v>
      </c>
      <c r="H11019" s="638"/>
      <c r="I11019" s="639"/>
      <c r="J11019" s="639">
        <f t="shared" si="345"/>
        <v>0</v>
      </c>
    </row>
    <row r="11020" spans="5:10" ht="15.75" hidden="1" thickBot="1">
      <c r="G11020" s="274" t="s">
        <v>4440</v>
      </c>
      <c r="H11020" s="640">
        <f>SUM(H11004:H11019)</f>
        <v>0</v>
      </c>
      <c r="I11020" s="641">
        <f>SUM(I11005:I11019)</f>
        <v>0</v>
      </c>
      <c r="J11020" s="641">
        <f>SUM(J11004:J11019)</f>
        <v>0</v>
      </c>
    </row>
    <row r="11021" spans="5:10" hidden="1" collapsed="1">
      <c r="E11021" s="559"/>
      <c r="F11021" s="570"/>
      <c r="G11021" s="276" t="s">
        <v>5102</v>
      </c>
      <c r="H11021" s="642"/>
      <c r="I11021" s="663"/>
      <c r="J11021" s="643"/>
    </row>
    <row r="11022" spans="5:10" hidden="1">
      <c r="E11022" s="267"/>
      <c r="F11022" s="682" t="s">
        <v>234</v>
      </c>
      <c r="G11022" s="683" t="s">
        <v>235</v>
      </c>
      <c r="H11022" s="638">
        <f>SUM(H10943:H11002)</f>
        <v>0</v>
      </c>
      <c r="I11022" s="639"/>
      <c r="J11022" s="639">
        <f>SUM(H11022:I11022)</f>
        <v>0</v>
      </c>
    </row>
    <row r="11023" spans="5:10" hidden="1">
      <c r="F11023" s="682" t="s">
        <v>236</v>
      </c>
      <c r="G11023" s="683" t="s">
        <v>237</v>
      </c>
      <c r="J11023" s="639">
        <f t="shared" ref="J11023:J11037" si="346">SUM(H11023:I11023)</f>
        <v>0</v>
      </c>
    </row>
    <row r="11024" spans="5:10" hidden="1">
      <c r="F11024" s="682" t="s">
        <v>238</v>
      </c>
      <c r="G11024" s="683" t="s">
        <v>239</v>
      </c>
      <c r="J11024" s="639">
        <f t="shared" si="346"/>
        <v>0</v>
      </c>
    </row>
    <row r="11025" spans="3:10" ht="15.75" hidden="1" thickBot="1">
      <c r="F11025" s="682" t="s">
        <v>240</v>
      </c>
      <c r="G11025" s="683" t="s">
        <v>241</v>
      </c>
      <c r="J11025" s="639">
        <f t="shared" si="346"/>
        <v>0</v>
      </c>
    </row>
    <row r="11026" spans="3:10" ht="15.75" hidden="1" thickBot="1">
      <c r="F11026" s="682" t="s">
        <v>242</v>
      </c>
      <c r="G11026" s="683" t="s">
        <v>243</v>
      </c>
      <c r="J11026" s="639">
        <f t="shared" si="346"/>
        <v>0</v>
      </c>
    </row>
    <row r="11027" spans="3:10" ht="15.75" hidden="1" thickBot="1">
      <c r="F11027" s="682" t="s">
        <v>244</v>
      </c>
      <c r="G11027" s="683" t="s">
        <v>245</v>
      </c>
      <c r="J11027" s="639">
        <f t="shared" si="346"/>
        <v>0</v>
      </c>
    </row>
    <row r="11028" spans="3:10" ht="15.75" hidden="1" thickBot="1">
      <c r="F11028" s="682" t="s">
        <v>246</v>
      </c>
      <c r="G11028" s="683" t="s">
        <v>5121</v>
      </c>
      <c r="J11028" s="639">
        <f t="shared" si="346"/>
        <v>0</v>
      </c>
    </row>
    <row r="11029" spans="3:10" ht="15.75" hidden="1" thickBot="1">
      <c r="F11029" s="682" t="s">
        <v>247</v>
      </c>
      <c r="G11029" s="683" t="s">
        <v>5120</v>
      </c>
      <c r="J11029" s="639">
        <f t="shared" si="346"/>
        <v>0</v>
      </c>
    </row>
    <row r="11030" spans="3:10" ht="15.75" hidden="1" thickBot="1">
      <c r="F11030" s="682" t="s">
        <v>248</v>
      </c>
      <c r="G11030" s="683" t="s">
        <v>57</v>
      </c>
      <c r="J11030" s="639">
        <f t="shared" si="346"/>
        <v>0</v>
      </c>
    </row>
    <row r="11031" spans="3:10" ht="15.75" hidden="1" thickBot="1">
      <c r="F11031" s="682" t="s">
        <v>249</v>
      </c>
      <c r="G11031" s="683" t="s">
        <v>250</v>
      </c>
      <c r="J11031" s="639">
        <f t="shared" si="346"/>
        <v>0</v>
      </c>
    </row>
    <row r="11032" spans="3:10" ht="15.75" hidden="1" thickBot="1">
      <c r="F11032" s="682" t="s">
        <v>251</v>
      </c>
      <c r="G11032" s="683" t="s">
        <v>252</v>
      </c>
      <c r="J11032" s="639">
        <f t="shared" si="346"/>
        <v>0</v>
      </c>
    </row>
    <row r="11033" spans="3:10" ht="15.75" hidden="1" thickBot="1">
      <c r="F11033" s="682" t="s">
        <v>253</v>
      </c>
      <c r="G11033" s="683" t="s">
        <v>254</v>
      </c>
      <c r="J11033" s="639">
        <f t="shared" si="346"/>
        <v>0</v>
      </c>
    </row>
    <row r="11034" spans="3:10" ht="15.75" hidden="1" thickBot="1">
      <c r="F11034" s="682" t="s">
        <v>255</v>
      </c>
      <c r="G11034" s="683" t="s">
        <v>256</v>
      </c>
      <c r="J11034" s="639">
        <f t="shared" si="346"/>
        <v>0</v>
      </c>
    </row>
    <row r="11035" spans="3:10" ht="15.75" hidden="1" thickBot="1">
      <c r="F11035" s="682" t="s">
        <v>257</v>
      </c>
      <c r="G11035" s="683" t="s">
        <v>258</v>
      </c>
      <c r="J11035" s="639">
        <f t="shared" si="346"/>
        <v>0</v>
      </c>
    </row>
    <row r="11036" spans="3:10" ht="15.75" hidden="1" thickBot="1">
      <c r="F11036" s="682" t="s">
        <v>259</v>
      </c>
      <c r="G11036" s="683" t="s">
        <v>260</v>
      </c>
      <c r="J11036" s="639">
        <f t="shared" si="346"/>
        <v>0</v>
      </c>
    </row>
    <row r="11037" spans="3:10" ht="15.75" hidden="1" thickBot="1">
      <c r="F11037" s="682" t="s">
        <v>261</v>
      </c>
      <c r="G11037" s="683" t="s">
        <v>262</v>
      </c>
      <c r="H11037" s="638"/>
      <c r="I11037" s="639"/>
      <c r="J11037" s="639">
        <f t="shared" si="346"/>
        <v>0</v>
      </c>
    </row>
    <row r="11038" spans="3:10" ht="15.75" hidden="1" thickBot="1">
      <c r="G11038" s="274" t="s">
        <v>5028</v>
      </c>
      <c r="H11038" s="640">
        <f>SUM(H11022:H11037)</f>
        <v>0</v>
      </c>
      <c r="I11038" s="641">
        <f>SUM(I11023:I11037)</f>
        <v>0</v>
      </c>
      <c r="J11038" s="641">
        <f>SUM(J11022:J11037)</f>
        <v>0</v>
      </c>
    </row>
    <row r="11039" spans="3:10" hidden="1">
      <c r="G11039" s="331"/>
      <c r="H11039" s="644"/>
      <c r="I11039" s="645"/>
      <c r="J11039" s="645"/>
    </row>
    <row r="11040" spans="3:10" hidden="1">
      <c r="C11040" s="273" t="s">
        <v>4845</v>
      </c>
      <c r="D11040" s="264"/>
      <c r="G11040" s="563" t="s">
        <v>4240</v>
      </c>
    </row>
    <row r="11041" spans="3:10" hidden="1">
      <c r="C11041" s="273"/>
      <c r="D11041" s="357">
        <v>820</v>
      </c>
      <c r="E11041" s="357"/>
      <c r="F11041" s="357"/>
      <c r="G11041" s="358" t="s">
        <v>207</v>
      </c>
    </row>
    <row r="11042" spans="3:10" hidden="1">
      <c r="F11042" s="569">
        <v>411</v>
      </c>
      <c r="G11042" s="562" t="s">
        <v>4173</v>
      </c>
      <c r="J11042" s="635">
        <f>SUM(H11042:I11042)</f>
        <v>0</v>
      </c>
    </row>
    <row r="11043" spans="3:10" hidden="1">
      <c r="F11043" s="569">
        <v>412</v>
      </c>
      <c r="G11043" s="558" t="s">
        <v>3770</v>
      </c>
      <c r="J11043" s="635">
        <f t="shared" ref="J11043:J11101" si="347">SUM(H11043:I11043)</f>
        <v>0</v>
      </c>
    </row>
    <row r="11044" spans="3:10" hidden="1">
      <c r="F11044" s="569">
        <v>413</v>
      </c>
      <c r="G11044" s="562" t="s">
        <v>4174</v>
      </c>
      <c r="J11044" s="635">
        <f t="shared" si="347"/>
        <v>0</v>
      </c>
    </row>
    <row r="11045" spans="3:10" hidden="1">
      <c r="F11045" s="569">
        <v>414</v>
      </c>
      <c r="G11045" s="562" t="s">
        <v>3773</v>
      </c>
      <c r="J11045" s="635">
        <f t="shared" si="347"/>
        <v>0</v>
      </c>
    </row>
    <row r="11046" spans="3:10" hidden="1">
      <c r="F11046" s="569">
        <v>415</v>
      </c>
      <c r="G11046" s="562" t="s">
        <v>4183</v>
      </c>
      <c r="J11046" s="635">
        <f t="shared" si="347"/>
        <v>0</v>
      </c>
    </row>
    <row r="11047" spans="3:10" hidden="1">
      <c r="F11047" s="569">
        <v>416</v>
      </c>
      <c r="G11047" s="562" t="s">
        <v>4184</v>
      </c>
      <c r="J11047" s="635">
        <f t="shared" si="347"/>
        <v>0</v>
      </c>
    </row>
    <row r="11048" spans="3:10" hidden="1">
      <c r="F11048" s="569">
        <v>417</v>
      </c>
      <c r="G11048" s="562" t="s">
        <v>4185</v>
      </c>
      <c r="J11048" s="635">
        <f t="shared" si="347"/>
        <v>0</v>
      </c>
    </row>
    <row r="11049" spans="3:10" hidden="1">
      <c r="F11049" s="569">
        <v>418</v>
      </c>
      <c r="G11049" s="562" t="s">
        <v>3779</v>
      </c>
      <c r="J11049" s="635">
        <f t="shared" si="347"/>
        <v>0</v>
      </c>
    </row>
    <row r="11050" spans="3:10" hidden="1">
      <c r="F11050" s="569">
        <v>421</v>
      </c>
      <c r="G11050" s="562" t="s">
        <v>3783</v>
      </c>
      <c r="J11050" s="635">
        <f t="shared" si="347"/>
        <v>0</v>
      </c>
    </row>
    <row r="11051" spans="3:10" hidden="1">
      <c r="F11051" s="569">
        <v>422</v>
      </c>
      <c r="G11051" s="562" t="s">
        <v>3784</v>
      </c>
      <c r="J11051" s="635">
        <f t="shared" si="347"/>
        <v>0</v>
      </c>
    </row>
    <row r="11052" spans="3:10" hidden="1">
      <c r="F11052" s="569">
        <v>423</v>
      </c>
      <c r="G11052" s="562" t="s">
        <v>3785</v>
      </c>
      <c r="J11052" s="635">
        <f t="shared" si="347"/>
        <v>0</v>
      </c>
    </row>
    <row r="11053" spans="3:10" hidden="1">
      <c r="F11053" s="569">
        <v>424</v>
      </c>
      <c r="G11053" s="562" t="s">
        <v>3787</v>
      </c>
      <c r="J11053" s="635">
        <f t="shared" si="347"/>
        <v>0</v>
      </c>
    </row>
    <row r="11054" spans="3:10" hidden="1">
      <c r="F11054" s="569">
        <v>425</v>
      </c>
      <c r="G11054" s="562" t="s">
        <v>4186</v>
      </c>
      <c r="J11054" s="635">
        <f t="shared" si="347"/>
        <v>0</v>
      </c>
    </row>
    <row r="11055" spans="3:10" hidden="1">
      <c r="F11055" s="569">
        <v>426</v>
      </c>
      <c r="G11055" s="562" t="s">
        <v>3791</v>
      </c>
      <c r="J11055" s="635">
        <f t="shared" si="347"/>
        <v>0</v>
      </c>
    </row>
    <row r="11056" spans="3:10" hidden="1">
      <c r="F11056" s="569">
        <v>431</v>
      </c>
      <c r="G11056" s="562" t="s">
        <v>4187</v>
      </c>
      <c r="J11056" s="635">
        <f t="shared" si="347"/>
        <v>0</v>
      </c>
    </row>
    <row r="11057" spans="6:10" hidden="1">
      <c r="F11057" s="569">
        <v>432</v>
      </c>
      <c r="G11057" s="562" t="s">
        <v>4188</v>
      </c>
      <c r="J11057" s="635">
        <f t="shared" si="347"/>
        <v>0</v>
      </c>
    </row>
    <row r="11058" spans="6:10" hidden="1">
      <c r="F11058" s="569">
        <v>433</v>
      </c>
      <c r="G11058" s="562" t="s">
        <v>4189</v>
      </c>
      <c r="J11058" s="635">
        <f t="shared" si="347"/>
        <v>0</v>
      </c>
    </row>
    <row r="11059" spans="6:10" hidden="1">
      <c r="F11059" s="569">
        <v>434</v>
      </c>
      <c r="G11059" s="562" t="s">
        <v>4190</v>
      </c>
      <c r="J11059" s="635">
        <f t="shared" si="347"/>
        <v>0</v>
      </c>
    </row>
    <row r="11060" spans="6:10" hidden="1">
      <c r="F11060" s="569">
        <v>435</v>
      </c>
      <c r="G11060" s="562" t="s">
        <v>3798</v>
      </c>
      <c r="J11060" s="635">
        <f t="shared" si="347"/>
        <v>0</v>
      </c>
    </row>
    <row r="11061" spans="6:10" hidden="1">
      <c r="F11061" s="569">
        <v>441</v>
      </c>
      <c r="G11061" s="562" t="s">
        <v>4191</v>
      </c>
      <c r="J11061" s="635">
        <f t="shared" si="347"/>
        <v>0</v>
      </c>
    </row>
    <row r="11062" spans="6:10" hidden="1">
      <c r="F11062" s="569">
        <v>442</v>
      </c>
      <c r="G11062" s="562" t="s">
        <v>4192</v>
      </c>
      <c r="J11062" s="635">
        <f t="shared" si="347"/>
        <v>0</v>
      </c>
    </row>
    <row r="11063" spans="6:10" hidden="1">
      <c r="F11063" s="569">
        <v>443</v>
      </c>
      <c r="G11063" s="562" t="s">
        <v>3803</v>
      </c>
      <c r="J11063" s="635">
        <f t="shared" si="347"/>
        <v>0</v>
      </c>
    </row>
    <row r="11064" spans="6:10" hidden="1">
      <c r="F11064" s="569">
        <v>444</v>
      </c>
      <c r="G11064" s="562" t="s">
        <v>3804</v>
      </c>
      <c r="J11064" s="635">
        <f t="shared" si="347"/>
        <v>0</v>
      </c>
    </row>
    <row r="11065" spans="6:10" ht="30" hidden="1">
      <c r="F11065" s="569">
        <v>4511</v>
      </c>
      <c r="G11065" s="268" t="s">
        <v>1690</v>
      </c>
      <c r="J11065" s="635">
        <f t="shared" si="347"/>
        <v>0</v>
      </c>
    </row>
    <row r="11066" spans="6:10" ht="30" hidden="1">
      <c r="F11066" s="569">
        <v>4512</v>
      </c>
      <c r="G11066" s="268" t="s">
        <v>1699</v>
      </c>
      <c r="J11066" s="635">
        <f t="shared" si="347"/>
        <v>0</v>
      </c>
    </row>
    <row r="11067" spans="6:10" hidden="1">
      <c r="F11067" s="569">
        <v>452</v>
      </c>
      <c r="G11067" s="562" t="s">
        <v>4193</v>
      </c>
      <c r="J11067" s="635">
        <f t="shared" si="347"/>
        <v>0</v>
      </c>
    </row>
    <row r="11068" spans="6:10" hidden="1">
      <c r="F11068" s="569">
        <v>453</v>
      </c>
      <c r="G11068" s="562" t="s">
        <v>4194</v>
      </c>
      <c r="J11068" s="635">
        <f t="shared" si="347"/>
        <v>0</v>
      </c>
    </row>
    <row r="11069" spans="6:10" hidden="1">
      <c r="F11069" s="569">
        <v>454</v>
      </c>
      <c r="G11069" s="562" t="s">
        <v>3809</v>
      </c>
      <c r="J11069" s="635">
        <f t="shared" si="347"/>
        <v>0</v>
      </c>
    </row>
    <row r="11070" spans="6:10" hidden="1">
      <c r="F11070" s="569">
        <v>461</v>
      </c>
      <c r="G11070" s="562" t="s">
        <v>4175</v>
      </c>
      <c r="J11070" s="635">
        <f t="shared" si="347"/>
        <v>0</v>
      </c>
    </row>
    <row r="11071" spans="6:10" hidden="1">
      <c r="F11071" s="569">
        <v>462</v>
      </c>
      <c r="G11071" s="562" t="s">
        <v>3812</v>
      </c>
      <c r="J11071" s="635">
        <f t="shared" si="347"/>
        <v>0</v>
      </c>
    </row>
    <row r="11072" spans="6:10" hidden="1">
      <c r="F11072" s="569">
        <v>4631</v>
      </c>
      <c r="G11072" s="562" t="s">
        <v>3813</v>
      </c>
      <c r="J11072" s="635">
        <f t="shared" si="347"/>
        <v>0</v>
      </c>
    </row>
    <row r="11073" spans="6:10" hidden="1">
      <c r="F11073" s="569">
        <v>4632</v>
      </c>
      <c r="G11073" s="562" t="s">
        <v>3814</v>
      </c>
      <c r="J11073" s="635">
        <f t="shared" si="347"/>
        <v>0</v>
      </c>
    </row>
    <row r="11074" spans="6:10" hidden="1">
      <c r="F11074" s="569">
        <v>464</v>
      </c>
      <c r="G11074" s="562" t="s">
        <v>3815</v>
      </c>
      <c r="J11074" s="635">
        <f t="shared" si="347"/>
        <v>0</v>
      </c>
    </row>
    <row r="11075" spans="6:10" hidden="1">
      <c r="F11075" s="569">
        <v>465</v>
      </c>
      <c r="G11075" s="562" t="s">
        <v>4176</v>
      </c>
      <c r="J11075" s="635">
        <f t="shared" si="347"/>
        <v>0</v>
      </c>
    </row>
    <row r="11076" spans="6:10" ht="15.75" hidden="1" thickBot="1">
      <c r="F11076" s="569">
        <v>472</v>
      </c>
      <c r="G11076" s="562" t="s">
        <v>3819</v>
      </c>
      <c r="J11076" s="635">
        <f t="shared" si="347"/>
        <v>0</v>
      </c>
    </row>
    <row r="11077" spans="6:10" ht="15.75" hidden="1" thickBot="1">
      <c r="F11077" s="569">
        <v>481</v>
      </c>
      <c r="G11077" s="562" t="s">
        <v>4195</v>
      </c>
      <c r="J11077" s="635">
        <f t="shared" si="347"/>
        <v>0</v>
      </c>
    </row>
    <row r="11078" spans="6:10" ht="15.75" hidden="1" thickBot="1">
      <c r="F11078" s="569">
        <v>482</v>
      </c>
      <c r="G11078" s="562" t="s">
        <v>4196</v>
      </c>
      <c r="J11078" s="635">
        <f t="shared" si="347"/>
        <v>0</v>
      </c>
    </row>
    <row r="11079" spans="6:10" ht="15.75" hidden="1" thickBot="1">
      <c r="F11079" s="569">
        <v>483</v>
      </c>
      <c r="G11079" s="566" t="s">
        <v>4197</v>
      </c>
      <c r="J11079" s="635">
        <f t="shared" si="347"/>
        <v>0</v>
      </c>
    </row>
    <row r="11080" spans="6:10" ht="30.75" hidden="1" thickBot="1">
      <c r="F11080" s="569">
        <v>484</v>
      </c>
      <c r="G11080" s="562" t="s">
        <v>4198</v>
      </c>
      <c r="J11080" s="635">
        <f t="shared" si="347"/>
        <v>0</v>
      </c>
    </row>
    <row r="11081" spans="6:10" ht="30.75" hidden="1" thickBot="1">
      <c r="F11081" s="569">
        <v>485</v>
      </c>
      <c r="G11081" s="562" t="s">
        <v>4199</v>
      </c>
      <c r="J11081" s="635">
        <f t="shared" si="347"/>
        <v>0</v>
      </c>
    </row>
    <row r="11082" spans="6:10" ht="30.75" hidden="1" thickBot="1">
      <c r="F11082" s="569">
        <v>489</v>
      </c>
      <c r="G11082" s="562" t="s">
        <v>3827</v>
      </c>
      <c r="J11082" s="635">
        <f t="shared" si="347"/>
        <v>0</v>
      </c>
    </row>
    <row r="11083" spans="6:10" ht="15.75" hidden="1" thickBot="1">
      <c r="F11083" s="569">
        <v>494</v>
      </c>
      <c r="G11083" s="562" t="s">
        <v>4177</v>
      </c>
      <c r="J11083" s="635">
        <f t="shared" si="347"/>
        <v>0</v>
      </c>
    </row>
    <row r="11084" spans="6:10" ht="30.75" hidden="1" thickBot="1">
      <c r="F11084" s="569">
        <v>495</v>
      </c>
      <c r="G11084" s="562" t="s">
        <v>4178</v>
      </c>
      <c r="J11084" s="635">
        <f t="shared" si="347"/>
        <v>0</v>
      </c>
    </row>
    <row r="11085" spans="6:10" ht="30.75" hidden="1" thickBot="1">
      <c r="F11085" s="569">
        <v>496</v>
      </c>
      <c r="G11085" s="562" t="s">
        <v>4179</v>
      </c>
      <c r="J11085" s="635">
        <f t="shared" si="347"/>
        <v>0</v>
      </c>
    </row>
    <row r="11086" spans="6:10" ht="15.75" hidden="1" thickBot="1">
      <c r="F11086" s="569">
        <v>499</v>
      </c>
      <c r="G11086" s="562" t="s">
        <v>4180</v>
      </c>
      <c r="J11086" s="635">
        <f t="shared" si="347"/>
        <v>0</v>
      </c>
    </row>
    <row r="11087" spans="6:10" ht="15.75" hidden="1" thickBot="1">
      <c r="F11087" s="569">
        <v>511</v>
      </c>
      <c r="G11087" s="566" t="s">
        <v>4200</v>
      </c>
      <c r="J11087" s="635">
        <f t="shared" si="347"/>
        <v>0</v>
      </c>
    </row>
    <row r="11088" spans="6:10" ht="15.75" hidden="1" thickBot="1">
      <c r="F11088" s="569">
        <v>512</v>
      </c>
      <c r="G11088" s="566" t="s">
        <v>4201</v>
      </c>
      <c r="J11088" s="635">
        <f t="shared" si="347"/>
        <v>0</v>
      </c>
    </row>
    <row r="11089" spans="5:10" ht="15.75" hidden="1" thickBot="1">
      <c r="F11089" s="569">
        <v>513</v>
      </c>
      <c r="G11089" s="566" t="s">
        <v>4202</v>
      </c>
      <c r="J11089" s="635">
        <f t="shared" si="347"/>
        <v>0</v>
      </c>
    </row>
    <row r="11090" spans="5:10" ht="15.75" hidden="1" thickBot="1">
      <c r="F11090" s="569">
        <v>514</v>
      </c>
      <c r="G11090" s="562" t="s">
        <v>4203</v>
      </c>
      <c r="J11090" s="635">
        <f t="shared" si="347"/>
        <v>0</v>
      </c>
    </row>
    <row r="11091" spans="5:10" ht="15.75" hidden="1" thickBot="1">
      <c r="F11091" s="569">
        <v>515</v>
      </c>
      <c r="G11091" s="562" t="s">
        <v>3838</v>
      </c>
      <c r="J11091" s="635">
        <f t="shared" si="347"/>
        <v>0</v>
      </c>
    </row>
    <row r="11092" spans="5:10" ht="15.75" hidden="1" thickBot="1">
      <c r="F11092" s="569">
        <v>521</v>
      </c>
      <c r="G11092" s="562" t="s">
        <v>4204</v>
      </c>
      <c r="J11092" s="635">
        <f t="shared" si="347"/>
        <v>0</v>
      </c>
    </row>
    <row r="11093" spans="5:10" ht="15.75" hidden="1" thickBot="1">
      <c r="F11093" s="569">
        <v>522</v>
      </c>
      <c r="G11093" s="562" t="s">
        <v>4205</v>
      </c>
      <c r="J11093" s="635">
        <f t="shared" si="347"/>
        <v>0</v>
      </c>
    </row>
    <row r="11094" spans="5:10" ht="15.75" hidden="1" thickBot="1">
      <c r="F11094" s="569">
        <v>523</v>
      </c>
      <c r="G11094" s="562" t="s">
        <v>3843</v>
      </c>
      <c r="J11094" s="635">
        <f t="shared" si="347"/>
        <v>0</v>
      </c>
    </row>
    <row r="11095" spans="5:10" ht="15.75" hidden="1" thickBot="1">
      <c r="F11095" s="569">
        <v>531</v>
      </c>
      <c r="G11095" s="558" t="s">
        <v>4181</v>
      </c>
      <c r="J11095" s="635">
        <f t="shared" si="347"/>
        <v>0</v>
      </c>
    </row>
    <row r="11096" spans="5:10" ht="15.75" hidden="1" thickBot="1">
      <c r="F11096" s="569">
        <v>541</v>
      </c>
      <c r="G11096" s="562" t="s">
        <v>4206</v>
      </c>
      <c r="J11096" s="635">
        <f t="shared" si="347"/>
        <v>0</v>
      </c>
    </row>
    <row r="11097" spans="5:10" ht="15.75" hidden="1" thickBot="1">
      <c r="F11097" s="569">
        <v>542</v>
      </c>
      <c r="G11097" s="562" t="s">
        <v>4207</v>
      </c>
      <c r="J11097" s="635">
        <f t="shared" si="347"/>
        <v>0</v>
      </c>
    </row>
    <row r="11098" spans="5:10" ht="15.75" hidden="1" thickBot="1">
      <c r="F11098" s="569">
        <v>543</v>
      </c>
      <c r="G11098" s="562" t="s">
        <v>3848</v>
      </c>
      <c r="J11098" s="635">
        <f t="shared" si="347"/>
        <v>0</v>
      </c>
    </row>
    <row r="11099" spans="5:10" ht="30.75" hidden="1" thickBot="1">
      <c r="F11099" s="569">
        <v>551</v>
      </c>
      <c r="G11099" s="562" t="s">
        <v>4182</v>
      </c>
      <c r="J11099" s="635">
        <f t="shared" si="347"/>
        <v>0</v>
      </c>
    </row>
    <row r="11100" spans="5:10" ht="15.75" hidden="1" thickBot="1">
      <c r="F11100" s="570">
        <v>611</v>
      </c>
      <c r="G11100" s="568" t="s">
        <v>3854</v>
      </c>
      <c r="J11100" s="635">
        <f t="shared" si="347"/>
        <v>0</v>
      </c>
    </row>
    <row r="11101" spans="5:10" ht="15.75" hidden="1" thickBot="1">
      <c r="F11101" s="570">
        <v>620</v>
      </c>
      <c r="G11101" s="568" t="s">
        <v>88</v>
      </c>
      <c r="J11101" s="635">
        <f t="shared" si="347"/>
        <v>0</v>
      </c>
    </row>
    <row r="11102" spans="5:10" hidden="1">
      <c r="E11102" s="559"/>
      <c r="F11102" s="570"/>
      <c r="G11102" s="371" t="s">
        <v>4439</v>
      </c>
      <c r="H11102" s="636"/>
      <c r="I11102" s="662"/>
      <c r="J11102" s="637"/>
    </row>
    <row r="11103" spans="5:10" hidden="1">
      <c r="E11103" s="267"/>
      <c r="F11103" s="682" t="s">
        <v>234</v>
      </c>
      <c r="G11103" s="683" t="s">
        <v>235</v>
      </c>
      <c r="H11103" s="638">
        <f>SUM(H11042:H11101)</f>
        <v>0</v>
      </c>
      <c r="I11103" s="639"/>
      <c r="J11103" s="639">
        <f>SUM(H11103:I11103)</f>
        <v>0</v>
      </c>
    </row>
    <row r="11104" spans="5:10" hidden="1">
      <c r="F11104" s="682" t="s">
        <v>236</v>
      </c>
      <c r="G11104" s="683" t="s">
        <v>237</v>
      </c>
      <c r="J11104" s="639">
        <f t="shared" ref="J11104:J11118" si="348">SUM(H11104:I11104)</f>
        <v>0</v>
      </c>
    </row>
    <row r="11105" spans="5:10" hidden="1">
      <c r="F11105" s="682" t="s">
        <v>238</v>
      </c>
      <c r="G11105" s="683" t="s">
        <v>239</v>
      </c>
      <c r="J11105" s="639">
        <f t="shared" si="348"/>
        <v>0</v>
      </c>
    </row>
    <row r="11106" spans="5:10" ht="15.75" hidden="1" thickBot="1">
      <c r="F11106" s="682" t="s">
        <v>240</v>
      </c>
      <c r="G11106" s="683" t="s">
        <v>241</v>
      </c>
      <c r="J11106" s="639">
        <f t="shared" si="348"/>
        <v>0</v>
      </c>
    </row>
    <row r="11107" spans="5:10" ht="15.75" hidden="1" thickBot="1">
      <c r="F11107" s="682" t="s">
        <v>242</v>
      </c>
      <c r="G11107" s="683" t="s">
        <v>243</v>
      </c>
      <c r="J11107" s="639">
        <f t="shared" si="348"/>
        <v>0</v>
      </c>
    </row>
    <row r="11108" spans="5:10" ht="15.75" hidden="1" thickBot="1">
      <c r="F11108" s="682" t="s">
        <v>244</v>
      </c>
      <c r="G11108" s="683" t="s">
        <v>245</v>
      </c>
      <c r="J11108" s="639">
        <f t="shared" si="348"/>
        <v>0</v>
      </c>
    </row>
    <row r="11109" spans="5:10" ht="15.75" hidden="1" thickBot="1">
      <c r="F11109" s="682" t="s">
        <v>246</v>
      </c>
      <c r="G11109" s="683" t="s">
        <v>5121</v>
      </c>
      <c r="J11109" s="639">
        <f t="shared" si="348"/>
        <v>0</v>
      </c>
    </row>
    <row r="11110" spans="5:10" ht="15.75" hidden="1" thickBot="1">
      <c r="F11110" s="682" t="s">
        <v>247</v>
      </c>
      <c r="G11110" s="683" t="s">
        <v>5120</v>
      </c>
      <c r="J11110" s="639">
        <f t="shared" si="348"/>
        <v>0</v>
      </c>
    </row>
    <row r="11111" spans="5:10" ht="15.75" hidden="1" thickBot="1">
      <c r="F11111" s="682" t="s">
        <v>248</v>
      </c>
      <c r="G11111" s="683" t="s">
        <v>57</v>
      </c>
      <c r="J11111" s="639">
        <f t="shared" si="348"/>
        <v>0</v>
      </c>
    </row>
    <row r="11112" spans="5:10" ht="15.75" hidden="1" thickBot="1">
      <c r="F11112" s="682" t="s">
        <v>249</v>
      </c>
      <c r="G11112" s="683" t="s">
        <v>250</v>
      </c>
      <c r="J11112" s="639">
        <f t="shared" si="348"/>
        <v>0</v>
      </c>
    </row>
    <row r="11113" spans="5:10" ht="15.75" hidden="1" thickBot="1">
      <c r="F11113" s="682" t="s">
        <v>251</v>
      </c>
      <c r="G11113" s="683" t="s">
        <v>252</v>
      </c>
      <c r="J11113" s="639">
        <f t="shared" si="348"/>
        <v>0</v>
      </c>
    </row>
    <row r="11114" spans="5:10" ht="15.75" hidden="1" thickBot="1">
      <c r="F11114" s="682" t="s">
        <v>253</v>
      </c>
      <c r="G11114" s="683" t="s">
        <v>254</v>
      </c>
      <c r="J11114" s="639">
        <f t="shared" si="348"/>
        <v>0</v>
      </c>
    </row>
    <row r="11115" spans="5:10" ht="15.75" hidden="1" thickBot="1">
      <c r="F11115" s="682" t="s">
        <v>255</v>
      </c>
      <c r="G11115" s="683" t="s">
        <v>256</v>
      </c>
      <c r="J11115" s="639">
        <f t="shared" si="348"/>
        <v>0</v>
      </c>
    </row>
    <row r="11116" spans="5:10" ht="15.75" hidden="1" thickBot="1">
      <c r="F11116" s="682" t="s">
        <v>257</v>
      </c>
      <c r="G11116" s="683" t="s">
        <v>258</v>
      </c>
      <c r="J11116" s="639">
        <f t="shared" si="348"/>
        <v>0</v>
      </c>
    </row>
    <row r="11117" spans="5:10" ht="15.75" hidden="1" thickBot="1">
      <c r="F11117" s="682" t="s">
        <v>259</v>
      </c>
      <c r="G11117" s="683" t="s">
        <v>260</v>
      </c>
      <c r="J11117" s="639">
        <f t="shared" si="348"/>
        <v>0</v>
      </c>
    </row>
    <row r="11118" spans="5:10" ht="15.75" hidden="1" thickBot="1">
      <c r="F11118" s="682" t="s">
        <v>261</v>
      </c>
      <c r="G11118" s="683" t="s">
        <v>262</v>
      </c>
      <c r="H11118" s="638"/>
      <c r="I11118" s="639"/>
      <c r="J11118" s="639">
        <f t="shared" si="348"/>
        <v>0</v>
      </c>
    </row>
    <row r="11119" spans="5:10" ht="15.75" hidden="1" thickBot="1">
      <c r="G11119" s="274" t="s">
        <v>4440</v>
      </c>
      <c r="H11119" s="640">
        <f>SUM(H11103:H11118)</f>
        <v>0</v>
      </c>
      <c r="I11119" s="641">
        <f>SUM(I11104:I11118)</f>
        <v>0</v>
      </c>
      <c r="J11119" s="641">
        <f>SUM(J11103:J11118)</f>
        <v>0</v>
      </c>
    </row>
    <row r="11120" spans="5:10" hidden="1" collapsed="1">
      <c r="E11120" s="559"/>
      <c r="F11120" s="570"/>
      <c r="G11120" s="276" t="s">
        <v>5103</v>
      </c>
      <c r="H11120" s="642"/>
      <c r="I11120" s="663"/>
      <c r="J11120" s="643"/>
    </row>
    <row r="11121" spans="5:10" hidden="1">
      <c r="E11121" s="267"/>
      <c r="F11121" s="682" t="s">
        <v>234</v>
      </c>
      <c r="G11121" s="683" t="s">
        <v>235</v>
      </c>
      <c r="H11121" s="638">
        <f>SUM(H11042:H11101)</f>
        <v>0</v>
      </c>
      <c r="I11121" s="639"/>
      <c r="J11121" s="639">
        <f>SUM(H11121:I11121)</f>
        <v>0</v>
      </c>
    </row>
    <row r="11122" spans="5:10" hidden="1">
      <c r="F11122" s="682" t="s">
        <v>236</v>
      </c>
      <c r="G11122" s="683" t="s">
        <v>237</v>
      </c>
      <c r="J11122" s="639">
        <f t="shared" ref="J11122:J11136" si="349">SUM(H11122:I11122)</f>
        <v>0</v>
      </c>
    </row>
    <row r="11123" spans="5:10" hidden="1">
      <c r="F11123" s="682" t="s">
        <v>238</v>
      </c>
      <c r="G11123" s="683" t="s">
        <v>239</v>
      </c>
      <c r="J11123" s="639">
        <f t="shared" si="349"/>
        <v>0</v>
      </c>
    </row>
    <row r="11124" spans="5:10" ht="15.75" hidden="1" thickBot="1">
      <c r="F11124" s="682" t="s">
        <v>240</v>
      </c>
      <c r="G11124" s="683" t="s">
        <v>241</v>
      </c>
      <c r="J11124" s="639">
        <f t="shared" si="349"/>
        <v>0</v>
      </c>
    </row>
    <row r="11125" spans="5:10" ht="15.75" hidden="1" thickBot="1">
      <c r="F11125" s="682" t="s">
        <v>242</v>
      </c>
      <c r="G11125" s="683" t="s">
        <v>243</v>
      </c>
      <c r="J11125" s="639">
        <f t="shared" si="349"/>
        <v>0</v>
      </c>
    </row>
    <row r="11126" spans="5:10" ht="15.75" hidden="1" thickBot="1">
      <c r="F11126" s="682" t="s">
        <v>244</v>
      </c>
      <c r="G11126" s="683" t="s">
        <v>245</v>
      </c>
      <c r="J11126" s="639">
        <f t="shared" si="349"/>
        <v>0</v>
      </c>
    </row>
    <row r="11127" spans="5:10" ht="15.75" hidden="1" thickBot="1">
      <c r="F11127" s="682" t="s">
        <v>246</v>
      </c>
      <c r="G11127" s="683" t="s">
        <v>5121</v>
      </c>
      <c r="J11127" s="639">
        <f t="shared" si="349"/>
        <v>0</v>
      </c>
    </row>
    <row r="11128" spans="5:10" ht="15.75" hidden="1" thickBot="1">
      <c r="F11128" s="682" t="s">
        <v>247</v>
      </c>
      <c r="G11128" s="683" t="s">
        <v>5120</v>
      </c>
      <c r="J11128" s="639">
        <f t="shared" si="349"/>
        <v>0</v>
      </c>
    </row>
    <row r="11129" spans="5:10" ht="15.75" hidden="1" thickBot="1">
      <c r="F11129" s="682" t="s">
        <v>248</v>
      </c>
      <c r="G11129" s="683" t="s">
        <v>57</v>
      </c>
      <c r="J11129" s="639">
        <f t="shared" si="349"/>
        <v>0</v>
      </c>
    </row>
    <row r="11130" spans="5:10" ht="15.75" hidden="1" thickBot="1">
      <c r="F11130" s="682" t="s">
        <v>249</v>
      </c>
      <c r="G11130" s="683" t="s">
        <v>250</v>
      </c>
      <c r="J11130" s="639">
        <f t="shared" si="349"/>
        <v>0</v>
      </c>
    </row>
    <row r="11131" spans="5:10" ht="15.75" hidden="1" thickBot="1">
      <c r="F11131" s="682" t="s">
        <v>251</v>
      </c>
      <c r="G11131" s="683" t="s">
        <v>252</v>
      </c>
      <c r="J11131" s="639">
        <f t="shared" si="349"/>
        <v>0</v>
      </c>
    </row>
    <row r="11132" spans="5:10" ht="15.75" hidden="1" thickBot="1">
      <c r="F11132" s="682" t="s">
        <v>253</v>
      </c>
      <c r="G11132" s="683" t="s">
        <v>254</v>
      </c>
      <c r="J11132" s="639">
        <f t="shared" si="349"/>
        <v>0</v>
      </c>
    </row>
    <row r="11133" spans="5:10" ht="15.75" hidden="1" thickBot="1">
      <c r="F11133" s="682" t="s">
        <v>255</v>
      </c>
      <c r="G11133" s="683" t="s">
        <v>256</v>
      </c>
      <c r="J11133" s="639">
        <f t="shared" si="349"/>
        <v>0</v>
      </c>
    </row>
    <row r="11134" spans="5:10" ht="15.75" hidden="1" thickBot="1">
      <c r="F11134" s="682" t="s">
        <v>257</v>
      </c>
      <c r="G11134" s="683" t="s">
        <v>258</v>
      </c>
      <c r="J11134" s="639">
        <f t="shared" si="349"/>
        <v>0</v>
      </c>
    </row>
    <row r="11135" spans="5:10" ht="15.75" hidden="1" thickBot="1">
      <c r="F11135" s="682" t="s">
        <v>259</v>
      </c>
      <c r="G11135" s="683" t="s">
        <v>260</v>
      </c>
      <c r="J11135" s="639">
        <f t="shared" si="349"/>
        <v>0</v>
      </c>
    </row>
    <row r="11136" spans="5:10" ht="15.75" hidden="1" thickBot="1">
      <c r="F11136" s="682" t="s">
        <v>261</v>
      </c>
      <c r="G11136" s="683" t="s">
        <v>262</v>
      </c>
      <c r="H11136" s="638"/>
      <c r="I11136" s="639"/>
      <c r="J11136" s="639">
        <f t="shared" si="349"/>
        <v>0</v>
      </c>
    </row>
    <row r="11137" spans="3:10" ht="15.75" hidden="1" thickBot="1">
      <c r="G11137" s="274" t="s">
        <v>5104</v>
      </c>
      <c r="H11137" s="640">
        <f>SUM(H11121:H11136)</f>
        <v>0</v>
      </c>
      <c r="I11137" s="641">
        <f>SUM(I11122:I11136)</f>
        <v>0</v>
      </c>
      <c r="J11137" s="641">
        <f>SUM(J11121:J11136)</f>
        <v>0</v>
      </c>
    </row>
    <row r="11138" spans="3:10" hidden="1">
      <c r="G11138" s="331"/>
      <c r="H11138" s="644"/>
      <c r="I11138" s="645"/>
      <c r="J11138" s="645"/>
    </row>
    <row r="11139" spans="3:10" hidden="1">
      <c r="C11139" s="273" t="s">
        <v>4846</v>
      </c>
      <c r="D11139" s="264"/>
      <c r="G11139" s="563" t="s">
        <v>4240</v>
      </c>
    </row>
    <row r="11140" spans="3:10" hidden="1">
      <c r="C11140" s="273"/>
      <c r="D11140" s="357">
        <v>820</v>
      </c>
      <c r="E11140" s="357"/>
      <c r="F11140" s="357"/>
      <c r="G11140" s="358" t="s">
        <v>207</v>
      </c>
    </row>
    <row r="11141" spans="3:10" hidden="1">
      <c r="F11141" s="569">
        <v>411</v>
      </c>
      <c r="G11141" s="562" t="s">
        <v>4173</v>
      </c>
      <c r="J11141" s="635">
        <f>SUM(H11141:I11141)</f>
        <v>0</v>
      </c>
    </row>
    <row r="11142" spans="3:10" hidden="1">
      <c r="F11142" s="569">
        <v>412</v>
      </c>
      <c r="G11142" s="558" t="s">
        <v>3770</v>
      </c>
      <c r="J11142" s="635">
        <f t="shared" ref="J11142:J11200" si="350">SUM(H11142:I11142)</f>
        <v>0</v>
      </c>
    </row>
    <row r="11143" spans="3:10" hidden="1">
      <c r="F11143" s="569">
        <v>413</v>
      </c>
      <c r="G11143" s="562" t="s">
        <v>4174</v>
      </c>
      <c r="J11143" s="635">
        <f t="shared" si="350"/>
        <v>0</v>
      </c>
    </row>
    <row r="11144" spans="3:10" hidden="1">
      <c r="F11144" s="569">
        <v>414</v>
      </c>
      <c r="G11144" s="562" t="s">
        <v>3773</v>
      </c>
      <c r="J11144" s="635">
        <f t="shared" si="350"/>
        <v>0</v>
      </c>
    </row>
    <row r="11145" spans="3:10" hidden="1">
      <c r="F11145" s="569">
        <v>415</v>
      </c>
      <c r="G11145" s="562" t="s">
        <v>4183</v>
      </c>
      <c r="J11145" s="635">
        <f t="shared" si="350"/>
        <v>0</v>
      </c>
    </row>
    <row r="11146" spans="3:10" hidden="1">
      <c r="F11146" s="569">
        <v>416</v>
      </c>
      <c r="G11146" s="562" t="s">
        <v>4184</v>
      </c>
      <c r="J11146" s="635">
        <f t="shared" si="350"/>
        <v>0</v>
      </c>
    </row>
    <row r="11147" spans="3:10" hidden="1">
      <c r="F11147" s="569">
        <v>417</v>
      </c>
      <c r="G11147" s="562" t="s">
        <v>4185</v>
      </c>
      <c r="J11147" s="635">
        <f t="shared" si="350"/>
        <v>0</v>
      </c>
    </row>
    <row r="11148" spans="3:10" hidden="1">
      <c r="F11148" s="569">
        <v>418</v>
      </c>
      <c r="G11148" s="562" t="s">
        <v>3779</v>
      </c>
      <c r="J11148" s="635">
        <f t="shared" si="350"/>
        <v>0</v>
      </c>
    </row>
    <row r="11149" spans="3:10" hidden="1">
      <c r="F11149" s="569">
        <v>421</v>
      </c>
      <c r="G11149" s="562" t="s">
        <v>3783</v>
      </c>
      <c r="J11149" s="635">
        <f t="shared" si="350"/>
        <v>0</v>
      </c>
    </row>
    <row r="11150" spans="3:10" hidden="1">
      <c r="F11150" s="569">
        <v>422</v>
      </c>
      <c r="G11150" s="562" t="s">
        <v>3784</v>
      </c>
      <c r="J11150" s="635">
        <f t="shared" si="350"/>
        <v>0</v>
      </c>
    </row>
    <row r="11151" spans="3:10" hidden="1">
      <c r="F11151" s="569">
        <v>423</v>
      </c>
      <c r="G11151" s="562" t="s">
        <v>3785</v>
      </c>
      <c r="J11151" s="635">
        <f t="shared" si="350"/>
        <v>0</v>
      </c>
    </row>
    <row r="11152" spans="3:10" hidden="1">
      <c r="F11152" s="569">
        <v>424</v>
      </c>
      <c r="G11152" s="562" t="s">
        <v>3787</v>
      </c>
      <c r="J11152" s="635">
        <f t="shared" si="350"/>
        <v>0</v>
      </c>
    </row>
    <row r="11153" spans="6:10" hidden="1">
      <c r="F11153" s="569">
        <v>425</v>
      </c>
      <c r="G11153" s="562" t="s">
        <v>4186</v>
      </c>
      <c r="J11153" s="635">
        <f t="shared" si="350"/>
        <v>0</v>
      </c>
    </row>
    <row r="11154" spans="6:10" hidden="1">
      <c r="F11154" s="569">
        <v>426</v>
      </c>
      <c r="G11154" s="562" t="s">
        <v>3791</v>
      </c>
      <c r="J11154" s="635">
        <f t="shared" si="350"/>
        <v>0</v>
      </c>
    </row>
    <row r="11155" spans="6:10" hidden="1">
      <c r="F11155" s="569">
        <v>431</v>
      </c>
      <c r="G11155" s="562" t="s">
        <v>4187</v>
      </c>
      <c r="J11155" s="635">
        <f t="shared" si="350"/>
        <v>0</v>
      </c>
    </row>
    <row r="11156" spans="6:10" hidden="1">
      <c r="F11156" s="569">
        <v>432</v>
      </c>
      <c r="G11156" s="562" t="s">
        <v>4188</v>
      </c>
      <c r="J11156" s="635">
        <f t="shared" si="350"/>
        <v>0</v>
      </c>
    </row>
    <row r="11157" spans="6:10" hidden="1">
      <c r="F11157" s="569">
        <v>433</v>
      </c>
      <c r="G11157" s="562" t="s">
        <v>4189</v>
      </c>
      <c r="J11157" s="635">
        <f t="shared" si="350"/>
        <v>0</v>
      </c>
    </row>
    <row r="11158" spans="6:10" hidden="1">
      <c r="F11158" s="569">
        <v>434</v>
      </c>
      <c r="G11158" s="562" t="s">
        <v>4190</v>
      </c>
      <c r="J11158" s="635">
        <f t="shared" si="350"/>
        <v>0</v>
      </c>
    </row>
    <row r="11159" spans="6:10" hidden="1">
      <c r="F11159" s="569">
        <v>435</v>
      </c>
      <c r="G11159" s="562" t="s">
        <v>3798</v>
      </c>
      <c r="J11159" s="635">
        <f t="shared" si="350"/>
        <v>0</v>
      </c>
    </row>
    <row r="11160" spans="6:10" hidden="1">
      <c r="F11160" s="569">
        <v>441</v>
      </c>
      <c r="G11160" s="562" t="s">
        <v>4191</v>
      </c>
      <c r="J11160" s="635">
        <f t="shared" si="350"/>
        <v>0</v>
      </c>
    </row>
    <row r="11161" spans="6:10" hidden="1">
      <c r="F11161" s="569">
        <v>442</v>
      </c>
      <c r="G11161" s="562" t="s">
        <v>4192</v>
      </c>
      <c r="J11161" s="635">
        <f t="shared" si="350"/>
        <v>0</v>
      </c>
    </row>
    <row r="11162" spans="6:10" hidden="1">
      <c r="F11162" s="569">
        <v>443</v>
      </c>
      <c r="G11162" s="562" t="s">
        <v>3803</v>
      </c>
      <c r="J11162" s="635">
        <f t="shared" si="350"/>
        <v>0</v>
      </c>
    </row>
    <row r="11163" spans="6:10" hidden="1">
      <c r="F11163" s="569">
        <v>444</v>
      </c>
      <c r="G11163" s="562" t="s">
        <v>3804</v>
      </c>
      <c r="J11163" s="635">
        <f t="shared" si="350"/>
        <v>0</v>
      </c>
    </row>
    <row r="11164" spans="6:10" ht="30" hidden="1">
      <c r="F11164" s="569">
        <v>4511</v>
      </c>
      <c r="G11164" s="268" t="s">
        <v>1690</v>
      </c>
      <c r="J11164" s="635">
        <f t="shared" si="350"/>
        <v>0</v>
      </c>
    </row>
    <row r="11165" spans="6:10" ht="30" hidden="1">
      <c r="F11165" s="569">
        <v>4512</v>
      </c>
      <c r="G11165" s="268" t="s">
        <v>1699</v>
      </c>
      <c r="J11165" s="635">
        <f t="shared" si="350"/>
        <v>0</v>
      </c>
    </row>
    <row r="11166" spans="6:10" hidden="1">
      <c r="F11166" s="569">
        <v>452</v>
      </c>
      <c r="G11166" s="562" t="s">
        <v>4193</v>
      </c>
      <c r="J11166" s="635">
        <f t="shared" si="350"/>
        <v>0</v>
      </c>
    </row>
    <row r="11167" spans="6:10" hidden="1">
      <c r="F11167" s="569">
        <v>453</v>
      </c>
      <c r="G11167" s="562" t="s">
        <v>4194</v>
      </c>
      <c r="J11167" s="635">
        <f t="shared" si="350"/>
        <v>0</v>
      </c>
    </row>
    <row r="11168" spans="6:10" hidden="1">
      <c r="F11168" s="569">
        <v>454</v>
      </c>
      <c r="G11168" s="562" t="s">
        <v>3809</v>
      </c>
      <c r="J11168" s="635">
        <f t="shared" si="350"/>
        <v>0</v>
      </c>
    </row>
    <row r="11169" spans="6:10" hidden="1">
      <c r="F11169" s="569">
        <v>461</v>
      </c>
      <c r="G11169" s="562" t="s">
        <v>4175</v>
      </c>
      <c r="J11169" s="635">
        <f t="shared" si="350"/>
        <v>0</v>
      </c>
    </row>
    <row r="11170" spans="6:10" hidden="1">
      <c r="F11170" s="569">
        <v>462</v>
      </c>
      <c r="G11170" s="562" t="s">
        <v>3812</v>
      </c>
      <c r="J11170" s="635">
        <f t="shared" si="350"/>
        <v>0</v>
      </c>
    </row>
    <row r="11171" spans="6:10" hidden="1">
      <c r="F11171" s="569">
        <v>4631</v>
      </c>
      <c r="G11171" s="562" t="s">
        <v>3813</v>
      </c>
      <c r="J11171" s="635">
        <f t="shared" si="350"/>
        <v>0</v>
      </c>
    </row>
    <row r="11172" spans="6:10" hidden="1">
      <c r="F11172" s="569">
        <v>4632</v>
      </c>
      <c r="G11172" s="562" t="s">
        <v>3814</v>
      </c>
      <c r="J11172" s="635">
        <f t="shared" si="350"/>
        <v>0</v>
      </c>
    </row>
    <row r="11173" spans="6:10" hidden="1">
      <c r="F11173" s="569">
        <v>464</v>
      </c>
      <c r="G11173" s="562" t="s">
        <v>3815</v>
      </c>
      <c r="J11173" s="635">
        <f t="shared" si="350"/>
        <v>0</v>
      </c>
    </row>
    <row r="11174" spans="6:10" hidden="1">
      <c r="F11174" s="569">
        <v>465</v>
      </c>
      <c r="G11174" s="562" t="s">
        <v>4176</v>
      </c>
      <c r="J11174" s="635">
        <f t="shared" si="350"/>
        <v>0</v>
      </c>
    </row>
    <row r="11175" spans="6:10" ht="15.75" hidden="1" thickBot="1">
      <c r="F11175" s="569">
        <v>472</v>
      </c>
      <c r="G11175" s="562" t="s">
        <v>3819</v>
      </c>
      <c r="J11175" s="635">
        <f t="shared" si="350"/>
        <v>0</v>
      </c>
    </row>
    <row r="11176" spans="6:10" ht="15.75" hidden="1" thickBot="1">
      <c r="F11176" s="569">
        <v>481</v>
      </c>
      <c r="G11176" s="562" t="s">
        <v>4195</v>
      </c>
      <c r="J11176" s="635">
        <f t="shared" si="350"/>
        <v>0</v>
      </c>
    </row>
    <row r="11177" spans="6:10" ht="15.75" hidden="1" thickBot="1">
      <c r="F11177" s="569">
        <v>482</v>
      </c>
      <c r="G11177" s="562" t="s">
        <v>4196</v>
      </c>
      <c r="J11177" s="635">
        <f t="shared" si="350"/>
        <v>0</v>
      </c>
    </row>
    <row r="11178" spans="6:10" ht="15.75" hidden="1" thickBot="1">
      <c r="F11178" s="569">
        <v>483</v>
      </c>
      <c r="G11178" s="566" t="s">
        <v>4197</v>
      </c>
      <c r="J11178" s="635">
        <f t="shared" si="350"/>
        <v>0</v>
      </c>
    </row>
    <row r="11179" spans="6:10" ht="30.75" hidden="1" thickBot="1">
      <c r="F11179" s="569">
        <v>484</v>
      </c>
      <c r="G11179" s="562" t="s">
        <v>4198</v>
      </c>
      <c r="J11179" s="635">
        <f t="shared" si="350"/>
        <v>0</v>
      </c>
    </row>
    <row r="11180" spans="6:10" ht="30.75" hidden="1" thickBot="1">
      <c r="F11180" s="569">
        <v>485</v>
      </c>
      <c r="G11180" s="562" t="s">
        <v>4199</v>
      </c>
      <c r="J11180" s="635">
        <f t="shared" si="350"/>
        <v>0</v>
      </c>
    </row>
    <row r="11181" spans="6:10" ht="30.75" hidden="1" thickBot="1">
      <c r="F11181" s="569">
        <v>489</v>
      </c>
      <c r="G11181" s="562" t="s">
        <v>3827</v>
      </c>
      <c r="J11181" s="635">
        <f t="shared" si="350"/>
        <v>0</v>
      </c>
    </row>
    <row r="11182" spans="6:10" ht="15.75" hidden="1" thickBot="1">
      <c r="F11182" s="569">
        <v>494</v>
      </c>
      <c r="G11182" s="562" t="s">
        <v>4177</v>
      </c>
      <c r="J11182" s="635">
        <f t="shared" si="350"/>
        <v>0</v>
      </c>
    </row>
    <row r="11183" spans="6:10" ht="30.75" hidden="1" thickBot="1">
      <c r="F11183" s="569">
        <v>495</v>
      </c>
      <c r="G11183" s="562" t="s">
        <v>4178</v>
      </c>
      <c r="J11183" s="635">
        <f t="shared" si="350"/>
        <v>0</v>
      </c>
    </row>
    <row r="11184" spans="6:10" ht="30.75" hidden="1" thickBot="1">
      <c r="F11184" s="569">
        <v>496</v>
      </c>
      <c r="G11184" s="562" t="s">
        <v>4179</v>
      </c>
      <c r="J11184" s="635">
        <f t="shared" si="350"/>
        <v>0</v>
      </c>
    </row>
    <row r="11185" spans="6:10" ht="15.75" hidden="1" thickBot="1">
      <c r="F11185" s="569">
        <v>499</v>
      </c>
      <c r="G11185" s="562" t="s">
        <v>4180</v>
      </c>
      <c r="J11185" s="635">
        <f t="shared" si="350"/>
        <v>0</v>
      </c>
    </row>
    <row r="11186" spans="6:10" ht="15.75" hidden="1" thickBot="1">
      <c r="F11186" s="569">
        <v>511</v>
      </c>
      <c r="G11186" s="566" t="s">
        <v>4200</v>
      </c>
      <c r="J11186" s="635">
        <f t="shared" si="350"/>
        <v>0</v>
      </c>
    </row>
    <row r="11187" spans="6:10" ht="15.75" hidden="1" thickBot="1">
      <c r="F11187" s="569">
        <v>512</v>
      </c>
      <c r="G11187" s="566" t="s">
        <v>4201</v>
      </c>
      <c r="J11187" s="635">
        <f t="shared" si="350"/>
        <v>0</v>
      </c>
    </row>
    <row r="11188" spans="6:10" ht="15.75" hidden="1" thickBot="1">
      <c r="F11188" s="569">
        <v>513</v>
      </c>
      <c r="G11188" s="566" t="s">
        <v>4202</v>
      </c>
      <c r="J11188" s="635">
        <f t="shared" si="350"/>
        <v>0</v>
      </c>
    </row>
    <row r="11189" spans="6:10" ht="15.75" hidden="1" thickBot="1">
      <c r="F11189" s="569">
        <v>514</v>
      </c>
      <c r="G11189" s="562" t="s">
        <v>4203</v>
      </c>
      <c r="J11189" s="635">
        <f t="shared" si="350"/>
        <v>0</v>
      </c>
    </row>
    <row r="11190" spans="6:10" ht="15.75" hidden="1" thickBot="1">
      <c r="F11190" s="569">
        <v>515</v>
      </c>
      <c r="G11190" s="562" t="s">
        <v>3838</v>
      </c>
      <c r="J11190" s="635">
        <f t="shared" si="350"/>
        <v>0</v>
      </c>
    </row>
    <row r="11191" spans="6:10" ht="15.75" hidden="1" thickBot="1">
      <c r="F11191" s="569">
        <v>521</v>
      </c>
      <c r="G11191" s="562" t="s">
        <v>4204</v>
      </c>
      <c r="J11191" s="635">
        <f t="shared" si="350"/>
        <v>0</v>
      </c>
    </row>
    <row r="11192" spans="6:10" ht="15.75" hidden="1" thickBot="1">
      <c r="F11192" s="569">
        <v>522</v>
      </c>
      <c r="G11192" s="562" t="s">
        <v>4205</v>
      </c>
      <c r="J11192" s="635">
        <f t="shared" si="350"/>
        <v>0</v>
      </c>
    </row>
    <row r="11193" spans="6:10" ht="15.75" hidden="1" thickBot="1">
      <c r="F11193" s="569">
        <v>523</v>
      </c>
      <c r="G11193" s="562" t="s">
        <v>3843</v>
      </c>
      <c r="J11193" s="635">
        <f t="shared" si="350"/>
        <v>0</v>
      </c>
    </row>
    <row r="11194" spans="6:10" ht="15.75" hidden="1" thickBot="1">
      <c r="F11194" s="569">
        <v>531</v>
      </c>
      <c r="G11194" s="558" t="s">
        <v>4181</v>
      </c>
      <c r="J11194" s="635">
        <f t="shared" si="350"/>
        <v>0</v>
      </c>
    </row>
    <row r="11195" spans="6:10" ht="15.75" hidden="1" thickBot="1">
      <c r="F11195" s="569">
        <v>541</v>
      </c>
      <c r="G11195" s="562" t="s">
        <v>4206</v>
      </c>
      <c r="J11195" s="635">
        <f t="shared" si="350"/>
        <v>0</v>
      </c>
    </row>
    <row r="11196" spans="6:10" ht="15.75" hidden="1" thickBot="1">
      <c r="F11196" s="569">
        <v>542</v>
      </c>
      <c r="G11196" s="562" t="s">
        <v>4207</v>
      </c>
      <c r="J11196" s="635">
        <f t="shared" si="350"/>
        <v>0</v>
      </c>
    </row>
    <row r="11197" spans="6:10" ht="15.75" hidden="1" thickBot="1">
      <c r="F11197" s="569">
        <v>543</v>
      </c>
      <c r="G11197" s="562" t="s">
        <v>3848</v>
      </c>
      <c r="J11197" s="635">
        <f t="shared" si="350"/>
        <v>0</v>
      </c>
    </row>
    <row r="11198" spans="6:10" ht="30.75" hidden="1" thickBot="1">
      <c r="F11198" s="569">
        <v>551</v>
      </c>
      <c r="G11198" s="562" t="s">
        <v>4182</v>
      </c>
      <c r="J11198" s="635">
        <f t="shared" si="350"/>
        <v>0</v>
      </c>
    </row>
    <row r="11199" spans="6:10" ht="15.75" hidden="1" thickBot="1">
      <c r="F11199" s="570">
        <v>611</v>
      </c>
      <c r="G11199" s="568" t="s">
        <v>3854</v>
      </c>
      <c r="J11199" s="635">
        <f t="shared" si="350"/>
        <v>0</v>
      </c>
    </row>
    <row r="11200" spans="6:10" ht="15.75" hidden="1" thickBot="1">
      <c r="F11200" s="570">
        <v>620</v>
      </c>
      <c r="G11200" s="568" t="s">
        <v>88</v>
      </c>
      <c r="J11200" s="635">
        <f t="shared" si="350"/>
        <v>0</v>
      </c>
    </row>
    <row r="11201" spans="5:10" hidden="1">
      <c r="E11201" s="559"/>
      <c r="F11201" s="570"/>
      <c r="G11201" s="371" t="s">
        <v>4439</v>
      </c>
      <c r="H11201" s="636"/>
      <c r="I11201" s="662"/>
      <c r="J11201" s="637"/>
    </row>
    <row r="11202" spans="5:10" hidden="1">
      <c r="E11202" s="267"/>
      <c r="F11202" s="682" t="s">
        <v>234</v>
      </c>
      <c r="G11202" s="683" t="s">
        <v>235</v>
      </c>
      <c r="H11202" s="638">
        <f>SUM(H11141:H11200)</f>
        <v>0</v>
      </c>
      <c r="I11202" s="639"/>
      <c r="J11202" s="639">
        <f>SUM(H11202:I11202)</f>
        <v>0</v>
      </c>
    </row>
    <row r="11203" spans="5:10" hidden="1">
      <c r="F11203" s="682" t="s">
        <v>236</v>
      </c>
      <c r="G11203" s="683" t="s">
        <v>237</v>
      </c>
      <c r="J11203" s="639">
        <f t="shared" ref="J11203:J11217" si="351">SUM(H11203:I11203)</f>
        <v>0</v>
      </c>
    </row>
    <row r="11204" spans="5:10" hidden="1">
      <c r="F11204" s="682" t="s">
        <v>238</v>
      </c>
      <c r="G11204" s="683" t="s">
        <v>239</v>
      </c>
      <c r="J11204" s="639">
        <f t="shared" si="351"/>
        <v>0</v>
      </c>
    </row>
    <row r="11205" spans="5:10" ht="15.75" hidden="1" thickBot="1">
      <c r="F11205" s="682" t="s">
        <v>240</v>
      </c>
      <c r="G11205" s="683" t="s">
        <v>241</v>
      </c>
      <c r="J11205" s="639">
        <f t="shared" si="351"/>
        <v>0</v>
      </c>
    </row>
    <row r="11206" spans="5:10" ht="15.75" hidden="1" thickBot="1">
      <c r="F11206" s="682" t="s">
        <v>242</v>
      </c>
      <c r="G11206" s="683" t="s">
        <v>243</v>
      </c>
      <c r="J11206" s="639">
        <f t="shared" si="351"/>
        <v>0</v>
      </c>
    </row>
    <row r="11207" spans="5:10" ht="15.75" hidden="1" thickBot="1">
      <c r="F11207" s="682" t="s">
        <v>244</v>
      </c>
      <c r="G11207" s="683" t="s">
        <v>245</v>
      </c>
      <c r="J11207" s="639">
        <f t="shared" si="351"/>
        <v>0</v>
      </c>
    </row>
    <row r="11208" spans="5:10" ht="15.75" hidden="1" thickBot="1">
      <c r="F11208" s="682" t="s">
        <v>246</v>
      </c>
      <c r="G11208" s="683" t="s">
        <v>5121</v>
      </c>
      <c r="J11208" s="639">
        <f t="shared" si="351"/>
        <v>0</v>
      </c>
    </row>
    <row r="11209" spans="5:10" ht="15.75" hidden="1" thickBot="1">
      <c r="F11209" s="682" t="s">
        <v>247</v>
      </c>
      <c r="G11209" s="683" t="s">
        <v>5120</v>
      </c>
      <c r="J11209" s="639">
        <f t="shared" si="351"/>
        <v>0</v>
      </c>
    </row>
    <row r="11210" spans="5:10" ht="15.75" hidden="1" thickBot="1">
      <c r="F11210" s="682" t="s">
        <v>248</v>
      </c>
      <c r="G11210" s="683" t="s">
        <v>57</v>
      </c>
      <c r="J11210" s="639">
        <f t="shared" si="351"/>
        <v>0</v>
      </c>
    </row>
    <row r="11211" spans="5:10" ht="15.75" hidden="1" thickBot="1">
      <c r="F11211" s="682" t="s">
        <v>249</v>
      </c>
      <c r="G11211" s="683" t="s">
        <v>250</v>
      </c>
      <c r="J11211" s="639">
        <f t="shared" si="351"/>
        <v>0</v>
      </c>
    </row>
    <row r="11212" spans="5:10" ht="15.75" hidden="1" thickBot="1">
      <c r="F11212" s="682" t="s">
        <v>251</v>
      </c>
      <c r="G11212" s="683" t="s">
        <v>252</v>
      </c>
      <c r="J11212" s="639">
        <f t="shared" si="351"/>
        <v>0</v>
      </c>
    </row>
    <row r="11213" spans="5:10" ht="15.75" hidden="1" thickBot="1">
      <c r="F11213" s="682" t="s">
        <v>253</v>
      </c>
      <c r="G11213" s="683" t="s">
        <v>254</v>
      </c>
      <c r="J11213" s="639">
        <f t="shared" si="351"/>
        <v>0</v>
      </c>
    </row>
    <row r="11214" spans="5:10" ht="15.75" hidden="1" thickBot="1">
      <c r="F11214" s="682" t="s">
        <v>255</v>
      </c>
      <c r="G11214" s="683" t="s">
        <v>256</v>
      </c>
      <c r="J11214" s="639">
        <f t="shared" si="351"/>
        <v>0</v>
      </c>
    </row>
    <row r="11215" spans="5:10" ht="15.75" hidden="1" thickBot="1">
      <c r="F11215" s="682" t="s">
        <v>257</v>
      </c>
      <c r="G11215" s="683" t="s">
        <v>258</v>
      </c>
      <c r="J11215" s="639">
        <f t="shared" si="351"/>
        <v>0</v>
      </c>
    </row>
    <row r="11216" spans="5:10" ht="15.75" hidden="1" thickBot="1">
      <c r="F11216" s="682" t="s">
        <v>259</v>
      </c>
      <c r="G11216" s="683" t="s">
        <v>260</v>
      </c>
      <c r="J11216" s="639">
        <f t="shared" si="351"/>
        <v>0</v>
      </c>
    </row>
    <row r="11217" spans="5:10" ht="15.75" hidden="1" thickBot="1">
      <c r="F11217" s="682" t="s">
        <v>261</v>
      </c>
      <c r="G11217" s="683" t="s">
        <v>262</v>
      </c>
      <c r="H11217" s="638"/>
      <c r="I11217" s="639"/>
      <c r="J11217" s="639">
        <f t="shared" si="351"/>
        <v>0</v>
      </c>
    </row>
    <row r="11218" spans="5:10" ht="15.75" hidden="1" thickBot="1">
      <c r="G11218" s="274" t="s">
        <v>4440</v>
      </c>
      <c r="H11218" s="640">
        <f>SUM(H11202:H11217)</f>
        <v>0</v>
      </c>
      <c r="I11218" s="641">
        <f>SUM(I11203:I11217)</f>
        <v>0</v>
      </c>
      <c r="J11218" s="641">
        <f>SUM(J11202:J11217)</f>
        <v>0</v>
      </c>
    </row>
    <row r="11219" spans="5:10" hidden="1" collapsed="1">
      <c r="E11219" s="559"/>
      <c r="F11219" s="570"/>
      <c r="G11219" s="276" t="s">
        <v>5105</v>
      </c>
      <c r="H11219" s="642"/>
      <c r="I11219" s="663"/>
      <c r="J11219" s="643"/>
    </row>
    <row r="11220" spans="5:10" hidden="1">
      <c r="E11220" s="267"/>
      <c r="F11220" s="682" t="s">
        <v>234</v>
      </c>
      <c r="G11220" s="683" t="s">
        <v>235</v>
      </c>
      <c r="H11220" s="638">
        <f>SUM(H11141:H11200)</f>
        <v>0</v>
      </c>
      <c r="I11220" s="639"/>
      <c r="J11220" s="639">
        <f>SUM(H11220:I11220)</f>
        <v>0</v>
      </c>
    </row>
    <row r="11221" spans="5:10" hidden="1">
      <c r="F11221" s="682" t="s">
        <v>236</v>
      </c>
      <c r="G11221" s="683" t="s">
        <v>237</v>
      </c>
      <c r="J11221" s="639">
        <f t="shared" ref="J11221:J11235" si="352">SUM(H11221:I11221)</f>
        <v>0</v>
      </c>
    </row>
    <row r="11222" spans="5:10" hidden="1">
      <c r="F11222" s="682" t="s">
        <v>238</v>
      </c>
      <c r="G11222" s="683" t="s">
        <v>239</v>
      </c>
      <c r="J11222" s="639">
        <f t="shared" si="352"/>
        <v>0</v>
      </c>
    </row>
    <row r="11223" spans="5:10" ht="15.75" hidden="1" thickBot="1">
      <c r="F11223" s="682" t="s">
        <v>240</v>
      </c>
      <c r="G11223" s="683" t="s">
        <v>241</v>
      </c>
      <c r="J11223" s="639">
        <f t="shared" si="352"/>
        <v>0</v>
      </c>
    </row>
    <row r="11224" spans="5:10" ht="15.75" hidden="1" thickBot="1">
      <c r="F11224" s="682" t="s">
        <v>242</v>
      </c>
      <c r="G11224" s="683" t="s">
        <v>243</v>
      </c>
      <c r="J11224" s="639">
        <f t="shared" si="352"/>
        <v>0</v>
      </c>
    </row>
    <row r="11225" spans="5:10" ht="15.75" hidden="1" thickBot="1">
      <c r="F11225" s="682" t="s">
        <v>244</v>
      </c>
      <c r="G11225" s="683" t="s">
        <v>245</v>
      </c>
      <c r="J11225" s="639">
        <f t="shared" si="352"/>
        <v>0</v>
      </c>
    </row>
    <row r="11226" spans="5:10" ht="15.75" hidden="1" thickBot="1">
      <c r="F11226" s="682" t="s">
        <v>246</v>
      </c>
      <c r="G11226" s="683" t="s">
        <v>5121</v>
      </c>
      <c r="J11226" s="639">
        <f t="shared" si="352"/>
        <v>0</v>
      </c>
    </row>
    <row r="11227" spans="5:10" ht="15.75" hidden="1" thickBot="1">
      <c r="F11227" s="682" t="s">
        <v>247</v>
      </c>
      <c r="G11227" s="683" t="s">
        <v>5120</v>
      </c>
      <c r="J11227" s="639">
        <f t="shared" si="352"/>
        <v>0</v>
      </c>
    </row>
    <row r="11228" spans="5:10" ht="15.75" hidden="1" thickBot="1">
      <c r="F11228" s="682" t="s">
        <v>248</v>
      </c>
      <c r="G11228" s="683" t="s">
        <v>57</v>
      </c>
      <c r="J11228" s="639">
        <f t="shared" si="352"/>
        <v>0</v>
      </c>
    </row>
    <row r="11229" spans="5:10" ht="15.75" hidden="1" thickBot="1">
      <c r="F11229" s="682" t="s">
        <v>249</v>
      </c>
      <c r="G11229" s="683" t="s">
        <v>250</v>
      </c>
      <c r="J11229" s="639">
        <f t="shared" si="352"/>
        <v>0</v>
      </c>
    </row>
    <row r="11230" spans="5:10" ht="15.75" hidden="1" thickBot="1">
      <c r="F11230" s="682" t="s">
        <v>251</v>
      </c>
      <c r="G11230" s="683" t="s">
        <v>252</v>
      </c>
      <c r="J11230" s="639">
        <f t="shared" si="352"/>
        <v>0</v>
      </c>
    </row>
    <row r="11231" spans="5:10" ht="15.75" hidden="1" thickBot="1">
      <c r="F11231" s="682" t="s">
        <v>253</v>
      </c>
      <c r="G11231" s="683" t="s">
        <v>254</v>
      </c>
      <c r="J11231" s="639">
        <f t="shared" si="352"/>
        <v>0</v>
      </c>
    </row>
    <row r="11232" spans="5:10" ht="15.75" hidden="1" thickBot="1">
      <c r="F11232" s="682" t="s">
        <v>255</v>
      </c>
      <c r="G11232" s="683" t="s">
        <v>256</v>
      </c>
      <c r="J11232" s="639">
        <f t="shared" si="352"/>
        <v>0</v>
      </c>
    </row>
    <row r="11233" spans="3:10" ht="15.75" hidden="1" thickBot="1">
      <c r="F11233" s="682" t="s">
        <v>257</v>
      </c>
      <c r="G11233" s="683" t="s">
        <v>258</v>
      </c>
      <c r="J11233" s="639">
        <f t="shared" si="352"/>
        <v>0</v>
      </c>
    </row>
    <row r="11234" spans="3:10" ht="15.75" hidden="1" thickBot="1">
      <c r="F11234" s="682" t="s">
        <v>259</v>
      </c>
      <c r="G11234" s="683" t="s">
        <v>260</v>
      </c>
      <c r="J11234" s="639">
        <f t="shared" si="352"/>
        <v>0</v>
      </c>
    </row>
    <row r="11235" spans="3:10" ht="15.75" hidden="1" thickBot="1">
      <c r="F11235" s="682" t="s">
        <v>261</v>
      </c>
      <c r="G11235" s="683" t="s">
        <v>262</v>
      </c>
      <c r="H11235" s="638"/>
      <c r="I11235" s="639"/>
      <c r="J11235" s="639">
        <f t="shared" si="352"/>
        <v>0</v>
      </c>
    </row>
    <row r="11236" spans="3:10" ht="15.75" hidden="1" thickBot="1">
      <c r="G11236" s="274" t="s">
        <v>5106</v>
      </c>
      <c r="H11236" s="640">
        <f>SUM(H11220:H11235)</f>
        <v>0</v>
      </c>
      <c r="I11236" s="641">
        <f>SUM(I11221:I11235)</f>
        <v>0</v>
      </c>
      <c r="J11236" s="641">
        <f>SUM(J11220:J11235)</f>
        <v>0</v>
      </c>
    </row>
    <row r="11237" spans="3:10" hidden="1">
      <c r="G11237" s="331"/>
      <c r="H11237" s="644"/>
      <c r="I11237" s="645"/>
      <c r="J11237" s="645"/>
    </row>
    <row r="11238" spans="3:10" hidden="1">
      <c r="C11238" s="273" t="s">
        <v>4847</v>
      </c>
      <c r="D11238" s="264"/>
      <c r="G11238" s="563" t="s">
        <v>4240</v>
      </c>
    </row>
    <row r="11239" spans="3:10" hidden="1">
      <c r="C11239" s="273"/>
      <c r="D11239" s="357">
        <v>820</v>
      </c>
      <c r="E11239" s="357"/>
      <c r="F11239" s="357"/>
      <c r="G11239" s="358" t="s">
        <v>207</v>
      </c>
    </row>
    <row r="11240" spans="3:10" hidden="1">
      <c r="F11240" s="569">
        <v>411</v>
      </c>
      <c r="G11240" s="562" t="s">
        <v>4173</v>
      </c>
      <c r="J11240" s="635">
        <f>SUM(H11240:I11240)</f>
        <v>0</v>
      </c>
    </row>
    <row r="11241" spans="3:10" hidden="1">
      <c r="F11241" s="569">
        <v>412</v>
      </c>
      <c r="G11241" s="558" t="s">
        <v>3770</v>
      </c>
      <c r="J11241" s="635">
        <f t="shared" ref="J11241:J11299" si="353">SUM(H11241:I11241)</f>
        <v>0</v>
      </c>
    </row>
    <row r="11242" spans="3:10" hidden="1">
      <c r="F11242" s="569">
        <v>413</v>
      </c>
      <c r="G11242" s="562" t="s">
        <v>4174</v>
      </c>
      <c r="J11242" s="635">
        <f t="shared" si="353"/>
        <v>0</v>
      </c>
    </row>
    <row r="11243" spans="3:10" hidden="1">
      <c r="F11243" s="569">
        <v>414</v>
      </c>
      <c r="G11243" s="562" t="s">
        <v>3773</v>
      </c>
      <c r="J11243" s="635">
        <f t="shared" si="353"/>
        <v>0</v>
      </c>
    </row>
    <row r="11244" spans="3:10" hidden="1">
      <c r="F11244" s="569">
        <v>415</v>
      </c>
      <c r="G11244" s="562" t="s">
        <v>4183</v>
      </c>
      <c r="J11244" s="635">
        <f t="shared" si="353"/>
        <v>0</v>
      </c>
    </row>
    <row r="11245" spans="3:10" hidden="1">
      <c r="F11245" s="569">
        <v>416</v>
      </c>
      <c r="G11245" s="562" t="s">
        <v>4184</v>
      </c>
      <c r="J11245" s="635">
        <f t="shared" si="353"/>
        <v>0</v>
      </c>
    </row>
    <row r="11246" spans="3:10" hidden="1">
      <c r="F11246" s="569">
        <v>417</v>
      </c>
      <c r="G11246" s="562" t="s">
        <v>4185</v>
      </c>
      <c r="J11246" s="635">
        <f t="shared" si="353"/>
        <v>0</v>
      </c>
    </row>
    <row r="11247" spans="3:10" hidden="1">
      <c r="F11247" s="569">
        <v>418</v>
      </c>
      <c r="G11247" s="562" t="s">
        <v>3779</v>
      </c>
      <c r="J11247" s="635">
        <f t="shared" si="353"/>
        <v>0</v>
      </c>
    </row>
    <row r="11248" spans="3:10" hidden="1">
      <c r="F11248" s="569">
        <v>421</v>
      </c>
      <c r="G11248" s="562" t="s">
        <v>3783</v>
      </c>
      <c r="J11248" s="635">
        <f t="shared" si="353"/>
        <v>0</v>
      </c>
    </row>
    <row r="11249" spans="6:10" hidden="1">
      <c r="F11249" s="569">
        <v>422</v>
      </c>
      <c r="G11249" s="562" t="s">
        <v>3784</v>
      </c>
      <c r="J11249" s="635">
        <f t="shared" si="353"/>
        <v>0</v>
      </c>
    </row>
    <row r="11250" spans="6:10" hidden="1">
      <c r="F11250" s="569">
        <v>423</v>
      </c>
      <c r="G11250" s="562" t="s">
        <v>3785</v>
      </c>
      <c r="J11250" s="635">
        <f t="shared" si="353"/>
        <v>0</v>
      </c>
    </row>
    <row r="11251" spans="6:10" hidden="1">
      <c r="F11251" s="569">
        <v>424</v>
      </c>
      <c r="G11251" s="562" t="s">
        <v>3787</v>
      </c>
      <c r="J11251" s="635">
        <f t="shared" si="353"/>
        <v>0</v>
      </c>
    </row>
    <row r="11252" spans="6:10" hidden="1">
      <c r="F11252" s="569">
        <v>425</v>
      </c>
      <c r="G11252" s="562" t="s">
        <v>4186</v>
      </c>
      <c r="J11252" s="635">
        <f t="shared" si="353"/>
        <v>0</v>
      </c>
    </row>
    <row r="11253" spans="6:10" hidden="1">
      <c r="F11253" s="569">
        <v>426</v>
      </c>
      <c r="G11253" s="562" t="s">
        <v>3791</v>
      </c>
      <c r="J11253" s="635">
        <f t="shared" si="353"/>
        <v>0</v>
      </c>
    </row>
    <row r="11254" spans="6:10" hidden="1">
      <c r="F11254" s="569">
        <v>431</v>
      </c>
      <c r="G11254" s="562" t="s">
        <v>4187</v>
      </c>
      <c r="J11254" s="635">
        <f t="shared" si="353"/>
        <v>0</v>
      </c>
    </row>
    <row r="11255" spans="6:10" hidden="1">
      <c r="F11255" s="569">
        <v>432</v>
      </c>
      <c r="G11255" s="562" t="s">
        <v>4188</v>
      </c>
      <c r="J11255" s="635">
        <f t="shared" si="353"/>
        <v>0</v>
      </c>
    </row>
    <row r="11256" spans="6:10" hidden="1">
      <c r="F11256" s="569">
        <v>433</v>
      </c>
      <c r="G11256" s="562" t="s">
        <v>4189</v>
      </c>
      <c r="J11256" s="635">
        <f t="shared" si="353"/>
        <v>0</v>
      </c>
    </row>
    <row r="11257" spans="6:10" hidden="1">
      <c r="F11257" s="569">
        <v>434</v>
      </c>
      <c r="G11257" s="562" t="s">
        <v>4190</v>
      </c>
      <c r="J11257" s="635">
        <f t="shared" si="353"/>
        <v>0</v>
      </c>
    </row>
    <row r="11258" spans="6:10" hidden="1">
      <c r="F11258" s="569">
        <v>435</v>
      </c>
      <c r="G11258" s="562" t="s">
        <v>3798</v>
      </c>
      <c r="J11258" s="635">
        <f t="shared" si="353"/>
        <v>0</v>
      </c>
    </row>
    <row r="11259" spans="6:10" hidden="1">
      <c r="F11259" s="569">
        <v>441</v>
      </c>
      <c r="G11259" s="562" t="s">
        <v>4191</v>
      </c>
      <c r="J11259" s="635">
        <f t="shared" si="353"/>
        <v>0</v>
      </c>
    </row>
    <row r="11260" spans="6:10" hidden="1">
      <c r="F11260" s="569">
        <v>442</v>
      </c>
      <c r="G11260" s="562" t="s">
        <v>4192</v>
      </c>
      <c r="J11260" s="635">
        <f t="shared" si="353"/>
        <v>0</v>
      </c>
    </row>
    <row r="11261" spans="6:10" hidden="1">
      <c r="F11261" s="569">
        <v>443</v>
      </c>
      <c r="G11261" s="562" t="s">
        <v>3803</v>
      </c>
      <c r="J11261" s="635">
        <f t="shared" si="353"/>
        <v>0</v>
      </c>
    </row>
    <row r="11262" spans="6:10" hidden="1">
      <c r="F11262" s="569">
        <v>444</v>
      </c>
      <c r="G11262" s="562" t="s">
        <v>3804</v>
      </c>
      <c r="J11262" s="635">
        <f t="shared" si="353"/>
        <v>0</v>
      </c>
    </row>
    <row r="11263" spans="6:10" ht="30" hidden="1">
      <c r="F11263" s="569">
        <v>4511</v>
      </c>
      <c r="G11263" s="268" t="s">
        <v>1690</v>
      </c>
      <c r="J11263" s="635">
        <f t="shared" si="353"/>
        <v>0</v>
      </c>
    </row>
    <row r="11264" spans="6:10" ht="30" hidden="1">
      <c r="F11264" s="569">
        <v>4512</v>
      </c>
      <c r="G11264" s="268" t="s">
        <v>1699</v>
      </c>
      <c r="J11264" s="635">
        <f t="shared" si="353"/>
        <v>0</v>
      </c>
    </row>
    <row r="11265" spans="6:10" hidden="1">
      <c r="F11265" s="569">
        <v>452</v>
      </c>
      <c r="G11265" s="562" t="s">
        <v>4193</v>
      </c>
      <c r="J11265" s="635">
        <f t="shared" si="353"/>
        <v>0</v>
      </c>
    </row>
    <row r="11266" spans="6:10" hidden="1">
      <c r="F11266" s="569">
        <v>453</v>
      </c>
      <c r="G11266" s="562" t="s">
        <v>4194</v>
      </c>
      <c r="J11266" s="635">
        <f t="shared" si="353"/>
        <v>0</v>
      </c>
    </row>
    <row r="11267" spans="6:10" hidden="1">
      <c r="F11267" s="569">
        <v>454</v>
      </c>
      <c r="G11267" s="562" t="s">
        <v>3809</v>
      </c>
      <c r="J11267" s="635">
        <f t="shared" si="353"/>
        <v>0</v>
      </c>
    </row>
    <row r="11268" spans="6:10" hidden="1">
      <c r="F11268" s="569">
        <v>461</v>
      </c>
      <c r="G11268" s="562" t="s">
        <v>4175</v>
      </c>
      <c r="J11268" s="635">
        <f t="shared" si="353"/>
        <v>0</v>
      </c>
    </row>
    <row r="11269" spans="6:10" hidden="1">
      <c r="F11269" s="569">
        <v>462</v>
      </c>
      <c r="G11269" s="562" t="s">
        <v>3812</v>
      </c>
      <c r="J11269" s="635">
        <f t="shared" si="353"/>
        <v>0</v>
      </c>
    </row>
    <row r="11270" spans="6:10" hidden="1">
      <c r="F11270" s="569">
        <v>4631</v>
      </c>
      <c r="G11270" s="562" t="s">
        <v>3813</v>
      </c>
      <c r="J11270" s="635">
        <f t="shared" si="353"/>
        <v>0</v>
      </c>
    </row>
    <row r="11271" spans="6:10" hidden="1">
      <c r="F11271" s="569">
        <v>4632</v>
      </c>
      <c r="G11271" s="562" t="s">
        <v>3814</v>
      </c>
      <c r="J11271" s="635">
        <f t="shared" si="353"/>
        <v>0</v>
      </c>
    </row>
    <row r="11272" spans="6:10" hidden="1">
      <c r="F11272" s="569">
        <v>464</v>
      </c>
      <c r="G11272" s="562" t="s">
        <v>3815</v>
      </c>
      <c r="J11272" s="635">
        <f t="shared" si="353"/>
        <v>0</v>
      </c>
    </row>
    <row r="11273" spans="6:10" hidden="1">
      <c r="F11273" s="569">
        <v>465</v>
      </c>
      <c r="G11273" s="562" t="s">
        <v>4176</v>
      </c>
      <c r="J11273" s="635">
        <f t="shared" si="353"/>
        <v>0</v>
      </c>
    </row>
    <row r="11274" spans="6:10" ht="15.75" hidden="1" thickBot="1">
      <c r="F11274" s="569">
        <v>472</v>
      </c>
      <c r="G11274" s="562" t="s">
        <v>3819</v>
      </c>
      <c r="J11274" s="635">
        <f t="shared" si="353"/>
        <v>0</v>
      </c>
    </row>
    <row r="11275" spans="6:10" ht="15.75" hidden="1" thickBot="1">
      <c r="F11275" s="569">
        <v>481</v>
      </c>
      <c r="G11275" s="562" t="s">
        <v>4195</v>
      </c>
      <c r="J11275" s="635">
        <f t="shared" si="353"/>
        <v>0</v>
      </c>
    </row>
    <row r="11276" spans="6:10" ht="15.75" hidden="1" thickBot="1">
      <c r="F11276" s="569">
        <v>482</v>
      </c>
      <c r="G11276" s="562" t="s">
        <v>4196</v>
      </c>
      <c r="J11276" s="635">
        <f t="shared" si="353"/>
        <v>0</v>
      </c>
    </row>
    <row r="11277" spans="6:10" ht="15.75" hidden="1" thickBot="1">
      <c r="F11277" s="569">
        <v>483</v>
      </c>
      <c r="G11277" s="566" t="s">
        <v>4197</v>
      </c>
      <c r="J11277" s="635">
        <f t="shared" si="353"/>
        <v>0</v>
      </c>
    </row>
    <row r="11278" spans="6:10" ht="30.75" hidden="1" thickBot="1">
      <c r="F11278" s="569">
        <v>484</v>
      </c>
      <c r="G11278" s="562" t="s">
        <v>4198</v>
      </c>
      <c r="J11278" s="635">
        <f t="shared" si="353"/>
        <v>0</v>
      </c>
    </row>
    <row r="11279" spans="6:10" ht="30.75" hidden="1" thickBot="1">
      <c r="F11279" s="569">
        <v>485</v>
      </c>
      <c r="G11279" s="562" t="s">
        <v>4199</v>
      </c>
      <c r="J11279" s="635">
        <f t="shared" si="353"/>
        <v>0</v>
      </c>
    </row>
    <row r="11280" spans="6:10" ht="30.75" hidden="1" thickBot="1">
      <c r="F11280" s="569">
        <v>489</v>
      </c>
      <c r="G11280" s="562" t="s">
        <v>3827</v>
      </c>
      <c r="J11280" s="635">
        <f t="shared" si="353"/>
        <v>0</v>
      </c>
    </row>
    <row r="11281" spans="6:10" ht="15.75" hidden="1" thickBot="1">
      <c r="F11281" s="569">
        <v>494</v>
      </c>
      <c r="G11281" s="562" t="s">
        <v>4177</v>
      </c>
      <c r="J11281" s="635">
        <f t="shared" si="353"/>
        <v>0</v>
      </c>
    </row>
    <row r="11282" spans="6:10" ht="30.75" hidden="1" thickBot="1">
      <c r="F11282" s="569">
        <v>495</v>
      </c>
      <c r="G11282" s="562" t="s">
        <v>4178</v>
      </c>
      <c r="J11282" s="635">
        <f t="shared" si="353"/>
        <v>0</v>
      </c>
    </row>
    <row r="11283" spans="6:10" ht="30.75" hidden="1" thickBot="1">
      <c r="F11283" s="569">
        <v>496</v>
      </c>
      <c r="G11283" s="562" t="s">
        <v>4179</v>
      </c>
      <c r="J11283" s="635">
        <f t="shared" si="353"/>
        <v>0</v>
      </c>
    </row>
    <row r="11284" spans="6:10" ht="15.75" hidden="1" thickBot="1">
      <c r="F11284" s="569">
        <v>499</v>
      </c>
      <c r="G11284" s="562" t="s">
        <v>4180</v>
      </c>
      <c r="J11284" s="635">
        <f t="shared" si="353"/>
        <v>0</v>
      </c>
    </row>
    <row r="11285" spans="6:10" ht="15.75" hidden="1" thickBot="1">
      <c r="F11285" s="569">
        <v>511</v>
      </c>
      <c r="G11285" s="566" t="s">
        <v>4200</v>
      </c>
      <c r="J11285" s="635">
        <f t="shared" si="353"/>
        <v>0</v>
      </c>
    </row>
    <row r="11286" spans="6:10" ht="15.75" hidden="1" thickBot="1">
      <c r="F11286" s="569">
        <v>512</v>
      </c>
      <c r="G11286" s="566" t="s">
        <v>4201</v>
      </c>
      <c r="J11286" s="635">
        <f t="shared" si="353"/>
        <v>0</v>
      </c>
    </row>
    <row r="11287" spans="6:10" ht="15.75" hidden="1" thickBot="1">
      <c r="F11287" s="569">
        <v>513</v>
      </c>
      <c r="G11287" s="566" t="s">
        <v>4202</v>
      </c>
      <c r="J11287" s="635">
        <f t="shared" si="353"/>
        <v>0</v>
      </c>
    </row>
    <row r="11288" spans="6:10" ht="15.75" hidden="1" thickBot="1">
      <c r="F11288" s="569">
        <v>514</v>
      </c>
      <c r="G11288" s="562" t="s">
        <v>4203</v>
      </c>
      <c r="J11288" s="635">
        <f t="shared" si="353"/>
        <v>0</v>
      </c>
    </row>
    <row r="11289" spans="6:10" ht="15.75" hidden="1" thickBot="1">
      <c r="F11289" s="569">
        <v>515</v>
      </c>
      <c r="G11289" s="562" t="s">
        <v>3838</v>
      </c>
      <c r="J11289" s="635">
        <f t="shared" si="353"/>
        <v>0</v>
      </c>
    </row>
    <row r="11290" spans="6:10" ht="15.75" hidden="1" thickBot="1">
      <c r="F11290" s="569">
        <v>521</v>
      </c>
      <c r="G11290" s="562" t="s">
        <v>4204</v>
      </c>
      <c r="J11290" s="635">
        <f t="shared" si="353"/>
        <v>0</v>
      </c>
    </row>
    <row r="11291" spans="6:10" ht="15.75" hidden="1" thickBot="1">
      <c r="F11291" s="569">
        <v>522</v>
      </c>
      <c r="G11291" s="562" t="s">
        <v>4205</v>
      </c>
      <c r="J11291" s="635">
        <f t="shared" si="353"/>
        <v>0</v>
      </c>
    </row>
    <row r="11292" spans="6:10" ht="15.75" hidden="1" thickBot="1">
      <c r="F11292" s="569">
        <v>523</v>
      </c>
      <c r="G11292" s="562" t="s">
        <v>3843</v>
      </c>
      <c r="J11292" s="635">
        <f t="shared" si="353"/>
        <v>0</v>
      </c>
    </row>
    <row r="11293" spans="6:10" ht="15.75" hidden="1" thickBot="1">
      <c r="F11293" s="569">
        <v>531</v>
      </c>
      <c r="G11293" s="558" t="s">
        <v>4181</v>
      </c>
      <c r="J11293" s="635">
        <f t="shared" si="353"/>
        <v>0</v>
      </c>
    </row>
    <row r="11294" spans="6:10" ht="15.75" hidden="1" thickBot="1">
      <c r="F11294" s="569">
        <v>541</v>
      </c>
      <c r="G11294" s="562" t="s">
        <v>4206</v>
      </c>
      <c r="J11294" s="635">
        <f t="shared" si="353"/>
        <v>0</v>
      </c>
    </row>
    <row r="11295" spans="6:10" ht="15.75" hidden="1" thickBot="1">
      <c r="F11295" s="569">
        <v>542</v>
      </c>
      <c r="G11295" s="562" t="s">
        <v>4207</v>
      </c>
      <c r="J11295" s="635">
        <f t="shared" si="353"/>
        <v>0</v>
      </c>
    </row>
    <row r="11296" spans="6:10" ht="15.75" hidden="1" thickBot="1">
      <c r="F11296" s="569">
        <v>543</v>
      </c>
      <c r="G11296" s="562" t="s">
        <v>3848</v>
      </c>
      <c r="J11296" s="635">
        <f t="shared" si="353"/>
        <v>0</v>
      </c>
    </row>
    <row r="11297" spans="5:10" ht="30.75" hidden="1" thickBot="1">
      <c r="F11297" s="569">
        <v>551</v>
      </c>
      <c r="G11297" s="562" t="s">
        <v>4182</v>
      </c>
      <c r="J11297" s="635">
        <f t="shared" si="353"/>
        <v>0</v>
      </c>
    </row>
    <row r="11298" spans="5:10" ht="15.75" hidden="1" thickBot="1">
      <c r="F11298" s="570">
        <v>611</v>
      </c>
      <c r="G11298" s="568" t="s">
        <v>3854</v>
      </c>
      <c r="J11298" s="635">
        <f t="shared" si="353"/>
        <v>0</v>
      </c>
    </row>
    <row r="11299" spans="5:10" ht="15.75" hidden="1" thickBot="1">
      <c r="F11299" s="570">
        <v>620</v>
      </c>
      <c r="G11299" s="568" t="s">
        <v>88</v>
      </c>
      <c r="J11299" s="635">
        <f t="shared" si="353"/>
        <v>0</v>
      </c>
    </row>
    <row r="11300" spans="5:10" hidden="1">
      <c r="E11300" s="559"/>
      <c r="F11300" s="570"/>
      <c r="G11300" s="371" t="s">
        <v>4439</v>
      </c>
      <c r="H11300" s="636"/>
      <c r="I11300" s="662"/>
      <c r="J11300" s="637"/>
    </row>
    <row r="11301" spans="5:10" hidden="1">
      <c r="E11301" s="267"/>
      <c r="F11301" s="682" t="s">
        <v>234</v>
      </c>
      <c r="G11301" s="683" t="s">
        <v>235</v>
      </c>
      <c r="H11301" s="638">
        <f>SUM(H11240:H11299)</f>
        <v>0</v>
      </c>
      <c r="I11301" s="639"/>
      <c r="J11301" s="639">
        <f>SUM(H11301:I11301)</f>
        <v>0</v>
      </c>
    </row>
    <row r="11302" spans="5:10" hidden="1">
      <c r="F11302" s="682" t="s">
        <v>236</v>
      </c>
      <c r="G11302" s="683" t="s">
        <v>237</v>
      </c>
      <c r="J11302" s="639">
        <f t="shared" ref="J11302:J11316" si="354">SUM(H11302:I11302)</f>
        <v>0</v>
      </c>
    </row>
    <row r="11303" spans="5:10" hidden="1">
      <c r="F11303" s="682" t="s">
        <v>238</v>
      </c>
      <c r="G11303" s="683" t="s">
        <v>239</v>
      </c>
      <c r="J11303" s="639">
        <f t="shared" si="354"/>
        <v>0</v>
      </c>
    </row>
    <row r="11304" spans="5:10" ht="15.75" hidden="1" thickBot="1">
      <c r="F11304" s="682" t="s">
        <v>240</v>
      </c>
      <c r="G11304" s="683" t="s">
        <v>241</v>
      </c>
      <c r="J11304" s="639">
        <f t="shared" si="354"/>
        <v>0</v>
      </c>
    </row>
    <row r="11305" spans="5:10" ht="15.75" hidden="1" thickBot="1">
      <c r="F11305" s="682" t="s">
        <v>242</v>
      </c>
      <c r="G11305" s="683" t="s">
        <v>243</v>
      </c>
      <c r="J11305" s="639">
        <f t="shared" si="354"/>
        <v>0</v>
      </c>
    </row>
    <row r="11306" spans="5:10" ht="15.75" hidden="1" thickBot="1">
      <c r="F11306" s="682" t="s">
        <v>244</v>
      </c>
      <c r="G11306" s="683" t="s">
        <v>245</v>
      </c>
      <c r="J11306" s="639">
        <f t="shared" si="354"/>
        <v>0</v>
      </c>
    </row>
    <row r="11307" spans="5:10" ht="15.75" hidden="1" thickBot="1">
      <c r="F11307" s="682" t="s">
        <v>246</v>
      </c>
      <c r="G11307" s="683" t="s">
        <v>5121</v>
      </c>
      <c r="J11307" s="639">
        <f t="shared" si="354"/>
        <v>0</v>
      </c>
    </row>
    <row r="11308" spans="5:10" ht="15.75" hidden="1" thickBot="1">
      <c r="F11308" s="682" t="s">
        <v>247</v>
      </c>
      <c r="G11308" s="683" t="s">
        <v>5120</v>
      </c>
      <c r="J11308" s="639">
        <f t="shared" si="354"/>
        <v>0</v>
      </c>
    </row>
    <row r="11309" spans="5:10" ht="15.75" hidden="1" thickBot="1">
      <c r="F11309" s="682" t="s">
        <v>248</v>
      </c>
      <c r="G11309" s="683" t="s">
        <v>57</v>
      </c>
      <c r="J11309" s="639">
        <f t="shared" si="354"/>
        <v>0</v>
      </c>
    </row>
    <row r="11310" spans="5:10" ht="15.75" hidden="1" thickBot="1">
      <c r="F11310" s="682" t="s">
        <v>249</v>
      </c>
      <c r="G11310" s="683" t="s">
        <v>250</v>
      </c>
      <c r="J11310" s="639">
        <f t="shared" si="354"/>
        <v>0</v>
      </c>
    </row>
    <row r="11311" spans="5:10" ht="15.75" hidden="1" thickBot="1">
      <c r="F11311" s="682" t="s">
        <v>251</v>
      </c>
      <c r="G11311" s="683" t="s">
        <v>252</v>
      </c>
      <c r="J11311" s="639">
        <f t="shared" si="354"/>
        <v>0</v>
      </c>
    </row>
    <row r="11312" spans="5:10" ht="15.75" hidden="1" thickBot="1">
      <c r="F11312" s="682" t="s">
        <v>253</v>
      </c>
      <c r="G11312" s="683" t="s">
        <v>254</v>
      </c>
      <c r="J11312" s="639">
        <f t="shared" si="354"/>
        <v>0</v>
      </c>
    </row>
    <row r="11313" spans="5:10" ht="15.75" hidden="1" thickBot="1">
      <c r="F11313" s="682" t="s">
        <v>255</v>
      </c>
      <c r="G11313" s="683" t="s">
        <v>256</v>
      </c>
      <c r="J11313" s="639">
        <f t="shared" si="354"/>
        <v>0</v>
      </c>
    </row>
    <row r="11314" spans="5:10" ht="15.75" hidden="1" thickBot="1">
      <c r="F11314" s="682" t="s">
        <v>257</v>
      </c>
      <c r="G11314" s="683" t="s">
        <v>258</v>
      </c>
      <c r="J11314" s="639">
        <f t="shared" si="354"/>
        <v>0</v>
      </c>
    </row>
    <row r="11315" spans="5:10" ht="15.75" hidden="1" thickBot="1">
      <c r="F11315" s="682" t="s">
        <v>259</v>
      </c>
      <c r="G11315" s="683" t="s">
        <v>260</v>
      </c>
      <c r="J11315" s="639">
        <f t="shared" si="354"/>
        <v>0</v>
      </c>
    </row>
    <row r="11316" spans="5:10" ht="15.75" hidden="1" thickBot="1">
      <c r="F11316" s="682" t="s">
        <v>261</v>
      </c>
      <c r="G11316" s="683" t="s">
        <v>262</v>
      </c>
      <c r="H11316" s="638"/>
      <c r="I11316" s="639"/>
      <c r="J11316" s="639">
        <f t="shared" si="354"/>
        <v>0</v>
      </c>
    </row>
    <row r="11317" spans="5:10" ht="15.75" hidden="1" thickBot="1">
      <c r="G11317" s="274" t="s">
        <v>4440</v>
      </c>
      <c r="H11317" s="640">
        <f>SUM(H11301:H11316)</f>
        <v>0</v>
      </c>
      <c r="I11317" s="641">
        <f>SUM(I11302:I11316)</f>
        <v>0</v>
      </c>
      <c r="J11317" s="641">
        <f>SUM(J11301:J11316)</f>
        <v>0</v>
      </c>
    </row>
    <row r="11318" spans="5:10" hidden="1" collapsed="1">
      <c r="E11318" s="559"/>
      <c r="F11318" s="570"/>
      <c r="G11318" s="276" t="s">
        <v>5107</v>
      </c>
      <c r="H11318" s="642"/>
      <c r="I11318" s="663"/>
      <c r="J11318" s="643"/>
    </row>
    <row r="11319" spans="5:10" hidden="1">
      <c r="E11319" s="267"/>
      <c r="F11319" s="682" t="s">
        <v>234</v>
      </c>
      <c r="G11319" s="683" t="s">
        <v>235</v>
      </c>
      <c r="H11319" s="638">
        <f>SUM(H11240:H11299)</f>
        <v>0</v>
      </c>
      <c r="I11319" s="639"/>
      <c r="J11319" s="639">
        <f>SUM(H11319:I11319)</f>
        <v>0</v>
      </c>
    </row>
    <row r="11320" spans="5:10" hidden="1">
      <c r="F11320" s="682" t="s">
        <v>236</v>
      </c>
      <c r="G11320" s="683" t="s">
        <v>237</v>
      </c>
      <c r="J11320" s="639">
        <f t="shared" ref="J11320:J11334" si="355">SUM(H11320:I11320)</f>
        <v>0</v>
      </c>
    </row>
    <row r="11321" spans="5:10" hidden="1">
      <c r="F11321" s="682" t="s">
        <v>238</v>
      </c>
      <c r="G11321" s="683" t="s">
        <v>239</v>
      </c>
      <c r="J11321" s="639">
        <f t="shared" si="355"/>
        <v>0</v>
      </c>
    </row>
    <row r="11322" spans="5:10" ht="15.75" hidden="1" thickBot="1">
      <c r="F11322" s="682" t="s">
        <v>240</v>
      </c>
      <c r="G11322" s="683" t="s">
        <v>241</v>
      </c>
      <c r="J11322" s="639">
        <f t="shared" si="355"/>
        <v>0</v>
      </c>
    </row>
    <row r="11323" spans="5:10" ht="15.75" hidden="1" thickBot="1">
      <c r="F11323" s="682" t="s">
        <v>242</v>
      </c>
      <c r="G11323" s="683" t="s">
        <v>243</v>
      </c>
      <c r="J11323" s="639">
        <f t="shared" si="355"/>
        <v>0</v>
      </c>
    </row>
    <row r="11324" spans="5:10" ht="15.75" hidden="1" thickBot="1">
      <c r="F11324" s="682" t="s">
        <v>244</v>
      </c>
      <c r="G11324" s="683" t="s">
        <v>245</v>
      </c>
      <c r="J11324" s="639">
        <f t="shared" si="355"/>
        <v>0</v>
      </c>
    </row>
    <row r="11325" spans="5:10" ht="15.75" hidden="1" thickBot="1">
      <c r="F11325" s="682" t="s">
        <v>246</v>
      </c>
      <c r="G11325" s="683" t="s">
        <v>5121</v>
      </c>
      <c r="J11325" s="639">
        <f t="shared" si="355"/>
        <v>0</v>
      </c>
    </row>
    <row r="11326" spans="5:10" ht="15.75" hidden="1" thickBot="1">
      <c r="F11326" s="682" t="s">
        <v>247</v>
      </c>
      <c r="G11326" s="683" t="s">
        <v>5120</v>
      </c>
      <c r="J11326" s="639">
        <f t="shared" si="355"/>
        <v>0</v>
      </c>
    </row>
    <row r="11327" spans="5:10" ht="15.75" hidden="1" thickBot="1">
      <c r="F11327" s="682" t="s">
        <v>248</v>
      </c>
      <c r="G11327" s="683" t="s">
        <v>57</v>
      </c>
      <c r="J11327" s="639">
        <f t="shared" si="355"/>
        <v>0</v>
      </c>
    </row>
    <row r="11328" spans="5:10" ht="15.75" hidden="1" thickBot="1">
      <c r="F11328" s="682" t="s">
        <v>249</v>
      </c>
      <c r="G11328" s="683" t="s">
        <v>250</v>
      </c>
      <c r="J11328" s="639">
        <f t="shared" si="355"/>
        <v>0</v>
      </c>
    </row>
    <row r="11329" spans="3:10" ht="15.75" hidden="1" thickBot="1">
      <c r="F11329" s="682" t="s">
        <v>251</v>
      </c>
      <c r="G11329" s="683" t="s">
        <v>252</v>
      </c>
      <c r="J11329" s="639">
        <f t="shared" si="355"/>
        <v>0</v>
      </c>
    </row>
    <row r="11330" spans="3:10" ht="15.75" hidden="1" thickBot="1">
      <c r="F11330" s="682" t="s">
        <v>253</v>
      </c>
      <c r="G11330" s="683" t="s">
        <v>254</v>
      </c>
      <c r="J11330" s="639">
        <f t="shared" si="355"/>
        <v>0</v>
      </c>
    </row>
    <row r="11331" spans="3:10" ht="15.75" hidden="1" thickBot="1">
      <c r="F11331" s="682" t="s">
        <v>255</v>
      </c>
      <c r="G11331" s="683" t="s">
        <v>256</v>
      </c>
      <c r="J11331" s="639">
        <f t="shared" si="355"/>
        <v>0</v>
      </c>
    </row>
    <row r="11332" spans="3:10" ht="15.75" hidden="1" thickBot="1">
      <c r="F11332" s="682" t="s">
        <v>257</v>
      </c>
      <c r="G11332" s="683" t="s">
        <v>258</v>
      </c>
      <c r="J11332" s="639">
        <f t="shared" si="355"/>
        <v>0</v>
      </c>
    </row>
    <row r="11333" spans="3:10" ht="15.75" hidden="1" thickBot="1">
      <c r="F11333" s="682" t="s">
        <v>259</v>
      </c>
      <c r="G11333" s="683" t="s">
        <v>260</v>
      </c>
      <c r="J11333" s="639">
        <f t="shared" si="355"/>
        <v>0</v>
      </c>
    </row>
    <row r="11334" spans="3:10" ht="15.75" hidden="1" thickBot="1">
      <c r="F11334" s="682" t="s">
        <v>261</v>
      </c>
      <c r="G11334" s="683" t="s">
        <v>262</v>
      </c>
      <c r="H11334" s="638"/>
      <c r="I11334" s="639"/>
      <c r="J11334" s="639">
        <f t="shared" si="355"/>
        <v>0</v>
      </c>
    </row>
    <row r="11335" spans="3:10" ht="15.75" hidden="1" thickBot="1">
      <c r="G11335" s="274" t="s">
        <v>5108</v>
      </c>
      <c r="H11335" s="640">
        <f>SUM(H11319:H11334)</f>
        <v>0</v>
      </c>
      <c r="I11335" s="641">
        <f>SUM(I11320:I11334)</f>
        <v>0</v>
      </c>
      <c r="J11335" s="641">
        <f>SUM(J11319:J11334)</f>
        <v>0</v>
      </c>
    </row>
    <row r="11336" spans="3:10" hidden="1">
      <c r="G11336" s="331"/>
      <c r="H11336" s="644"/>
      <c r="I11336" s="645"/>
      <c r="J11336" s="645"/>
    </row>
    <row r="11337" spans="3:10" hidden="1">
      <c r="C11337" s="273" t="s">
        <v>4848</v>
      </c>
      <c r="D11337" s="264"/>
      <c r="G11337" s="563" t="s">
        <v>4240</v>
      </c>
    </row>
    <row r="11338" spans="3:10" hidden="1">
      <c r="C11338" s="273"/>
      <c r="D11338" s="357">
        <v>820</v>
      </c>
      <c r="E11338" s="357"/>
      <c r="F11338" s="357"/>
      <c r="G11338" s="358" t="s">
        <v>207</v>
      </c>
    </row>
    <row r="11339" spans="3:10" hidden="1">
      <c r="F11339" s="569">
        <v>411</v>
      </c>
      <c r="G11339" s="562" t="s">
        <v>4173</v>
      </c>
      <c r="J11339" s="635">
        <f>SUM(H11339:I11339)</f>
        <v>0</v>
      </c>
    </row>
    <row r="11340" spans="3:10" hidden="1">
      <c r="F11340" s="569">
        <v>412</v>
      </c>
      <c r="G11340" s="558" t="s">
        <v>3770</v>
      </c>
      <c r="J11340" s="635">
        <f t="shared" ref="J11340:J11398" si="356">SUM(H11340:I11340)</f>
        <v>0</v>
      </c>
    </row>
    <row r="11341" spans="3:10" hidden="1">
      <c r="F11341" s="569">
        <v>413</v>
      </c>
      <c r="G11341" s="562" t="s">
        <v>4174</v>
      </c>
      <c r="J11341" s="635">
        <f t="shared" si="356"/>
        <v>0</v>
      </c>
    </row>
    <row r="11342" spans="3:10" hidden="1">
      <c r="F11342" s="569">
        <v>414</v>
      </c>
      <c r="G11342" s="562" t="s">
        <v>3773</v>
      </c>
      <c r="J11342" s="635">
        <f t="shared" si="356"/>
        <v>0</v>
      </c>
    </row>
    <row r="11343" spans="3:10" hidden="1">
      <c r="F11343" s="569">
        <v>415</v>
      </c>
      <c r="G11343" s="562" t="s">
        <v>4183</v>
      </c>
      <c r="J11343" s="635">
        <f t="shared" si="356"/>
        <v>0</v>
      </c>
    </row>
    <row r="11344" spans="3:10" hidden="1">
      <c r="F11344" s="569">
        <v>416</v>
      </c>
      <c r="G11344" s="562" t="s">
        <v>4184</v>
      </c>
      <c r="J11344" s="635">
        <f t="shared" si="356"/>
        <v>0</v>
      </c>
    </row>
    <row r="11345" spans="6:10" hidden="1">
      <c r="F11345" s="569">
        <v>417</v>
      </c>
      <c r="G11345" s="562" t="s">
        <v>4185</v>
      </c>
      <c r="J11345" s="635">
        <f t="shared" si="356"/>
        <v>0</v>
      </c>
    </row>
    <row r="11346" spans="6:10" hidden="1">
      <c r="F11346" s="569">
        <v>418</v>
      </c>
      <c r="G11346" s="562" t="s">
        <v>3779</v>
      </c>
      <c r="J11346" s="635">
        <f t="shared" si="356"/>
        <v>0</v>
      </c>
    </row>
    <row r="11347" spans="6:10" hidden="1">
      <c r="F11347" s="569">
        <v>421</v>
      </c>
      <c r="G11347" s="562" t="s">
        <v>3783</v>
      </c>
      <c r="J11347" s="635">
        <f t="shared" si="356"/>
        <v>0</v>
      </c>
    </row>
    <row r="11348" spans="6:10" hidden="1">
      <c r="F11348" s="569">
        <v>422</v>
      </c>
      <c r="G11348" s="562" t="s">
        <v>3784</v>
      </c>
      <c r="J11348" s="635">
        <f t="shared" si="356"/>
        <v>0</v>
      </c>
    </row>
    <row r="11349" spans="6:10" hidden="1">
      <c r="F11349" s="569">
        <v>423</v>
      </c>
      <c r="G11349" s="562" t="s">
        <v>3785</v>
      </c>
      <c r="J11349" s="635">
        <f t="shared" si="356"/>
        <v>0</v>
      </c>
    </row>
    <row r="11350" spans="6:10" hidden="1">
      <c r="F11350" s="569">
        <v>424</v>
      </c>
      <c r="G11350" s="562" t="s">
        <v>3787</v>
      </c>
      <c r="J11350" s="635">
        <f t="shared" si="356"/>
        <v>0</v>
      </c>
    </row>
    <row r="11351" spans="6:10" hidden="1">
      <c r="F11351" s="569">
        <v>425</v>
      </c>
      <c r="G11351" s="562" t="s">
        <v>4186</v>
      </c>
      <c r="J11351" s="635">
        <f t="shared" si="356"/>
        <v>0</v>
      </c>
    </row>
    <row r="11352" spans="6:10" hidden="1">
      <c r="F11352" s="569">
        <v>426</v>
      </c>
      <c r="G11352" s="562" t="s">
        <v>3791</v>
      </c>
      <c r="J11352" s="635">
        <f t="shared" si="356"/>
        <v>0</v>
      </c>
    </row>
    <row r="11353" spans="6:10" hidden="1">
      <c r="F11353" s="569">
        <v>431</v>
      </c>
      <c r="G11353" s="562" t="s">
        <v>4187</v>
      </c>
      <c r="J11353" s="635">
        <f t="shared" si="356"/>
        <v>0</v>
      </c>
    </row>
    <row r="11354" spans="6:10" hidden="1">
      <c r="F11354" s="569">
        <v>432</v>
      </c>
      <c r="G11354" s="562" t="s">
        <v>4188</v>
      </c>
      <c r="J11354" s="635">
        <f t="shared" si="356"/>
        <v>0</v>
      </c>
    </row>
    <row r="11355" spans="6:10" hidden="1">
      <c r="F11355" s="569">
        <v>433</v>
      </c>
      <c r="G11355" s="562" t="s">
        <v>4189</v>
      </c>
      <c r="J11355" s="635">
        <f t="shared" si="356"/>
        <v>0</v>
      </c>
    </row>
    <row r="11356" spans="6:10" hidden="1">
      <c r="F11356" s="569">
        <v>434</v>
      </c>
      <c r="G11356" s="562" t="s">
        <v>4190</v>
      </c>
      <c r="J11356" s="635">
        <f t="shared" si="356"/>
        <v>0</v>
      </c>
    </row>
    <row r="11357" spans="6:10" hidden="1">
      <c r="F11357" s="569">
        <v>435</v>
      </c>
      <c r="G11357" s="562" t="s">
        <v>3798</v>
      </c>
      <c r="J11357" s="635">
        <f t="shared" si="356"/>
        <v>0</v>
      </c>
    </row>
    <row r="11358" spans="6:10" hidden="1">
      <c r="F11358" s="569">
        <v>441</v>
      </c>
      <c r="G11358" s="562" t="s">
        <v>4191</v>
      </c>
      <c r="J11358" s="635">
        <f t="shared" si="356"/>
        <v>0</v>
      </c>
    </row>
    <row r="11359" spans="6:10" hidden="1">
      <c r="F11359" s="569">
        <v>442</v>
      </c>
      <c r="G11359" s="562" t="s">
        <v>4192</v>
      </c>
      <c r="J11359" s="635">
        <f t="shared" si="356"/>
        <v>0</v>
      </c>
    </row>
    <row r="11360" spans="6:10" hidden="1">
      <c r="F11360" s="569">
        <v>443</v>
      </c>
      <c r="G11360" s="562" t="s">
        <v>3803</v>
      </c>
      <c r="J11360" s="635">
        <f t="shared" si="356"/>
        <v>0</v>
      </c>
    </row>
    <row r="11361" spans="6:10" hidden="1">
      <c r="F11361" s="569">
        <v>444</v>
      </c>
      <c r="G11361" s="562" t="s">
        <v>3804</v>
      </c>
      <c r="J11361" s="635">
        <f t="shared" si="356"/>
        <v>0</v>
      </c>
    </row>
    <row r="11362" spans="6:10" ht="30" hidden="1">
      <c r="F11362" s="569">
        <v>4511</v>
      </c>
      <c r="G11362" s="268" t="s">
        <v>1690</v>
      </c>
      <c r="J11362" s="635">
        <f t="shared" si="356"/>
        <v>0</v>
      </c>
    </row>
    <row r="11363" spans="6:10" ht="30" hidden="1">
      <c r="F11363" s="569">
        <v>4512</v>
      </c>
      <c r="G11363" s="268" t="s">
        <v>1699</v>
      </c>
      <c r="J11363" s="635">
        <f t="shared" si="356"/>
        <v>0</v>
      </c>
    </row>
    <row r="11364" spans="6:10" hidden="1">
      <c r="F11364" s="569">
        <v>452</v>
      </c>
      <c r="G11364" s="562" t="s">
        <v>4193</v>
      </c>
      <c r="J11364" s="635">
        <f t="shared" si="356"/>
        <v>0</v>
      </c>
    </row>
    <row r="11365" spans="6:10" hidden="1">
      <c r="F11365" s="569">
        <v>453</v>
      </c>
      <c r="G11365" s="562" t="s">
        <v>4194</v>
      </c>
      <c r="J11365" s="635">
        <f t="shared" si="356"/>
        <v>0</v>
      </c>
    </row>
    <row r="11366" spans="6:10" hidden="1">
      <c r="F11366" s="569">
        <v>454</v>
      </c>
      <c r="G11366" s="562" t="s">
        <v>3809</v>
      </c>
      <c r="J11366" s="635">
        <f t="shared" si="356"/>
        <v>0</v>
      </c>
    </row>
    <row r="11367" spans="6:10" hidden="1">
      <c r="F11367" s="569">
        <v>461</v>
      </c>
      <c r="G11367" s="562" t="s">
        <v>4175</v>
      </c>
      <c r="J11367" s="635">
        <f t="shared" si="356"/>
        <v>0</v>
      </c>
    </row>
    <row r="11368" spans="6:10" hidden="1">
      <c r="F11368" s="569">
        <v>462</v>
      </c>
      <c r="G11368" s="562" t="s">
        <v>3812</v>
      </c>
      <c r="J11368" s="635">
        <f t="shared" si="356"/>
        <v>0</v>
      </c>
    </row>
    <row r="11369" spans="6:10" hidden="1">
      <c r="F11369" s="569">
        <v>4631</v>
      </c>
      <c r="G11369" s="562" t="s">
        <v>3813</v>
      </c>
      <c r="J11369" s="635">
        <f t="shared" si="356"/>
        <v>0</v>
      </c>
    </row>
    <row r="11370" spans="6:10" hidden="1">
      <c r="F11370" s="569">
        <v>4632</v>
      </c>
      <c r="G11370" s="562" t="s">
        <v>3814</v>
      </c>
      <c r="J11370" s="635">
        <f t="shared" si="356"/>
        <v>0</v>
      </c>
    </row>
    <row r="11371" spans="6:10" hidden="1">
      <c r="F11371" s="569">
        <v>464</v>
      </c>
      <c r="G11371" s="562" t="s">
        <v>3815</v>
      </c>
      <c r="J11371" s="635">
        <f t="shared" si="356"/>
        <v>0</v>
      </c>
    </row>
    <row r="11372" spans="6:10" hidden="1">
      <c r="F11372" s="569">
        <v>465</v>
      </c>
      <c r="G11372" s="562" t="s">
        <v>4176</v>
      </c>
      <c r="J11372" s="635">
        <f t="shared" si="356"/>
        <v>0</v>
      </c>
    </row>
    <row r="11373" spans="6:10" ht="15.75" hidden="1" thickBot="1">
      <c r="F11373" s="569">
        <v>472</v>
      </c>
      <c r="G11373" s="562" t="s">
        <v>3819</v>
      </c>
      <c r="J11373" s="635">
        <f t="shared" si="356"/>
        <v>0</v>
      </c>
    </row>
    <row r="11374" spans="6:10" ht="15.75" hidden="1" thickBot="1">
      <c r="F11374" s="569">
        <v>481</v>
      </c>
      <c r="G11374" s="562" t="s">
        <v>4195</v>
      </c>
      <c r="J11374" s="635">
        <f t="shared" si="356"/>
        <v>0</v>
      </c>
    </row>
    <row r="11375" spans="6:10" ht="15.75" hidden="1" thickBot="1">
      <c r="F11375" s="569">
        <v>482</v>
      </c>
      <c r="G11375" s="562" t="s">
        <v>4196</v>
      </c>
      <c r="J11375" s="635">
        <f t="shared" si="356"/>
        <v>0</v>
      </c>
    </row>
    <row r="11376" spans="6:10" ht="15.75" hidden="1" thickBot="1">
      <c r="F11376" s="569">
        <v>483</v>
      </c>
      <c r="G11376" s="566" t="s">
        <v>4197</v>
      </c>
      <c r="J11376" s="635">
        <f t="shared" si="356"/>
        <v>0</v>
      </c>
    </row>
    <row r="11377" spans="6:10" ht="30.75" hidden="1" thickBot="1">
      <c r="F11377" s="569">
        <v>484</v>
      </c>
      <c r="G11377" s="562" t="s">
        <v>4198</v>
      </c>
      <c r="J11377" s="635">
        <f t="shared" si="356"/>
        <v>0</v>
      </c>
    </row>
    <row r="11378" spans="6:10" ht="30.75" hidden="1" thickBot="1">
      <c r="F11378" s="569">
        <v>485</v>
      </c>
      <c r="G11378" s="562" t="s">
        <v>4199</v>
      </c>
      <c r="J11378" s="635">
        <f t="shared" si="356"/>
        <v>0</v>
      </c>
    </row>
    <row r="11379" spans="6:10" ht="30.75" hidden="1" thickBot="1">
      <c r="F11379" s="569">
        <v>489</v>
      </c>
      <c r="G11379" s="562" t="s">
        <v>3827</v>
      </c>
      <c r="J11379" s="635">
        <f t="shared" si="356"/>
        <v>0</v>
      </c>
    </row>
    <row r="11380" spans="6:10" ht="15.75" hidden="1" thickBot="1">
      <c r="F11380" s="569">
        <v>494</v>
      </c>
      <c r="G11380" s="562" t="s">
        <v>4177</v>
      </c>
      <c r="J11380" s="635">
        <f t="shared" si="356"/>
        <v>0</v>
      </c>
    </row>
    <row r="11381" spans="6:10" ht="30.75" hidden="1" thickBot="1">
      <c r="F11381" s="569">
        <v>495</v>
      </c>
      <c r="G11381" s="562" t="s">
        <v>4178</v>
      </c>
      <c r="J11381" s="635">
        <f t="shared" si="356"/>
        <v>0</v>
      </c>
    </row>
    <row r="11382" spans="6:10" ht="30.75" hidden="1" thickBot="1">
      <c r="F11382" s="569">
        <v>496</v>
      </c>
      <c r="G11382" s="562" t="s">
        <v>4179</v>
      </c>
      <c r="J11382" s="635">
        <f t="shared" si="356"/>
        <v>0</v>
      </c>
    </row>
    <row r="11383" spans="6:10" ht="15.75" hidden="1" thickBot="1">
      <c r="F11383" s="569">
        <v>499</v>
      </c>
      <c r="G11383" s="562" t="s">
        <v>4180</v>
      </c>
      <c r="J11383" s="635">
        <f t="shared" si="356"/>
        <v>0</v>
      </c>
    </row>
    <row r="11384" spans="6:10" ht="15.75" hidden="1" thickBot="1">
      <c r="F11384" s="569">
        <v>511</v>
      </c>
      <c r="G11384" s="566" t="s">
        <v>4200</v>
      </c>
      <c r="J11384" s="635">
        <f t="shared" si="356"/>
        <v>0</v>
      </c>
    </row>
    <row r="11385" spans="6:10" ht="15.75" hidden="1" thickBot="1">
      <c r="F11385" s="569">
        <v>512</v>
      </c>
      <c r="G11385" s="566" t="s">
        <v>4201</v>
      </c>
      <c r="J11385" s="635">
        <f t="shared" si="356"/>
        <v>0</v>
      </c>
    </row>
    <row r="11386" spans="6:10" ht="15.75" hidden="1" thickBot="1">
      <c r="F11386" s="569">
        <v>513</v>
      </c>
      <c r="G11386" s="566" t="s">
        <v>4202</v>
      </c>
      <c r="J11386" s="635">
        <f t="shared" si="356"/>
        <v>0</v>
      </c>
    </row>
    <row r="11387" spans="6:10" ht="15.75" hidden="1" thickBot="1">
      <c r="F11387" s="569">
        <v>514</v>
      </c>
      <c r="G11387" s="562" t="s">
        <v>4203</v>
      </c>
      <c r="J11387" s="635">
        <f t="shared" si="356"/>
        <v>0</v>
      </c>
    </row>
    <row r="11388" spans="6:10" ht="15.75" hidden="1" thickBot="1">
      <c r="F11388" s="569">
        <v>515</v>
      </c>
      <c r="G11388" s="562" t="s">
        <v>3838</v>
      </c>
      <c r="J11388" s="635">
        <f t="shared" si="356"/>
        <v>0</v>
      </c>
    </row>
    <row r="11389" spans="6:10" ht="15.75" hidden="1" thickBot="1">
      <c r="F11389" s="569">
        <v>521</v>
      </c>
      <c r="G11389" s="562" t="s">
        <v>4204</v>
      </c>
      <c r="J11389" s="635">
        <f t="shared" si="356"/>
        <v>0</v>
      </c>
    </row>
    <row r="11390" spans="6:10" ht="15.75" hidden="1" thickBot="1">
      <c r="F11390" s="569">
        <v>522</v>
      </c>
      <c r="G11390" s="562" t="s">
        <v>4205</v>
      </c>
      <c r="J11390" s="635">
        <f t="shared" si="356"/>
        <v>0</v>
      </c>
    </row>
    <row r="11391" spans="6:10" ht="15.75" hidden="1" thickBot="1">
      <c r="F11391" s="569">
        <v>523</v>
      </c>
      <c r="G11391" s="562" t="s">
        <v>3843</v>
      </c>
      <c r="J11391" s="635">
        <f t="shared" si="356"/>
        <v>0</v>
      </c>
    </row>
    <row r="11392" spans="6:10" ht="15.75" hidden="1" thickBot="1">
      <c r="F11392" s="569">
        <v>531</v>
      </c>
      <c r="G11392" s="558" t="s">
        <v>4181</v>
      </c>
      <c r="J11392" s="635">
        <f t="shared" si="356"/>
        <v>0</v>
      </c>
    </row>
    <row r="11393" spans="5:10" ht="15.75" hidden="1" thickBot="1">
      <c r="F11393" s="569">
        <v>541</v>
      </c>
      <c r="G11393" s="562" t="s">
        <v>4206</v>
      </c>
      <c r="J11393" s="635">
        <f t="shared" si="356"/>
        <v>0</v>
      </c>
    </row>
    <row r="11394" spans="5:10" ht="15.75" hidden="1" thickBot="1">
      <c r="F11394" s="569">
        <v>542</v>
      </c>
      <c r="G11394" s="562" t="s">
        <v>4207</v>
      </c>
      <c r="J11394" s="635">
        <f t="shared" si="356"/>
        <v>0</v>
      </c>
    </row>
    <row r="11395" spans="5:10" ht="15.75" hidden="1" thickBot="1">
      <c r="F11395" s="569">
        <v>543</v>
      </c>
      <c r="G11395" s="562" t="s">
        <v>3848</v>
      </c>
      <c r="J11395" s="635">
        <f t="shared" si="356"/>
        <v>0</v>
      </c>
    </row>
    <row r="11396" spans="5:10" ht="30.75" hidden="1" thickBot="1">
      <c r="F11396" s="569">
        <v>551</v>
      </c>
      <c r="G11396" s="562" t="s">
        <v>4182</v>
      </c>
      <c r="J11396" s="635">
        <f t="shared" si="356"/>
        <v>0</v>
      </c>
    </row>
    <row r="11397" spans="5:10" ht="15.75" hidden="1" thickBot="1">
      <c r="F11397" s="570">
        <v>611</v>
      </c>
      <c r="G11397" s="568" t="s">
        <v>3854</v>
      </c>
      <c r="J11397" s="635">
        <f t="shared" si="356"/>
        <v>0</v>
      </c>
    </row>
    <row r="11398" spans="5:10" ht="15.75" hidden="1" thickBot="1">
      <c r="F11398" s="570">
        <v>620</v>
      </c>
      <c r="G11398" s="568" t="s">
        <v>88</v>
      </c>
      <c r="J11398" s="635">
        <f t="shared" si="356"/>
        <v>0</v>
      </c>
    </row>
    <row r="11399" spans="5:10" hidden="1">
      <c r="E11399" s="559"/>
      <c r="F11399" s="570"/>
      <c r="G11399" s="371" t="s">
        <v>4439</v>
      </c>
      <c r="H11399" s="636"/>
      <c r="I11399" s="662"/>
      <c r="J11399" s="637"/>
    </row>
    <row r="11400" spans="5:10" hidden="1">
      <c r="E11400" s="267"/>
      <c r="F11400" s="682" t="s">
        <v>234</v>
      </c>
      <c r="G11400" s="683" t="s">
        <v>235</v>
      </c>
      <c r="H11400" s="638">
        <f>SUM(H11339:H11398)</f>
        <v>0</v>
      </c>
      <c r="I11400" s="639"/>
      <c r="J11400" s="639">
        <f>SUM(H11400:I11400)</f>
        <v>0</v>
      </c>
    </row>
    <row r="11401" spans="5:10" hidden="1">
      <c r="F11401" s="682" t="s">
        <v>236</v>
      </c>
      <c r="G11401" s="683" t="s">
        <v>237</v>
      </c>
      <c r="J11401" s="639">
        <f t="shared" ref="J11401:J11415" si="357">SUM(H11401:I11401)</f>
        <v>0</v>
      </c>
    </row>
    <row r="11402" spans="5:10" hidden="1">
      <c r="F11402" s="682" t="s">
        <v>238</v>
      </c>
      <c r="G11402" s="683" t="s">
        <v>239</v>
      </c>
      <c r="J11402" s="639">
        <f t="shared" si="357"/>
        <v>0</v>
      </c>
    </row>
    <row r="11403" spans="5:10" ht="15.75" hidden="1" thickBot="1">
      <c r="F11403" s="682" t="s">
        <v>240</v>
      </c>
      <c r="G11403" s="683" t="s">
        <v>241</v>
      </c>
      <c r="J11403" s="639">
        <f t="shared" si="357"/>
        <v>0</v>
      </c>
    </row>
    <row r="11404" spans="5:10" ht="15.75" hidden="1" thickBot="1">
      <c r="F11404" s="682" t="s">
        <v>242</v>
      </c>
      <c r="G11404" s="683" t="s">
        <v>243</v>
      </c>
      <c r="J11404" s="639">
        <f t="shared" si="357"/>
        <v>0</v>
      </c>
    </row>
    <row r="11405" spans="5:10" ht="15.75" hidden="1" thickBot="1">
      <c r="F11405" s="682" t="s">
        <v>244</v>
      </c>
      <c r="G11405" s="683" t="s">
        <v>245</v>
      </c>
      <c r="J11405" s="639">
        <f t="shared" si="357"/>
        <v>0</v>
      </c>
    </row>
    <row r="11406" spans="5:10" ht="15.75" hidden="1" thickBot="1">
      <c r="F11406" s="682" t="s">
        <v>246</v>
      </c>
      <c r="G11406" s="683" t="s">
        <v>5121</v>
      </c>
      <c r="J11406" s="639">
        <f t="shared" si="357"/>
        <v>0</v>
      </c>
    </row>
    <row r="11407" spans="5:10" ht="15.75" hidden="1" thickBot="1">
      <c r="F11407" s="682" t="s">
        <v>247</v>
      </c>
      <c r="G11407" s="683" t="s">
        <v>5120</v>
      </c>
      <c r="J11407" s="639">
        <f t="shared" si="357"/>
        <v>0</v>
      </c>
    </row>
    <row r="11408" spans="5:10" ht="15.75" hidden="1" thickBot="1">
      <c r="F11408" s="682" t="s">
        <v>248</v>
      </c>
      <c r="G11408" s="683" t="s">
        <v>57</v>
      </c>
      <c r="J11408" s="639">
        <f t="shared" si="357"/>
        <v>0</v>
      </c>
    </row>
    <row r="11409" spans="5:10" ht="15.75" hidden="1" thickBot="1">
      <c r="F11409" s="682" t="s">
        <v>249</v>
      </c>
      <c r="G11409" s="683" t="s">
        <v>250</v>
      </c>
      <c r="J11409" s="639">
        <f t="shared" si="357"/>
        <v>0</v>
      </c>
    </row>
    <row r="11410" spans="5:10" ht="15.75" hidden="1" thickBot="1">
      <c r="F11410" s="682" t="s">
        <v>251</v>
      </c>
      <c r="G11410" s="683" t="s">
        <v>252</v>
      </c>
      <c r="J11410" s="639">
        <f t="shared" si="357"/>
        <v>0</v>
      </c>
    </row>
    <row r="11411" spans="5:10" ht="15.75" hidden="1" thickBot="1">
      <c r="F11411" s="682" t="s">
        <v>253</v>
      </c>
      <c r="G11411" s="683" t="s">
        <v>254</v>
      </c>
      <c r="J11411" s="639">
        <f t="shared" si="357"/>
        <v>0</v>
      </c>
    </row>
    <row r="11412" spans="5:10" ht="15.75" hidden="1" thickBot="1">
      <c r="F11412" s="682" t="s">
        <v>255</v>
      </c>
      <c r="G11412" s="683" t="s">
        <v>256</v>
      </c>
      <c r="J11412" s="639">
        <f t="shared" si="357"/>
        <v>0</v>
      </c>
    </row>
    <row r="11413" spans="5:10" ht="15.75" hidden="1" thickBot="1">
      <c r="F11413" s="682" t="s">
        <v>257</v>
      </c>
      <c r="G11413" s="683" t="s">
        <v>258</v>
      </c>
      <c r="J11413" s="639">
        <f t="shared" si="357"/>
        <v>0</v>
      </c>
    </row>
    <row r="11414" spans="5:10" ht="15.75" hidden="1" thickBot="1">
      <c r="F11414" s="682" t="s">
        <v>259</v>
      </c>
      <c r="G11414" s="683" t="s">
        <v>260</v>
      </c>
      <c r="J11414" s="639">
        <f t="shared" si="357"/>
        <v>0</v>
      </c>
    </row>
    <row r="11415" spans="5:10" ht="15.75" hidden="1" thickBot="1">
      <c r="F11415" s="682" t="s">
        <v>261</v>
      </c>
      <c r="G11415" s="683" t="s">
        <v>262</v>
      </c>
      <c r="H11415" s="638"/>
      <c r="I11415" s="639"/>
      <c r="J11415" s="639">
        <f t="shared" si="357"/>
        <v>0</v>
      </c>
    </row>
    <row r="11416" spans="5:10" ht="15.75" hidden="1" thickBot="1">
      <c r="G11416" s="274" t="s">
        <v>4440</v>
      </c>
      <c r="H11416" s="640">
        <f>SUM(H11400:H11415)</f>
        <v>0</v>
      </c>
      <c r="I11416" s="641">
        <f>SUM(I11401:I11415)</f>
        <v>0</v>
      </c>
      <c r="J11416" s="641">
        <f>SUM(J11400:J11415)</f>
        <v>0</v>
      </c>
    </row>
    <row r="11417" spans="5:10" hidden="1" collapsed="1">
      <c r="E11417" s="559"/>
      <c r="F11417" s="570"/>
      <c r="G11417" s="276" t="s">
        <v>5109</v>
      </c>
      <c r="H11417" s="642"/>
      <c r="I11417" s="663"/>
      <c r="J11417" s="643"/>
    </row>
    <row r="11418" spans="5:10" hidden="1">
      <c r="E11418" s="267"/>
      <c r="F11418" s="682" t="s">
        <v>234</v>
      </c>
      <c r="G11418" s="683" t="s">
        <v>235</v>
      </c>
      <c r="H11418" s="638">
        <f>SUM(H11339:H11398)</f>
        <v>0</v>
      </c>
      <c r="I11418" s="639"/>
      <c r="J11418" s="639">
        <f>SUM(H11418:I11418)</f>
        <v>0</v>
      </c>
    </row>
    <row r="11419" spans="5:10" hidden="1">
      <c r="F11419" s="682" t="s">
        <v>236</v>
      </c>
      <c r="G11419" s="683" t="s">
        <v>237</v>
      </c>
      <c r="J11419" s="639">
        <f t="shared" ref="J11419:J11433" si="358">SUM(H11419:I11419)</f>
        <v>0</v>
      </c>
    </row>
    <row r="11420" spans="5:10" hidden="1">
      <c r="F11420" s="682" t="s">
        <v>238</v>
      </c>
      <c r="G11420" s="683" t="s">
        <v>239</v>
      </c>
      <c r="J11420" s="639">
        <f t="shared" si="358"/>
        <v>0</v>
      </c>
    </row>
    <row r="11421" spans="5:10" ht="15.75" hidden="1" thickBot="1">
      <c r="F11421" s="682" t="s">
        <v>240</v>
      </c>
      <c r="G11421" s="683" t="s">
        <v>241</v>
      </c>
      <c r="J11421" s="639">
        <f t="shared" si="358"/>
        <v>0</v>
      </c>
    </row>
    <row r="11422" spans="5:10" ht="15.75" hidden="1" thickBot="1">
      <c r="F11422" s="682" t="s">
        <v>242</v>
      </c>
      <c r="G11422" s="683" t="s">
        <v>243</v>
      </c>
      <c r="J11422" s="639">
        <f t="shared" si="358"/>
        <v>0</v>
      </c>
    </row>
    <row r="11423" spans="5:10" ht="15.75" hidden="1" thickBot="1">
      <c r="F11423" s="682" t="s">
        <v>244</v>
      </c>
      <c r="G11423" s="683" t="s">
        <v>245</v>
      </c>
      <c r="J11423" s="639">
        <f t="shared" si="358"/>
        <v>0</v>
      </c>
    </row>
    <row r="11424" spans="5:10" ht="15.75" hidden="1" thickBot="1">
      <c r="F11424" s="682" t="s">
        <v>246</v>
      </c>
      <c r="G11424" s="683" t="s">
        <v>5121</v>
      </c>
      <c r="J11424" s="639">
        <f t="shared" si="358"/>
        <v>0</v>
      </c>
    </row>
    <row r="11425" spans="3:10" ht="15.75" hidden="1" thickBot="1">
      <c r="F11425" s="682" t="s">
        <v>247</v>
      </c>
      <c r="G11425" s="683" t="s">
        <v>5120</v>
      </c>
      <c r="J11425" s="639">
        <f t="shared" si="358"/>
        <v>0</v>
      </c>
    </row>
    <row r="11426" spans="3:10" ht="15.75" hidden="1" thickBot="1">
      <c r="F11426" s="682" t="s">
        <v>248</v>
      </c>
      <c r="G11426" s="683" t="s">
        <v>57</v>
      </c>
      <c r="J11426" s="639">
        <f t="shared" si="358"/>
        <v>0</v>
      </c>
    </row>
    <row r="11427" spans="3:10" ht="15.75" hidden="1" thickBot="1">
      <c r="F11427" s="682" t="s">
        <v>249</v>
      </c>
      <c r="G11427" s="683" t="s">
        <v>250</v>
      </c>
      <c r="J11427" s="639">
        <f t="shared" si="358"/>
        <v>0</v>
      </c>
    </row>
    <row r="11428" spans="3:10" ht="15.75" hidden="1" thickBot="1">
      <c r="F11428" s="682" t="s">
        <v>251</v>
      </c>
      <c r="G11428" s="683" t="s">
        <v>252</v>
      </c>
      <c r="J11428" s="639">
        <f t="shared" si="358"/>
        <v>0</v>
      </c>
    </row>
    <row r="11429" spans="3:10" ht="15.75" hidden="1" thickBot="1">
      <c r="F11429" s="682" t="s">
        <v>253</v>
      </c>
      <c r="G11429" s="683" t="s">
        <v>254</v>
      </c>
      <c r="J11429" s="639">
        <f t="shared" si="358"/>
        <v>0</v>
      </c>
    </row>
    <row r="11430" spans="3:10" ht="15.75" hidden="1" thickBot="1">
      <c r="F11430" s="682" t="s">
        <v>255</v>
      </c>
      <c r="G11430" s="683" t="s">
        <v>256</v>
      </c>
      <c r="J11430" s="639">
        <f t="shared" si="358"/>
        <v>0</v>
      </c>
    </row>
    <row r="11431" spans="3:10" ht="15.75" hidden="1" thickBot="1">
      <c r="F11431" s="682" t="s">
        <v>257</v>
      </c>
      <c r="G11431" s="683" t="s">
        <v>258</v>
      </c>
      <c r="J11431" s="639">
        <f t="shared" si="358"/>
        <v>0</v>
      </c>
    </row>
    <row r="11432" spans="3:10" ht="15.75" hidden="1" thickBot="1">
      <c r="F11432" s="682" t="s">
        <v>259</v>
      </c>
      <c r="G11432" s="683" t="s">
        <v>260</v>
      </c>
      <c r="J11432" s="639">
        <f t="shared" si="358"/>
        <v>0</v>
      </c>
    </row>
    <row r="11433" spans="3:10" ht="15.75" hidden="1" thickBot="1">
      <c r="F11433" s="682" t="s">
        <v>261</v>
      </c>
      <c r="G11433" s="683" t="s">
        <v>262</v>
      </c>
      <c r="H11433" s="638"/>
      <c r="I11433" s="639"/>
      <c r="J11433" s="639">
        <f t="shared" si="358"/>
        <v>0</v>
      </c>
    </row>
    <row r="11434" spans="3:10" ht="15.75" hidden="1" thickBot="1">
      <c r="G11434" s="274" t="s">
        <v>5110</v>
      </c>
      <c r="H11434" s="640">
        <f>SUM(H11418:H11433)</f>
        <v>0</v>
      </c>
      <c r="I11434" s="641">
        <f>SUM(I11419:I11433)</f>
        <v>0</v>
      </c>
      <c r="J11434" s="641">
        <f>SUM(J11418:J11433)</f>
        <v>0</v>
      </c>
    </row>
    <row r="11435" spans="3:10" hidden="1">
      <c r="G11435" s="331"/>
      <c r="H11435" s="644"/>
      <c r="I11435" s="645"/>
      <c r="J11435" s="645"/>
    </row>
    <row r="11436" spans="3:10" hidden="1">
      <c r="C11436" s="273" t="s">
        <v>4849</v>
      </c>
      <c r="D11436" s="264"/>
      <c r="G11436" s="563" t="s">
        <v>4240</v>
      </c>
    </row>
    <row r="11437" spans="3:10" hidden="1">
      <c r="C11437" s="273"/>
      <c r="D11437" s="357">
        <v>820</v>
      </c>
      <c r="E11437" s="357"/>
      <c r="F11437" s="357"/>
      <c r="G11437" s="358" t="s">
        <v>207</v>
      </c>
    </row>
    <row r="11438" spans="3:10" hidden="1">
      <c r="F11438" s="569">
        <v>411</v>
      </c>
      <c r="G11438" s="562" t="s">
        <v>4173</v>
      </c>
      <c r="J11438" s="635">
        <f>SUM(H11438:I11438)</f>
        <v>0</v>
      </c>
    </row>
    <row r="11439" spans="3:10" hidden="1">
      <c r="F11439" s="569">
        <v>412</v>
      </c>
      <c r="G11439" s="558" t="s">
        <v>3770</v>
      </c>
      <c r="J11439" s="635">
        <f t="shared" ref="J11439:J11497" si="359">SUM(H11439:I11439)</f>
        <v>0</v>
      </c>
    </row>
    <row r="11440" spans="3:10" hidden="1">
      <c r="F11440" s="569">
        <v>413</v>
      </c>
      <c r="G11440" s="562" t="s">
        <v>4174</v>
      </c>
      <c r="J11440" s="635">
        <f t="shared" si="359"/>
        <v>0</v>
      </c>
    </row>
    <row r="11441" spans="6:10" hidden="1">
      <c r="F11441" s="569">
        <v>414</v>
      </c>
      <c r="G11441" s="562" t="s">
        <v>3773</v>
      </c>
      <c r="J11441" s="635">
        <f t="shared" si="359"/>
        <v>0</v>
      </c>
    </row>
    <row r="11442" spans="6:10" hidden="1">
      <c r="F11442" s="569">
        <v>415</v>
      </c>
      <c r="G11442" s="562" t="s">
        <v>4183</v>
      </c>
      <c r="J11442" s="635">
        <f t="shared" si="359"/>
        <v>0</v>
      </c>
    </row>
    <row r="11443" spans="6:10" hidden="1">
      <c r="F11443" s="569">
        <v>416</v>
      </c>
      <c r="G11443" s="562" t="s">
        <v>4184</v>
      </c>
      <c r="J11443" s="635">
        <f t="shared" si="359"/>
        <v>0</v>
      </c>
    </row>
    <row r="11444" spans="6:10" hidden="1">
      <c r="F11444" s="569">
        <v>417</v>
      </c>
      <c r="G11444" s="562" t="s">
        <v>4185</v>
      </c>
      <c r="J11444" s="635">
        <f t="shared" si="359"/>
        <v>0</v>
      </c>
    </row>
    <row r="11445" spans="6:10" hidden="1">
      <c r="F11445" s="569">
        <v>418</v>
      </c>
      <c r="G11445" s="562" t="s">
        <v>3779</v>
      </c>
      <c r="J11445" s="635">
        <f t="shared" si="359"/>
        <v>0</v>
      </c>
    </row>
    <row r="11446" spans="6:10" hidden="1">
      <c r="F11446" s="569">
        <v>421</v>
      </c>
      <c r="G11446" s="562" t="s">
        <v>3783</v>
      </c>
      <c r="J11446" s="635">
        <f t="shared" si="359"/>
        <v>0</v>
      </c>
    </row>
    <row r="11447" spans="6:10" hidden="1">
      <c r="F11447" s="569">
        <v>422</v>
      </c>
      <c r="G11447" s="562" t="s">
        <v>3784</v>
      </c>
      <c r="J11447" s="635">
        <f t="shared" si="359"/>
        <v>0</v>
      </c>
    </row>
    <row r="11448" spans="6:10" hidden="1">
      <c r="F11448" s="569">
        <v>423</v>
      </c>
      <c r="G11448" s="562" t="s">
        <v>3785</v>
      </c>
      <c r="J11448" s="635">
        <f t="shared" si="359"/>
        <v>0</v>
      </c>
    </row>
    <row r="11449" spans="6:10" hidden="1">
      <c r="F11449" s="569">
        <v>424</v>
      </c>
      <c r="G11449" s="562" t="s">
        <v>3787</v>
      </c>
      <c r="J11449" s="635">
        <f t="shared" si="359"/>
        <v>0</v>
      </c>
    </row>
    <row r="11450" spans="6:10" hidden="1">
      <c r="F11450" s="569">
        <v>425</v>
      </c>
      <c r="G11450" s="562" t="s">
        <v>4186</v>
      </c>
      <c r="J11450" s="635">
        <f t="shared" si="359"/>
        <v>0</v>
      </c>
    </row>
    <row r="11451" spans="6:10" hidden="1">
      <c r="F11451" s="569">
        <v>426</v>
      </c>
      <c r="G11451" s="562" t="s">
        <v>3791</v>
      </c>
      <c r="J11451" s="635">
        <f t="shared" si="359"/>
        <v>0</v>
      </c>
    </row>
    <row r="11452" spans="6:10" hidden="1">
      <c r="F11452" s="569">
        <v>431</v>
      </c>
      <c r="G11452" s="562" t="s">
        <v>4187</v>
      </c>
      <c r="J11452" s="635">
        <f t="shared" si="359"/>
        <v>0</v>
      </c>
    </row>
    <row r="11453" spans="6:10" hidden="1">
      <c r="F11453" s="569">
        <v>432</v>
      </c>
      <c r="G11453" s="562" t="s">
        <v>4188</v>
      </c>
      <c r="J11453" s="635">
        <f t="shared" si="359"/>
        <v>0</v>
      </c>
    </row>
    <row r="11454" spans="6:10" hidden="1">
      <c r="F11454" s="569">
        <v>433</v>
      </c>
      <c r="G11454" s="562" t="s">
        <v>4189</v>
      </c>
      <c r="J11454" s="635">
        <f t="shared" si="359"/>
        <v>0</v>
      </c>
    </row>
    <row r="11455" spans="6:10" hidden="1">
      <c r="F11455" s="569">
        <v>434</v>
      </c>
      <c r="G11455" s="562" t="s">
        <v>4190</v>
      </c>
      <c r="J11455" s="635">
        <f t="shared" si="359"/>
        <v>0</v>
      </c>
    </row>
    <row r="11456" spans="6:10" hidden="1">
      <c r="F11456" s="569">
        <v>435</v>
      </c>
      <c r="G11456" s="562" t="s">
        <v>3798</v>
      </c>
      <c r="J11456" s="635">
        <f t="shared" si="359"/>
        <v>0</v>
      </c>
    </row>
    <row r="11457" spans="6:10" hidden="1">
      <c r="F11457" s="569">
        <v>441</v>
      </c>
      <c r="G11457" s="562" t="s">
        <v>4191</v>
      </c>
      <c r="J11457" s="635">
        <f t="shared" si="359"/>
        <v>0</v>
      </c>
    </row>
    <row r="11458" spans="6:10" hidden="1">
      <c r="F11458" s="569">
        <v>442</v>
      </c>
      <c r="G11458" s="562" t="s">
        <v>4192</v>
      </c>
      <c r="J11458" s="635">
        <f t="shared" si="359"/>
        <v>0</v>
      </c>
    </row>
    <row r="11459" spans="6:10" hidden="1">
      <c r="F11459" s="569">
        <v>443</v>
      </c>
      <c r="G11459" s="562" t="s">
        <v>3803</v>
      </c>
      <c r="J11459" s="635">
        <f t="shared" si="359"/>
        <v>0</v>
      </c>
    </row>
    <row r="11460" spans="6:10" hidden="1">
      <c r="F11460" s="569">
        <v>444</v>
      </c>
      <c r="G11460" s="562" t="s">
        <v>3804</v>
      </c>
      <c r="J11460" s="635">
        <f t="shared" si="359"/>
        <v>0</v>
      </c>
    </row>
    <row r="11461" spans="6:10" ht="30" hidden="1">
      <c r="F11461" s="569">
        <v>4511</v>
      </c>
      <c r="G11461" s="268" t="s">
        <v>1690</v>
      </c>
      <c r="J11461" s="635">
        <f t="shared" si="359"/>
        <v>0</v>
      </c>
    </row>
    <row r="11462" spans="6:10" ht="30" hidden="1">
      <c r="F11462" s="569">
        <v>4512</v>
      </c>
      <c r="G11462" s="268" t="s">
        <v>1699</v>
      </c>
      <c r="J11462" s="635">
        <f t="shared" si="359"/>
        <v>0</v>
      </c>
    </row>
    <row r="11463" spans="6:10" hidden="1">
      <c r="F11463" s="569">
        <v>452</v>
      </c>
      <c r="G11463" s="562" t="s">
        <v>4193</v>
      </c>
      <c r="J11463" s="635">
        <f t="shared" si="359"/>
        <v>0</v>
      </c>
    </row>
    <row r="11464" spans="6:10" hidden="1">
      <c r="F11464" s="569">
        <v>453</v>
      </c>
      <c r="G11464" s="562" t="s">
        <v>4194</v>
      </c>
      <c r="J11464" s="635">
        <f t="shared" si="359"/>
        <v>0</v>
      </c>
    </row>
    <row r="11465" spans="6:10" hidden="1">
      <c r="F11465" s="569">
        <v>454</v>
      </c>
      <c r="G11465" s="562" t="s">
        <v>3809</v>
      </c>
      <c r="J11465" s="635">
        <f t="shared" si="359"/>
        <v>0</v>
      </c>
    </row>
    <row r="11466" spans="6:10" hidden="1">
      <c r="F11466" s="569">
        <v>461</v>
      </c>
      <c r="G11466" s="562" t="s">
        <v>4175</v>
      </c>
      <c r="J11466" s="635">
        <f t="shared" si="359"/>
        <v>0</v>
      </c>
    </row>
    <row r="11467" spans="6:10" hidden="1">
      <c r="F11467" s="569">
        <v>462</v>
      </c>
      <c r="G11467" s="562" t="s">
        <v>3812</v>
      </c>
      <c r="J11467" s="635">
        <f t="shared" si="359"/>
        <v>0</v>
      </c>
    </row>
    <row r="11468" spans="6:10" hidden="1">
      <c r="F11468" s="569">
        <v>4631</v>
      </c>
      <c r="G11468" s="562" t="s">
        <v>3813</v>
      </c>
      <c r="J11468" s="635">
        <f t="shared" si="359"/>
        <v>0</v>
      </c>
    </row>
    <row r="11469" spans="6:10" hidden="1">
      <c r="F11469" s="569">
        <v>4632</v>
      </c>
      <c r="G11469" s="562" t="s">
        <v>3814</v>
      </c>
      <c r="J11469" s="635">
        <f t="shared" si="359"/>
        <v>0</v>
      </c>
    </row>
    <row r="11470" spans="6:10" hidden="1">
      <c r="F11470" s="569">
        <v>464</v>
      </c>
      <c r="G11470" s="562" t="s">
        <v>3815</v>
      </c>
      <c r="J11470" s="635">
        <f t="shared" si="359"/>
        <v>0</v>
      </c>
    </row>
    <row r="11471" spans="6:10" hidden="1">
      <c r="F11471" s="569">
        <v>465</v>
      </c>
      <c r="G11471" s="562" t="s">
        <v>4176</v>
      </c>
      <c r="J11471" s="635">
        <f t="shared" si="359"/>
        <v>0</v>
      </c>
    </row>
    <row r="11472" spans="6:10" ht="15.75" hidden="1" thickBot="1">
      <c r="F11472" s="569">
        <v>472</v>
      </c>
      <c r="G11472" s="562" t="s">
        <v>3819</v>
      </c>
      <c r="J11472" s="635">
        <f t="shared" si="359"/>
        <v>0</v>
      </c>
    </row>
    <row r="11473" spans="6:10" ht="15.75" hidden="1" thickBot="1">
      <c r="F11473" s="569">
        <v>481</v>
      </c>
      <c r="G11473" s="562" t="s">
        <v>4195</v>
      </c>
      <c r="J11473" s="635">
        <f t="shared" si="359"/>
        <v>0</v>
      </c>
    </row>
    <row r="11474" spans="6:10" ht="15.75" hidden="1" thickBot="1">
      <c r="F11474" s="569">
        <v>482</v>
      </c>
      <c r="G11474" s="562" t="s">
        <v>4196</v>
      </c>
      <c r="J11474" s="635">
        <f t="shared" si="359"/>
        <v>0</v>
      </c>
    </row>
    <row r="11475" spans="6:10" ht="15.75" hidden="1" thickBot="1">
      <c r="F11475" s="569">
        <v>483</v>
      </c>
      <c r="G11475" s="566" t="s">
        <v>4197</v>
      </c>
      <c r="J11475" s="635">
        <f t="shared" si="359"/>
        <v>0</v>
      </c>
    </row>
    <row r="11476" spans="6:10" ht="30.75" hidden="1" thickBot="1">
      <c r="F11476" s="569">
        <v>484</v>
      </c>
      <c r="G11476" s="562" t="s">
        <v>4198</v>
      </c>
      <c r="J11476" s="635">
        <f t="shared" si="359"/>
        <v>0</v>
      </c>
    </row>
    <row r="11477" spans="6:10" ht="30.75" hidden="1" thickBot="1">
      <c r="F11477" s="569">
        <v>485</v>
      </c>
      <c r="G11477" s="562" t="s">
        <v>4199</v>
      </c>
      <c r="J11477" s="635">
        <f t="shared" si="359"/>
        <v>0</v>
      </c>
    </row>
    <row r="11478" spans="6:10" ht="30.75" hidden="1" thickBot="1">
      <c r="F11478" s="569">
        <v>489</v>
      </c>
      <c r="G11478" s="562" t="s">
        <v>3827</v>
      </c>
      <c r="J11478" s="635">
        <f t="shared" si="359"/>
        <v>0</v>
      </c>
    </row>
    <row r="11479" spans="6:10" ht="15.75" hidden="1" thickBot="1">
      <c r="F11479" s="569">
        <v>494</v>
      </c>
      <c r="G11479" s="562" t="s">
        <v>4177</v>
      </c>
      <c r="J11479" s="635">
        <f t="shared" si="359"/>
        <v>0</v>
      </c>
    </row>
    <row r="11480" spans="6:10" ht="30.75" hidden="1" thickBot="1">
      <c r="F11480" s="569">
        <v>495</v>
      </c>
      <c r="G11480" s="562" t="s">
        <v>4178</v>
      </c>
      <c r="J11480" s="635">
        <f t="shared" si="359"/>
        <v>0</v>
      </c>
    </row>
    <row r="11481" spans="6:10" ht="30.75" hidden="1" thickBot="1">
      <c r="F11481" s="569">
        <v>496</v>
      </c>
      <c r="G11481" s="562" t="s">
        <v>4179</v>
      </c>
      <c r="J11481" s="635">
        <f t="shared" si="359"/>
        <v>0</v>
      </c>
    </row>
    <row r="11482" spans="6:10" ht="15.75" hidden="1" thickBot="1">
      <c r="F11482" s="569">
        <v>499</v>
      </c>
      <c r="G11482" s="562" t="s">
        <v>4180</v>
      </c>
      <c r="J11482" s="635">
        <f t="shared" si="359"/>
        <v>0</v>
      </c>
    </row>
    <row r="11483" spans="6:10" ht="15.75" hidden="1" thickBot="1">
      <c r="F11483" s="569">
        <v>511</v>
      </c>
      <c r="G11483" s="566" t="s">
        <v>4200</v>
      </c>
      <c r="J11483" s="635">
        <f t="shared" si="359"/>
        <v>0</v>
      </c>
    </row>
    <row r="11484" spans="6:10" ht="15.75" hidden="1" thickBot="1">
      <c r="F11484" s="569">
        <v>512</v>
      </c>
      <c r="G11484" s="566" t="s">
        <v>4201</v>
      </c>
      <c r="J11484" s="635">
        <f t="shared" si="359"/>
        <v>0</v>
      </c>
    </row>
    <row r="11485" spans="6:10" ht="15.75" hidden="1" thickBot="1">
      <c r="F11485" s="569">
        <v>513</v>
      </c>
      <c r="G11485" s="566" t="s">
        <v>4202</v>
      </c>
      <c r="J11485" s="635">
        <f t="shared" si="359"/>
        <v>0</v>
      </c>
    </row>
    <row r="11486" spans="6:10" ht="15.75" hidden="1" thickBot="1">
      <c r="F11486" s="569">
        <v>514</v>
      </c>
      <c r="G11486" s="562" t="s">
        <v>4203</v>
      </c>
      <c r="J11486" s="635">
        <f t="shared" si="359"/>
        <v>0</v>
      </c>
    </row>
    <row r="11487" spans="6:10" ht="15.75" hidden="1" thickBot="1">
      <c r="F11487" s="569">
        <v>515</v>
      </c>
      <c r="G11487" s="562" t="s">
        <v>3838</v>
      </c>
      <c r="J11487" s="635">
        <f t="shared" si="359"/>
        <v>0</v>
      </c>
    </row>
    <row r="11488" spans="6:10" ht="15.75" hidden="1" thickBot="1">
      <c r="F11488" s="569">
        <v>521</v>
      </c>
      <c r="G11488" s="562" t="s">
        <v>4204</v>
      </c>
      <c r="J11488" s="635">
        <f t="shared" si="359"/>
        <v>0</v>
      </c>
    </row>
    <row r="11489" spans="5:10" ht="15.75" hidden="1" thickBot="1">
      <c r="F11489" s="569">
        <v>522</v>
      </c>
      <c r="G11489" s="562" t="s">
        <v>4205</v>
      </c>
      <c r="J11489" s="635">
        <f t="shared" si="359"/>
        <v>0</v>
      </c>
    </row>
    <row r="11490" spans="5:10" ht="15.75" hidden="1" thickBot="1">
      <c r="F11490" s="569">
        <v>523</v>
      </c>
      <c r="G11490" s="562" t="s">
        <v>3843</v>
      </c>
      <c r="J11490" s="635">
        <f t="shared" si="359"/>
        <v>0</v>
      </c>
    </row>
    <row r="11491" spans="5:10" ht="15.75" hidden="1" thickBot="1">
      <c r="F11491" s="569">
        <v>531</v>
      </c>
      <c r="G11491" s="558" t="s">
        <v>4181</v>
      </c>
      <c r="J11491" s="635">
        <f t="shared" si="359"/>
        <v>0</v>
      </c>
    </row>
    <row r="11492" spans="5:10" ht="15.75" hidden="1" thickBot="1">
      <c r="F11492" s="569">
        <v>541</v>
      </c>
      <c r="G11492" s="562" t="s">
        <v>4206</v>
      </c>
      <c r="J11492" s="635">
        <f t="shared" si="359"/>
        <v>0</v>
      </c>
    </row>
    <row r="11493" spans="5:10" ht="15.75" hidden="1" thickBot="1">
      <c r="F11493" s="569">
        <v>542</v>
      </c>
      <c r="G11493" s="562" t="s">
        <v>4207</v>
      </c>
      <c r="J11493" s="635">
        <f t="shared" si="359"/>
        <v>0</v>
      </c>
    </row>
    <row r="11494" spans="5:10" ht="15.75" hidden="1" thickBot="1">
      <c r="F11494" s="569">
        <v>543</v>
      </c>
      <c r="G11494" s="562" t="s">
        <v>3848</v>
      </c>
      <c r="J11494" s="635">
        <f t="shared" si="359"/>
        <v>0</v>
      </c>
    </row>
    <row r="11495" spans="5:10" ht="30.75" hidden="1" thickBot="1">
      <c r="F11495" s="569">
        <v>551</v>
      </c>
      <c r="G11495" s="562" t="s">
        <v>4182</v>
      </c>
      <c r="J11495" s="635">
        <f t="shared" si="359"/>
        <v>0</v>
      </c>
    </row>
    <row r="11496" spans="5:10" ht="15.75" hidden="1" thickBot="1">
      <c r="F11496" s="570">
        <v>611</v>
      </c>
      <c r="G11496" s="568" t="s">
        <v>3854</v>
      </c>
      <c r="J11496" s="635">
        <f t="shared" si="359"/>
        <v>0</v>
      </c>
    </row>
    <row r="11497" spans="5:10" ht="15.75" hidden="1" thickBot="1">
      <c r="F11497" s="570">
        <v>620</v>
      </c>
      <c r="G11497" s="568" t="s">
        <v>88</v>
      </c>
      <c r="J11497" s="635">
        <f t="shared" si="359"/>
        <v>0</v>
      </c>
    </row>
    <row r="11498" spans="5:10" hidden="1">
      <c r="E11498" s="559"/>
      <c r="F11498" s="570"/>
      <c r="G11498" s="371" t="s">
        <v>4439</v>
      </c>
      <c r="H11498" s="636"/>
      <c r="I11498" s="662"/>
      <c r="J11498" s="637"/>
    </row>
    <row r="11499" spans="5:10" hidden="1">
      <c r="E11499" s="267"/>
      <c r="F11499" s="682" t="s">
        <v>234</v>
      </c>
      <c r="G11499" s="683" t="s">
        <v>235</v>
      </c>
      <c r="H11499" s="638">
        <f>SUM(H11438:H11497)</f>
        <v>0</v>
      </c>
      <c r="I11499" s="639"/>
      <c r="J11499" s="639">
        <f>SUM(H11499:I11499)</f>
        <v>0</v>
      </c>
    </row>
    <row r="11500" spans="5:10" hidden="1">
      <c r="F11500" s="682" t="s">
        <v>236</v>
      </c>
      <c r="G11500" s="683" t="s">
        <v>237</v>
      </c>
      <c r="J11500" s="639">
        <f t="shared" ref="J11500:J11514" si="360">SUM(H11500:I11500)</f>
        <v>0</v>
      </c>
    </row>
    <row r="11501" spans="5:10" hidden="1">
      <c r="F11501" s="682" t="s">
        <v>238</v>
      </c>
      <c r="G11501" s="683" t="s">
        <v>239</v>
      </c>
      <c r="J11501" s="639">
        <f t="shared" si="360"/>
        <v>0</v>
      </c>
    </row>
    <row r="11502" spans="5:10" ht="15.75" hidden="1" thickBot="1">
      <c r="F11502" s="682" t="s">
        <v>240</v>
      </c>
      <c r="G11502" s="683" t="s">
        <v>241</v>
      </c>
      <c r="J11502" s="639">
        <f t="shared" si="360"/>
        <v>0</v>
      </c>
    </row>
    <row r="11503" spans="5:10" ht="15.75" hidden="1" thickBot="1">
      <c r="F11503" s="682" t="s">
        <v>242</v>
      </c>
      <c r="G11503" s="683" t="s">
        <v>243</v>
      </c>
      <c r="J11503" s="639">
        <f t="shared" si="360"/>
        <v>0</v>
      </c>
    </row>
    <row r="11504" spans="5:10" ht="15.75" hidden="1" thickBot="1">
      <c r="F11504" s="682" t="s">
        <v>244</v>
      </c>
      <c r="G11504" s="683" t="s">
        <v>245</v>
      </c>
      <c r="J11504" s="639">
        <f t="shared" si="360"/>
        <v>0</v>
      </c>
    </row>
    <row r="11505" spans="5:10" ht="15.75" hidden="1" thickBot="1">
      <c r="F11505" s="682" t="s">
        <v>246</v>
      </c>
      <c r="G11505" s="683" t="s">
        <v>5121</v>
      </c>
      <c r="J11505" s="639">
        <f t="shared" si="360"/>
        <v>0</v>
      </c>
    </row>
    <row r="11506" spans="5:10" ht="15.75" hidden="1" thickBot="1">
      <c r="F11506" s="682" t="s">
        <v>247</v>
      </c>
      <c r="G11506" s="683" t="s">
        <v>5120</v>
      </c>
      <c r="J11506" s="639">
        <f t="shared" si="360"/>
        <v>0</v>
      </c>
    </row>
    <row r="11507" spans="5:10" ht="15.75" hidden="1" thickBot="1">
      <c r="F11507" s="682" t="s">
        <v>248</v>
      </c>
      <c r="G11507" s="683" t="s">
        <v>57</v>
      </c>
      <c r="J11507" s="639">
        <f t="shared" si="360"/>
        <v>0</v>
      </c>
    </row>
    <row r="11508" spans="5:10" ht="15.75" hidden="1" thickBot="1">
      <c r="F11508" s="682" t="s">
        <v>249</v>
      </c>
      <c r="G11508" s="683" t="s">
        <v>250</v>
      </c>
      <c r="J11508" s="639">
        <f t="shared" si="360"/>
        <v>0</v>
      </c>
    </row>
    <row r="11509" spans="5:10" ht="15.75" hidden="1" thickBot="1">
      <c r="F11509" s="682" t="s">
        <v>251</v>
      </c>
      <c r="G11509" s="683" t="s">
        <v>252</v>
      </c>
      <c r="J11509" s="639">
        <f t="shared" si="360"/>
        <v>0</v>
      </c>
    </row>
    <row r="11510" spans="5:10" ht="15.75" hidden="1" thickBot="1">
      <c r="F11510" s="682" t="s">
        <v>253</v>
      </c>
      <c r="G11510" s="683" t="s">
        <v>254</v>
      </c>
      <c r="J11510" s="639">
        <f t="shared" si="360"/>
        <v>0</v>
      </c>
    </row>
    <row r="11511" spans="5:10" ht="15.75" hidden="1" thickBot="1">
      <c r="F11511" s="682" t="s">
        <v>255</v>
      </c>
      <c r="G11511" s="683" t="s">
        <v>256</v>
      </c>
      <c r="J11511" s="639">
        <f t="shared" si="360"/>
        <v>0</v>
      </c>
    </row>
    <row r="11512" spans="5:10" ht="15.75" hidden="1" thickBot="1">
      <c r="F11512" s="682" t="s">
        <v>257</v>
      </c>
      <c r="G11512" s="683" t="s">
        <v>258</v>
      </c>
      <c r="J11512" s="639">
        <f t="shared" si="360"/>
        <v>0</v>
      </c>
    </row>
    <row r="11513" spans="5:10" ht="15.75" hidden="1" thickBot="1">
      <c r="F11513" s="682" t="s">
        <v>259</v>
      </c>
      <c r="G11513" s="683" t="s">
        <v>260</v>
      </c>
      <c r="J11513" s="639">
        <f t="shared" si="360"/>
        <v>0</v>
      </c>
    </row>
    <row r="11514" spans="5:10" ht="15.75" hidden="1" thickBot="1">
      <c r="F11514" s="682" t="s">
        <v>261</v>
      </c>
      <c r="G11514" s="683" t="s">
        <v>262</v>
      </c>
      <c r="H11514" s="638"/>
      <c r="I11514" s="639"/>
      <c r="J11514" s="639">
        <f t="shared" si="360"/>
        <v>0</v>
      </c>
    </row>
    <row r="11515" spans="5:10" ht="15.75" hidden="1" thickBot="1">
      <c r="G11515" s="274" t="s">
        <v>4440</v>
      </c>
      <c r="H11515" s="640">
        <f>SUM(H11499:H11514)</f>
        <v>0</v>
      </c>
      <c r="I11515" s="641">
        <f>SUM(I11500:I11514)</f>
        <v>0</v>
      </c>
      <c r="J11515" s="641">
        <f>SUM(J11499:J11514)</f>
        <v>0</v>
      </c>
    </row>
    <row r="11516" spans="5:10" hidden="1" collapsed="1">
      <c r="E11516" s="559"/>
      <c r="F11516" s="570"/>
      <c r="G11516" s="276" t="s">
        <v>5111</v>
      </c>
      <c r="H11516" s="642"/>
      <c r="I11516" s="663"/>
      <c r="J11516" s="643"/>
    </row>
    <row r="11517" spans="5:10" hidden="1">
      <c r="E11517" s="267"/>
      <c r="F11517" s="682" t="s">
        <v>234</v>
      </c>
      <c r="G11517" s="683" t="s">
        <v>235</v>
      </c>
      <c r="H11517" s="638">
        <f>SUM(H11438:H11497)</f>
        <v>0</v>
      </c>
      <c r="I11517" s="639"/>
      <c r="J11517" s="639">
        <f>SUM(H11517:I11517)</f>
        <v>0</v>
      </c>
    </row>
    <row r="11518" spans="5:10" hidden="1">
      <c r="F11518" s="682" t="s">
        <v>236</v>
      </c>
      <c r="G11518" s="683" t="s">
        <v>237</v>
      </c>
      <c r="J11518" s="639">
        <f t="shared" ref="J11518:J11532" si="361">SUM(H11518:I11518)</f>
        <v>0</v>
      </c>
    </row>
    <row r="11519" spans="5:10" hidden="1">
      <c r="F11519" s="682" t="s">
        <v>238</v>
      </c>
      <c r="G11519" s="683" t="s">
        <v>239</v>
      </c>
      <c r="J11519" s="639">
        <f t="shared" si="361"/>
        <v>0</v>
      </c>
    </row>
    <row r="11520" spans="5:10" ht="15.75" hidden="1" thickBot="1">
      <c r="F11520" s="682" t="s">
        <v>240</v>
      </c>
      <c r="G11520" s="683" t="s">
        <v>241</v>
      </c>
      <c r="J11520" s="639">
        <f t="shared" si="361"/>
        <v>0</v>
      </c>
    </row>
    <row r="11521" spans="5:10" ht="15.75" hidden="1" thickBot="1">
      <c r="F11521" s="682" t="s">
        <v>242</v>
      </c>
      <c r="G11521" s="683" t="s">
        <v>243</v>
      </c>
      <c r="J11521" s="639">
        <f t="shared" si="361"/>
        <v>0</v>
      </c>
    </row>
    <row r="11522" spans="5:10" ht="15.75" hidden="1" thickBot="1">
      <c r="F11522" s="682" t="s">
        <v>244</v>
      </c>
      <c r="G11522" s="683" t="s">
        <v>245</v>
      </c>
      <c r="J11522" s="639">
        <f t="shared" si="361"/>
        <v>0</v>
      </c>
    </row>
    <row r="11523" spans="5:10" ht="15.75" hidden="1" thickBot="1">
      <c r="F11523" s="682" t="s">
        <v>246</v>
      </c>
      <c r="G11523" s="683" t="s">
        <v>5121</v>
      </c>
      <c r="J11523" s="639">
        <f t="shared" si="361"/>
        <v>0</v>
      </c>
    </row>
    <row r="11524" spans="5:10" ht="15.75" hidden="1" thickBot="1">
      <c r="F11524" s="682" t="s">
        <v>247</v>
      </c>
      <c r="G11524" s="683" t="s">
        <v>5120</v>
      </c>
      <c r="J11524" s="639">
        <f t="shared" si="361"/>
        <v>0</v>
      </c>
    </row>
    <row r="11525" spans="5:10" ht="15.75" hidden="1" thickBot="1">
      <c r="F11525" s="682" t="s">
        <v>248</v>
      </c>
      <c r="G11525" s="683" t="s">
        <v>57</v>
      </c>
      <c r="J11525" s="639">
        <f t="shared" si="361"/>
        <v>0</v>
      </c>
    </row>
    <row r="11526" spans="5:10" ht="15.75" hidden="1" thickBot="1">
      <c r="F11526" s="682" t="s">
        <v>249</v>
      </c>
      <c r="G11526" s="683" t="s">
        <v>250</v>
      </c>
      <c r="J11526" s="639">
        <f t="shared" si="361"/>
        <v>0</v>
      </c>
    </row>
    <row r="11527" spans="5:10" ht="15.75" hidden="1" thickBot="1">
      <c r="F11527" s="682" t="s">
        <v>251</v>
      </c>
      <c r="G11527" s="683" t="s">
        <v>252</v>
      </c>
      <c r="J11527" s="639">
        <f t="shared" si="361"/>
        <v>0</v>
      </c>
    </row>
    <row r="11528" spans="5:10" ht="15.75" hidden="1" thickBot="1">
      <c r="F11528" s="682" t="s">
        <v>253</v>
      </c>
      <c r="G11528" s="683" t="s">
        <v>254</v>
      </c>
      <c r="J11528" s="639">
        <f t="shared" si="361"/>
        <v>0</v>
      </c>
    </row>
    <row r="11529" spans="5:10" ht="15.75" hidden="1" thickBot="1">
      <c r="F11529" s="682" t="s">
        <v>255</v>
      </c>
      <c r="G11529" s="683" t="s">
        <v>256</v>
      </c>
      <c r="J11529" s="639">
        <f t="shared" si="361"/>
        <v>0</v>
      </c>
    </row>
    <row r="11530" spans="5:10" ht="15.75" hidden="1" thickBot="1">
      <c r="F11530" s="682" t="s">
        <v>257</v>
      </c>
      <c r="G11530" s="683" t="s">
        <v>258</v>
      </c>
      <c r="J11530" s="639">
        <f t="shared" si="361"/>
        <v>0</v>
      </c>
    </row>
    <row r="11531" spans="5:10" ht="15.75" hidden="1" thickBot="1">
      <c r="F11531" s="682" t="s">
        <v>259</v>
      </c>
      <c r="G11531" s="683" t="s">
        <v>260</v>
      </c>
      <c r="J11531" s="639">
        <f t="shared" si="361"/>
        <v>0</v>
      </c>
    </row>
    <row r="11532" spans="5:10" ht="15.75" hidden="1" thickBot="1">
      <c r="F11532" s="682" t="s">
        <v>261</v>
      </c>
      <c r="G11532" s="683" t="s">
        <v>262</v>
      </c>
      <c r="H11532" s="638"/>
      <c r="I11532" s="639"/>
      <c r="J11532" s="639">
        <f t="shared" si="361"/>
        <v>0</v>
      </c>
    </row>
    <row r="11533" spans="5:10" ht="15.75" hidden="1" thickBot="1">
      <c r="G11533" s="274" t="s">
        <v>5112</v>
      </c>
      <c r="H11533" s="640">
        <f>SUM(H11517:H11532)</f>
        <v>0</v>
      </c>
      <c r="I11533" s="641">
        <f>SUM(I11518:I11532)</f>
        <v>0</v>
      </c>
      <c r="J11533" s="641">
        <f>SUM(J11517:J11532)</f>
        <v>0</v>
      </c>
    </row>
    <row r="11534" spans="5:10" hidden="1">
      <c r="G11534" s="331"/>
      <c r="H11534" s="644"/>
      <c r="I11534" s="645"/>
      <c r="J11534" s="645"/>
    </row>
    <row r="11535" spans="5:10" hidden="1">
      <c r="G11535" s="331"/>
      <c r="H11535" s="644"/>
      <c r="I11535" s="645"/>
      <c r="J11535" s="645"/>
    </row>
    <row r="11536" spans="5:10" hidden="1">
      <c r="E11536" s="516"/>
      <c r="F11536" s="528"/>
      <c r="G11536" s="295" t="s">
        <v>4329</v>
      </c>
      <c r="H11536" s="646"/>
      <c r="I11536" s="664"/>
      <c r="J11536" s="647"/>
    </row>
    <row r="11537" spans="5:10" hidden="1">
      <c r="E11537" s="267"/>
      <c r="F11537" s="294" t="s">
        <v>234</v>
      </c>
      <c r="G11537" s="297" t="s">
        <v>235</v>
      </c>
      <c r="H11537" s="638">
        <f>SUM(H10824,H10725,H10905,H11022,H11121,H11220,H11319,H11418,H11517)</f>
        <v>0</v>
      </c>
      <c r="I11537" s="639"/>
      <c r="J11537" s="639">
        <f>SUM(H11537:I11537)</f>
        <v>0</v>
      </c>
    </row>
    <row r="11538" spans="5:10" hidden="1">
      <c r="F11538" s="294" t="s">
        <v>236</v>
      </c>
      <c r="G11538" s="297" t="s">
        <v>237</v>
      </c>
      <c r="J11538" s="639">
        <f t="shared" ref="J11538:J11552" si="362">SUM(H11538:I11538)</f>
        <v>0</v>
      </c>
    </row>
    <row r="11539" spans="5:10" hidden="1">
      <c r="F11539" s="294" t="s">
        <v>238</v>
      </c>
      <c r="G11539" s="297" t="s">
        <v>239</v>
      </c>
      <c r="J11539" s="639">
        <f t="shared" si="362"/>
        <v>0</v>
      </c>
    </row>
    <row r="11540" spans="5:10" ht="15.75" hidden="1" thickBot="1">
      <c r="F11540" s="294" t="s">
        <v>240</v>
      </c>
      <c r="G11540" s="297" t="s">
        <v>241</v>
      </c>
      <c r="J11540" s="639">
        <f t="shared" si="362"/>
        <v>0</v>
      </c>
    </row>
    <row r="11541" spans="5:10" ht="15.75" hidden="1" thickBot="1">
      <c r="F11541" s="294" t="s">
        <v>242</v>
      </c>
      <c r="G11541" s="297" t="s">
        <v>243</v>
      </c>
      <c r="J11541" s="639">
        <f t="shared" si="362"/>
        <v>0</v>
      </c>
    </row>
    <row r="11542" spans="5:10" ht="15.75" hidden="1" thickBot="1">
      <c r="F11542" s="294" t="s">
        <v>244</v>
      </c>
      <c r="G11542" s="297" t="s">
        <v>245</v>
      </c>
      <c r="J11542" s="639">
        <f t="shared" si="362"/>
        <v>0</v>
      </c>
    </row>
    <row r="11543" spans="5:10" ht="15.75" hidden="1" thickBot="1">
      <c r="F11543" s="294" t="s">
        <v>246</v>
      </c>
      <c r="G11543" s="683" t="s">
        <v>5121</v>
      </c>
      <c r="J11543" s="639">
        <f t="shared" si="362"/>
        <v>0</v>
      </c>
    </row>
    <row r="11544" spans="5:10" ht="15.75" hidden="1" thickBot="1">
      <c r="F11544" s="294" t="s">
        <v>247</v>
      </c>
      <c r="G11544" s="683" t="s">
        <v>5120</v>
      </c>
      <c r="J11544" s="639">
        <f t="shared" si="362"/>
        <v>0</v>
      </c>
    </row>
    <row r="11545" spans="5:10" ht="15.75" hidden="1" thickBot="1">
      <c r="F11545" s="294" t="s">
        <v>248</v>
      </c>
      <c r="G11545" s="297" t="s">
        <v>57</v>
      </c>
      <c r="J11545" s="639">
        <f t="shared" si="362"/>
        <v>0</v>
      </c>
    </row>
    <row r="11546" spans="5:10" ht="15.75" hidden="1" thickBot="1">
      <c r="F11546" s="294" t="s">
        <v>249</v>
      </c>
      <c r="G11546" s="297" t="s">
        <v>250</v>
      </c>
      <c r="J11546" s="639">
        <f t="shared" si="362"/>
        <v>0</v>
      </c>
    </row>
    <row r="11547" spans="5:10" ht="15.75" hidden="1" thickBot="1">
      <c r="F11547" s="294" t="s">
        <v>251</v>
      </c>
      <c r="G11547" s="297" t="s">
        <v>252</v>
      </c>
      <c r="J11547" s="639">
        <f t="shared" si="362"/>
        <v>0</v>
      </c>
    </row>
    <row r="11548" spans="5:10" ht="15.75" hidden="1" thickBot="1">
      <c r="F11548" s="294" t="s">
        <v>253</v>
      </c>
      <c r="G11548" s="297" t="s">
        <v>254</v>
      </c>
      <c r="J11548" s="639">
        <f t="shared" si="362"/>
        <v>0</v>
      </c>
    </row>
    <row r="11549" spans="5:10" ht="15.75" hidden="1" thickBot="1">
      <c r="F11549" s="294" t="s">
        <v>255</v>
      </c>
      <c r="G11549" s="297" t="s">
        <v>256</v>
      </c>
      <c r="J11549" s="639">
        <f t="shared" si="362"/>
        <v>0</v>
      </c>
    </row>
    <row r="11550" spans="5:10" ht="15.75" hidden="1" thickBot="1">
      <c r="F11550" s="294" t="s">
        <v>257</v>
      </c>
      <c r="G11550" s="297" t="s">
        <v>258</v>
      </c>
      <c r="J11550" s="639">
        <f t="shared" si="362"/>
        <v>0</v>
      </c>
    </row>
    <row r="11551" spans="5:10" ht="15.75" hidden="1" thickBot="1">
      <c r="F11551" s="294" t="s">
        <v>259</v>
      </c>
      <c r="G11551" s="297" t="s">
        <v>260</v>
      </c>
      <c r="J11551" s="639">
        <f t="shared" si="362"/>
        <v>0</v>
      </c>
    </row>
    <row r="11552" spans="5:10" ht="15.75" hidden="1" thickBot="1">
      <c r="F11552" s="294" t="s">
        <v>261</v>
      </c>
      <c r="G11552" s="297" t="s">
        <v>262</v>
      </c>
      <c r="H11552" s="638"/>
      <c r="I11552" s="639"/>
      <c r="J11552" s="639">
        <f t="shared" si="362"/>
        <v>0</v>
      </c>
    </row>
    <row r="11553" spans="5:10" ht="15.75" hidden="1" thickBot="1">
      <c r="G11553" s="274" t="s">
        <v>4330</v>
      </c>
      <c r="H11553" s="640">
        <f>SUM(H11537:H11552)</f>
        <v>0</v>
      </c>
      <c r="I11553" s="641">
        <f>SUM(I11538:I11552)</f>
        <v>0</v>
      </c>
      <c r="J11553" s="641">
        <f>SUM(J11537:J11552)</f>
        <v>0</v>
      </c>
    </row>
    <row r="11554" spans="5:10" hidden="1"/>
    <row r="11555" spans="5:10" hidden="1">
      <c r="E11555" s="516"/>
      <c r="F11555" s="528"/>
      <c r="G11555" s="295" t="s">
        <v>5068</v>
      </c>
      <c r="H11555" s="646"/>
      <c r="I11555" s="664"/>
      <c r="J11555" s="647"/>
    </row>
    <row r="11556" spans="5:10" hidden="1">
      <c r="E11556" s="267"/>
      <c r="F11556" s="294" t="s">
        <v>234</v>
      </c>
      <c r="G11556" s="297" t="s">
        <v>235</v>
      </c>
      <c r="H11556" s="638">
        <f>SUM(H11537)</f>
        <v>0</v>
      </c>
      <c r="I11556" s="639"/>
      <c r="J11556" s="639">
        <f>SUM(H11556:I11556)</f>
        <v>0</v>
      </c>
    </row>
    <row r="11557" spans="5:10" hidden="1">
      <c r="F11557" s="294" t="s">
        <v>236</v>
      </c>
      <c r="G11557" s="297" t="s">
        <v>237</v>
      </c>
      <c r="J11557" s="639">
        <f t="shared" ref="J11557:J11571" si="363">SUM(H11557:I11557)</f>
        <v>0</v>
      </c>
    </row>
    <row r="11558" spans="5:10" hidden="1">
      <c r="F11558" s="294" t="s">
        <v>238</v>
      </c>
      <c r="G11558" s="297" t="s">
        <v>239</v>
      </c>
      <c r="J11558" s="639">
        <f t="shared" si="363"/>
        <v>0</v>
      </c>
    </row>
    <row r="11559" spans="5:10" ht="15.75" hidden="1" thickBot="1">
      <c r="F11559" s="294" t="s">
        <v>240</v>
      </c>
      <c r="G11559" s="297" t="s">
        <v>241</v>
      </c>
      <c r="J11559" s="639">
        <f t="shared" si="363"/>
        <v>0</v>
      </c>
    </row>
    <row r="11560" spans="5:10" ht="15.75" hidden="1" thickBot="1">
      <c r="F11560" s="294" t="s">
        <v>242</v>
      </c>
      <c r="G11560" s="297" t="s">
        <v>243</v>
      </c>
      <c r="J11560" s="639">
        <f t="shared" si="363"/>
        <v>0</v>
      </c>
    </row>
    <row r="11561" spans="5:10" ht="15.75" hidden="1" thickBot="1">
      <c r="F11561" s="294" t="s">
        <v>244</v>
      </c>
      <c r="G11561" s="297" t="s">
        <v>245</v>
      </c>
      <c r="J11561" s="639">
        <f t="shared" si="363"/>
        <v>0</v>
      </c>
    </row>
    <row r="11562" spans="5:10" ht="15.75" hidden="1" thickBot="1">
      <c r="F11562" s="294" t="s">
        <v>246</v>
      </c>
      <c r="G11562" s="683" t="s">
        <v>5121</v>
      </c>
      <c r="J11562" s="639">
        <f t="shared" si="363"/>
        <v>0</v>
      </c>
    </row>
    <row r="11563" spans="5:10" ht="15.75" hidden="1" thickBot="1">
      <c r="F11563" s="294" t="s">
        <v>247</v>
      </c>
      <c r="G11563" s="683" t="s">
        <v>5120</v>
      </c>
      <c r="J11563" s="639">
        <f t="shared" si="363"/>
        <v>0</v>
      </c>
    </row>
    <row r="11564" spans="5:10" ht="15.75" hidden="1" thickBot="1">
      <c r="F11564" s="294" t="s">
        <v>248</v>
      </c>
      <c r="G11564" s="297" t="s">
        <v>57</v>
      </c>
      <c r="J11564" s="639">
        <f t="shared" si="363"/>
        <v>0</v>
      </c>
    </row>
    <row r="11565" spans="5:10" ht="15.75" hidden="1" thickBot="1">
      <c r="F11565" s="294" t="s">
        <v>249</v>
      </c>
      <c r="G11565" s="297" t="s">
        <v>250</v>
      </c>
      <c r="J11565" s="639">
        <f t="shared" si="363"/>
        <v>0</v>
      </c>
    </row>
    <row r="11566" spans="5:10" ht="15.75" hidden="1" thickBot="1">
      <c r="F11566" s="294" t="s">
        <v>251</v>
      </c>
      <c r="G11566" s="297" t="s">
        <v>252</v>
      </c>
      <c r="J11566" s="639">
        <f t="shared" si="363"/>
        <v>0</v>
      </c>
    </row>
    <row r="11567" spans="5:10" ht="15.75" hidden="1" thickBot="1">
      <c r="F11567" s="294" t="s">
        <v>253</v>
      </c>
      <c r="G11567" s="297" t="s">
        <v>254</v>
      </c>
      <c r="J11567" s="639">
        <f t="shared" si="363"/>
        <v>0</v>
      </c>
    </row>
    <row r="11568" spans="5:10" ht="15.75" hidden="1" thickBot="1">
      <c r="F11568" s="294" t="s">
        <v>255</v>
      </c>
      <c r="G11568" s="297" t="s">
        <v>256</v>
      </c>
      <c r="J11568" s="639">
        <f t="shared" si="363"/>
        <v>0</v>
      </c>
    </row>
    <row r="11569" spans="1:10" ht="15.75" hidden="1" thickBot="1">
      <c r="F11569" s="294" t="s">
        <v>257</v>
      </c>
      <c r="G11569" s="297" t="s">
        <v>258</v>
      </c>
      <c r="J11569" s="639">
        <f t="shared" si="363"/>
        <v>0</v>
      </c>
    </row>
    <row r="11570" spans="1:10" ht="15.75" hidden="1" thickBot="1">
      <c r="F11570" s="294" t="s">
        <v>259</v>
      </c>
      <c r="G11570" s="297" t="s">
        <v>260</v>
      </c>
      <c r="J11570" s="639">
        <f t="shared" si="363"/>
        <v>0</v>
      </c>
    </row>
    <row r="11571" spans="1:10" ht="15.75" hidden="1" thickBot="1">
      <c r="F11571" s="294" t="s">
        <v>261</v>
      </c>
      <c r="G11571" s="297" t="s">
        <v>262</v>
      </c>
      <c r="H11571" s="638"/>
      <c r="I11571" s="639"/>
      <c r="J11571" s="639">
        <f t="shared" si="363"/>
        <v>0</v>
      </c>
    </row>
    <row r="11572" spans="1:10" ht="15.75" hidden="1" thickBot="1">
      <c r="G11572" s="274" t="s">
        <v>5069</v>
      </c>
      <c r="H11572" s="640">
        <f>SUM(H11556:H11571)</f>
        <v>0</v>
      </c>
      <c r="I11572" s="641">
        <f>SUM(I11557:I11571)</f>
        <v>0</v>
      </c>
      <c r="J11572" s="641">
        <f>SUM(J11556:J11571)</f>
        <v>0</v>
      </c>
    </row>
    <row r="11573" spans="1:10" hidden="1"/>
    <row r="11574" spans="1:10" hidden="1">
      <c r="A11574" s="510">
        <v>4</v>
      </c>
      <c r="B11574" s="511" t="s">
        <v>4346</v>
      </c>
      <c r="C11574" s="510"/>
      <c r="D11574" s="512"/>
      <c r="E11574" s="513"/>
      <c r="F11574" s="513"/>
      <c r="G11574" s="514" t="s">
        <v>4327</v>
      </c>
      <c r="H11574" s="672"/>
      <c r="I11574" s="673"/>
      <c r="J11574" s="658"/>
    </row>
    <row r="11575" spans="1:10" ht="16.5" hidden="1" customHeight="1">
      <c r="C11575" s="273" t="s">
        <v>3594</v>
      </c>
      <c r="G11575" s="517" t="s">
        <v>4321</v>
      </c>
    </row>
    <row r="11576" spans="1:10" hidden="1">
      <c r="C11576" s="273" t="s">
        <v>4129</v>
      </c>
      <c r="D11576" s="264"/>
      <c r="G11576" s="517" t="s">
        <v>4322</v>
      </c>
    </row>
    <row r="11577" spans="1:10" hidden="1">
      <c r="C11577" s="273"/>
      <c r="D11577" s="357">
        <v>820</v>
      </c>
      <c r="E11577" s="357"/>
      <c r="F11577" s="357"/>
      <c r="G11577" s="358" t="s">
        <v>207</v>
      </c>
    </row>
    <row r="11578" spans="1:10" hidden="1">
      <c r="F11578" s="527">
        <v>411</v>
      </c>
      <c r="G11578" s="518" t="s">
        <v>4173</v>
      </c>
      <c r="J11578" s="635">
        <f>SUM(H11578:I11578)</f>
        <v>0</v>
      </c>
    </row>
    <row r="11579" spans="1:10" hidden="1">
      <c r="F11579" s="527">
        <v>412</v>
      </c>
      <c r="G11579" s="515" t="s">
        <v>3770</v>
      </c>
      <c r="J11579" s="635">
        <f t="shared" ref="J11579:J11637" si="364">SUM(H11579:I11579)</f>
        <v>0</v>
      </c>
    </row>
    <row r="11580" spans="1:10" hidden="1">
      <c r="F11580" s="527">
        <v>413</v>
      </c>
      <c r="G11580" s="518" t="s">
        <v>4174</v>
      </c>
      <c r="J11580" s="635">
        <f t="shared" si="364"/>
        <v>0</v>
      </c>
    </row>
    <row r="11581" spans="1:10" hidden="1">
      <c r="F11581" s="527">
        <v>414</v>
      </c>
      <c r="G11581" s="518" t="s">
        <v>3773</v>
      </c>
      <c r="J11581" s="635">
        <f t="shared" si="364"/>
        <v>0</v>
      </c>
    </row>
    <row r="11582" spans="1:10" hidden="1">
      <c r="F11582" s="527">
        <v>415</v>
      </c>
      <c r="G11582" s="518" t="s">
        <v>4183</v>
      </c>
      <c r="J11582" s="635">
        <f t="shared" si="364"/>
        <v>0</v>
      </c>
    </row>
    <row r="11583" spans="1:10" hidden="1">
      <c r="F11583" s="527">
        <v>416</v>
      </c>
      <c r="G11583" s="518" t="s">
        <v>4184</v>
      </c>
      <c r="J11583" s="635">
        <f t="shared" si="364"/>
        <v>0</v>
      </c>
    </row>
    <row r="11584" spans="1:10" hidden="1">
      <c r="F11584" s="527">
        <v>417</v>
      </c>
      <c r="G11584" s="518" t="s">
        <v>4185</v>
      </c>
      <c r="J11584" s="635">
        <f t="shared" si="364"/>
        <v>0</v>
      </c>
    </row>
    <row r="11585" spans="6:10" hidden="1">
      <c r="F11585" s="527">
        <v>418</v>
      </c>
      <c r="G11585" s="518" t="s">
        <v>3779</v>
      </c>
      <c r="J11585" s="635">
        <f t="shared" si="364"/>
        <v>0</v>
      </c>
    </row>
    <row r="11586" spans="6:10" hidden="1">
      <c r="F11586" s="527">
        <v>421</v>
      </c>
      <c r="G11586" s="518" t="s">
        <v>3783</v>
      </c>
      <c r="J11586" s="635">
        <f t="shared" si="364"/>
        <v>0</v>
      </c>
    </row>
    <row r="11587" spans="6:10" hidden="1">
      <c r="F11587" s="527">
        <v>422</v>
      </c>
      <c r="G11587" s="518" t="s">
        <v>3784</v>
      </c>
      <c r="J11587" s="635">
        <f t="shared" si="364"/>
        <v>0</v>
      </c>
    </row>
    <row r="11588" spans="6:10" hidden="1">
      <c r="F11588" s="527">
        <v>423</v>
      </c>
      <c r="G11588" s="518" t="s">
        <v>3785</v>
      </c>
      <c r="J11588" s="635">
        <f t="shared" si="364"/>
        <v>0</v>
      </c>
    </row>
    <row r="11589" spans="6:10" hidden="1">
      <c r="F11589" s="527">
        <v>424</v>
      </c>
      <c r="G11589" s="518" t="s">
        <v>3787</v>
      </c>
      <c r="J11589" s="635">
        <f t="shared" si="364"/>
        <v>0</v>
      </c>
    </row>
    <row r="11590" spans="6:10" hidden="1">
      <c r="F11590" s="527">
        <v>425</v>
      </c>
      <c r="G11590" s="518" t="s">
        <v>4186</v>
      </c>
      <c r="J11590" s="635">
        <f t="shared" si="364"/>
        <v>0</v>
      </c>
    </row>
    <row r="11591" spans="6:10" hidden="1">
      <c r="F11591" s="527">
        <v>426</v>
      </c>
      <c r="G11591" s="518" t="s">
        <v>3791</v>
      </c>
      <c r="J11591" s="635">
        <f t="shared" si="364"/>
        <v>0</v>
      </c>
    </row>
    <row r="11592" spans="6:10" hidden="1">
      <c r="F11592" s="527">
        <v>431</v>
      </c>
      <c r="G11592" s="518" t="s">
        <v>4187</v>
      </c>
      <c r="J11592" s="635">
        <f t="shared" si="364"/>
        <v>0</v>
      </c>
    </row>
    <row r="11593" spans="6:10" hidden="1">
      <c r="F11593" s="527">
        <v>432</v>
      </c>
      <c r="G11593" s="518" t="s">
        <v>4188</v>
      </c>
      <c r="J11593" s="635">
        <f t="shared" si="364"/>
        <v>0</v>
      </c>
    </row>
    <row r="11594" spans="6:10" hidden="1">
      <c r="F11594" s="527">
        <v>433</v>
      </c>
      <c r="G11594" s="518" t="s">
        <v>4189</v>
      </c>
      <c r="J11594" s="635">
        <f t="shared" si="364"/>
        <v>0</v>
      </c>
    </row>
    <row r="11595" spans="6:10" hidden="1">
      <c r="F11595" s="527">
        <v>434</v>
      </c>
      <c r="G11595" s="518" t="s">
        <v>4190</v>
      </c>
      <c r="J11595" s="635">
        <f t="shared" si="364"/>
        <v>0</v>
      </c>
    </row>
    <row r="11596" spans="6:10" hidden="1">
      <c r="F11596" s="527">
        <v>435</v>
      </c>
      <c r="G11596" s="518" t="s">
        <v>3798</v>
      </c>
      <c r="J11596" s="635">
        <f t="shared" si="364"/>
        <v>0</v>
      </c>
    </row>
    <row r="11597" spans="6:10" hidden="1">
      <c r="F11597" s="527">
        <v>441</v>
      </c>
      <c r="G11597" s="518" t="s">
        <v>4191</v>
      </c>
      <c r="J11597" s="635">
        <f t="shared" si="364"/>
        <v>0</v>
      </c>
    </row>
    <row r="11598" spans="6:10" hidden="1">
      <c r="F11598" s="527">
        <v>442</v>
      </c>
      <c r="G11598" s="518" t="s">
        <v>4192</v>
      </c>
      <c r="J11598" s="635">
        <f t="shared" si="364"/>
        <v>0</v>
      </c>
    </row>
    <row r="11599" spans="6:10" hidden="1">
      <c r="F11599" s="527">
        <v>443</v>
      </c>
      <c r="G11599" s="518" t="s">
        <v>3803</v>
      </c>
      <c r="J11599" s="635">
        <f t="shared" si="364"/>
        <v>0</v>
      </c>
    </row>
    <row r="11600" spans="6:10" hidden="1">
      <c r="F11600" s="527">
        <v>444</v>
      </c>
      <c r="G11600" s="518" t="s">
        <v>3804</v>
      </c>
      <c r="J11600" s="635">
        <f t="shared" si="364"/>
        <v>0</v>
      </c>
    </row>
    <row r="11601" spans="6:10" ht="30" hidden="1">
      <c r="F11601" s="527">
        <v>4511</v>
      </c>
      <c r="G11601" s="268" t="s">
        <v>1690</v>
      </c>
      <c r="J11601" s="635">
        <f t="shared" si="364"/>
        <v>0</v>
      </c>
    </row>
    <row r="11602" spans="6:10" ht="19.5" hidden="1" customHeight="1">
      <c r="F11602" s="527">
        <v>4512</v>
      </c>
      <c r="G11602" s="268" t="s">
        <v>1699</v>
      </c>
      <c r="J11602" s="635">
        <f t="shared" si="364"/>
        <v>0</v>
      </c>
    </row>
    <row r="11603" spans="6:10" hidden="1">
      <c r="F11603" s="527">
        <v>452</v>
      </c>
      <c r="G11603" s="518" t="s">
        <v>4193</v>
      </c>
      <c r="J11603" s="635">
        <f t="shared" si="364"/>
        <v>0</v>
      </c>
    </row>
    <row r="11604" spans="6:10" hidden="1">
      <c r="F11604" s="527">
        <v>453</v>
      </c>
      <c r="G11604" s="518" t="s">
        <v>4194</v>
      </c>
      <c r="J11604" s="635">
        <f t="shared" si="364"/>
        <v>0</v>
      </c>
    </row>
    <row r="11605" spans="6:10" hidden="1">
      <c r="F11605" s="527">
        <v>454</v>
      </c>
      <c r="G11605" s="518" t="s">
        <v>3809</v>
      </c>
      <c r="J11605" s="635">
        <f t="shared" si="364"/>
        <v>0</v>
      </c>
    </row>
    <row r="11606" spans="6:10" hidden="1">
      <c r="F11606" s="527">
        <v>461</v>
      </c>
      <c r="G11606" s="518" t="s">
        <v>4175</v>
      </c>
      <c r="J11606" s="635">
        <f t="shared" si="364"/>
        <v>0</v>
      </c>
    </row>
    <row r="11607" spans="6:10" hidden="1">
      <c r="F11607" s="527">
        <v>462</v>
      </c>
      <c r="G11607" s="518" t="s">
        <v>3812</v>
      </c>
      <c r="J11607" s="635">
        <f t="shared" si="364"/>
        <v>0</v>
      </c>
    </row>
    <row r="11608" spans="6:10" hidden="1">
      <c r="F11608" s="527">
        <v>4631</v>
      </c>
      <c r="G11608" s="518" t="s">
        <v>3813</v>
      </c>
      <c r="J11608" s="635">
        <f t="shared" si="364"/>
        <v>0</v>
      </c>
    </row>
    <row r="11609" spans="6:10" hidden="1">
      <c r="F11609" s="527">
        <v>4632</v>
      </c>
      <c r="G11609" s="518" t="s">
        <v>3814</v>
      </c>
      <c r="J11609" s="635">
        <f t="shared" si="364"/>
        <v>0</v>
      </c>
    </row>
    <row r="11610" spans="6:10" hidden="1">
      <c r="F11610" s="527">
        <v>464</v>
      </c>
      <c r="G11610" s="518" t="s">
        <v>3815</v>
      </c>
      <c r="J11610" s="635">
        <f t="shared" si="364"/>
        <v>0</v>
      </c>
    </row>
    <row r="11611" spans="6:10" hidden="1">
      <c r="F11611" s="527">
        <v>465</v>
      </c>
      <c r="G11611" s="518" t="s">
        <v>4176</v>
      </c>
      <c r="J11611" s="635">
        <f t="shared" si="364"/>
        <v>0</v>
      </c>
    </row>
    <row r="11612" spans="6:10" hidden="1">
      <c r="F11612" s="527">
        <v>472</v>
      </c>
      <c r="G11612" s="518" t="s">
        <v>3819</v>
      </c>
      <c r="J11612" s="635">
        <f t="shared" si="364"/>
        <v>0</v>
      </c>
    </row>
    <row r="11613" spans="6:10" hidden="1">
      <c r="F11613" s="527">
        <v>481</v>
      </c>
      <c r="G11613" s="518" t="s">
        <v>4195</v>
      </c>
      <c r="J11613" s="635">
        <f t="shared" si="364"/>
        <v>0</v>
      </c>
    </row>
    <row r="11614" spans="6:10" hidden="1">
      <c r="F11614" s="527">
        <v>482</v>
      </c>
      <c r="G11614" s="518" t="s">
        <v>4196</v>
      </c>
      <c r="J11614" s="635">
        <f t="shared" si="364"/>
        <v>0</v>
      </c>
    </row>
    <row r="11615" spans="6:10" hidden="1">
      <c r="F11615" s="527">
        <v>483</v>
      </c>
      <c r="G11615" s="520" t="s">
        <v>4197</v>
      </c>
      <c r="J11615" s="635">
        <f t="shared" si="364"/>
        <v>0</v>
      </c>
    </row>
    <row r="11616" spans="6:10" ht="30" hidden="1">
      <c r="F11616" s="527">
        <v>484</v>
      </c>
      <c r="G11616" s="518" t="s">
        <v>4198</v>
      </c>
      <c r="J11616" s="635">
        <f t="shared" si="364"/>
        <v>0</v>
      </c>
    </row>
    <row r="11617" spans="6:10" ht="30" hidden="1">
      <c r="F11617" s="527">
        <v>485</v>
      </c>
      <c r="G11617" s="518" t="s">
        <v>4199</v>
      </c>
      <c r="J11617" s="635">
        <f t="shared" si="364"/>
        <v>0</v>
      </c>
    </row>
    <row r="11618" spans="6:10" ht="30" hidden="1">
      <c r="F11618" s="527">
        <v>489</v>
      </c>
      <c r="G11618" s="518" t="s">
        <v>3827</v>
      </c>
      <c r="J11618" s="635">
        <f t="shared" si="364"/>
        <v>0</v>
      </c>
    </row>
    <row r="11619" spans="6:10" hidden="1">
      <c r="F11619" s="527">
        <v>494</v>
      </c>
      <c r="G11619" s="518" t="s">
        <v>4177</v>
      </c>
      <c r="J11619" s="635">
        <f t="shared" si="364"/>
        <v>0</v>
      </c>
    </row>
    <row r="11620" spans="6:10" ht="30" hidden="1">
      <c r="F11620" s="527">
        <v>495</v>
      </c>
      <c r="G11620" s="518" t="s">
        <v>4178</v>
      </c>
      <c r="J11620" s="635">
        <f t="shared" si="364"/>
        <v>0</v>
      </c>
    </row>
    <row r="11621" spans="6:10" ht="30" hidden="1">
      <c r="F11621" s="527">
        <v>496</v>
      </c>
      <c r="G11621" s="518" t="s">
        <v>4179</v>
      </c>
      <c r="J11621" s="635">
        <f t="shared" si="364"/>
        <v>0</v>
      </c>
    </row>
    <row r="11622" spans="6:10" hidden="1">
      <c r="F11622" s="527">
        <v>499</v>
      </c>
      <c r="G11622" s="518" t="s">
        <v>4180</v>
      </c>
      <c r="J11622" s="635">
        <f t="shared" si="364"/>
        <v>0</v>
      </c>
    </row>
    <row r="11623" spans="6:10" hidden="1">
      <c r="F11623" s="527">
        <v>511</v>
      </c>
      <c r="G11623" s="520" t="s">
        <v>4200</v>
      </c>
      <c r="J11623" s="635">
        <f t="shared" si="364"/>
        <v>0</v>
      </c>
    </row>
    <row r="11624" spans="6:10" ht="15.75" hidden="1" thickBot="1">
      <c r="F11624" s="527">
        <v>512</v>
      </c>
      <c r="G11624" s="520" t="s">
        <v>4201</v>
      </c>
      <c r="J11624" s="635">
        <f t="shared" si="364"/>
        <v>0</v>
      </c>
    </row>
    <row r="11625" spans="6:10" ht="15.75" hidden="1" thickBot="1">
      <c r="F11625" s="527">
        <v>513</v>
      </c>
      <c r="G11625" s="520" t="s">
        <v>4202</v>
      </c>
      <c r="J11625" s="635">
        <f t="shared" si="364"/>
        <v>0</v>
      </c>
    </row>
    <row r="11626" spans="6:10" ht="15.75" hidden="1" thickBot="1">
      <c r="F11626" s="527">
        <v>514</v>
      </c>
      <c r="G11626" s="518" t="s">
        <v>4203</v>
      </c>
      <c r="J11626" s="635">
        <f t="shared" si="364"/>
        <v>0</v>
      </c>
    </row>
    <row r="11627" spans="6:10" ht="15.75" hidden="1" thickBot="1">
      <c r="F11627" s="527">
        <v>515</v>
      </c>
      <c r="G11627" s="518" t="s">
        <v>3838</v>
      </c>
      <c r="J11627" s="635">
        <f t="shared" si="364"/>
        <v>0</v>
      </c>
    </row>
    <row r="11628" spans="6:10" ht="15.75" hidden="1" thickBot="1">
      <c r="F11628" s="527">
        <v>521</v>
      </c>
      <c r="G11628" s="518" t="s">
        <v>4204</v>
      </c>
      <c r="J11628" s="635">
        <f t="shared" si="364"/>
        <v>0</v>
      </c>
    </row>
    <row r="11629" spans="6:10" ht="15.75" hidden="1" thickBot="1">
      <c r="F11629" s="527">
        <v>522</v>
      </c>
      <c r="G11629" s="518" t="s">
        <v>4205</v>
      </c>
      <c r="J11629" s="635">
        <f t="shared" si="364"/>
        <v>0</v>
      </c>
    </row>
    <row r="11630" spans="6:10" ht="15.75" hidden="1" thickBot="1">
      <c r="F11630" s="527">
        <v>523</v>
      </c>
      <c r="G11630" s="518" t="s">
        <v>3843</v>
      </c>
      <c r="J11630" s="635">
        <f t="shared" si="364"/>
        <v>0</v>
      </c>
    </row>
    <row r="11631" spans="6:10" ht="15.75" hidden="1" thickBot="1">
      <c r="F11631" s="527">
        <v>531</v>
      </c>
      <c r="G11631" s="515" t="s">
        <v>4181</v>
      </c>
      <c r="J11631" s="635">
        <f t="shared" si="364"/>
        <v>0</v>
      </c>
    </row>
    <row r="11632" spans="6:10" ht="15.75" hidden="1" thickBot="1">
      <c r="F11632" s="527">
        <v>541</v>
      </c>
      <c r="G11632" s="518" t="s">
        <v>4206</v>
      </c>
      <c r="J11632" s="635">
        <f t="shared" si="364"/>
        <v>0</v>
      </c>
    </row>
    <row r="11633" spans="5:10" ht="15.75" hidden="1" thickBot="1">
      <c r="F11633" s="527">
        <v>542</v>
      </c>
      <c r="G11633" s="518" t="s">
        <v>4207</v>
      </c>
      <c r="J11633" s="635">
        <f t="shared" si="364"/>
        <v>0</v>
      </c>
    </row>
    <row r="11634" spans="5:10" ht="15.75" hidden="1" thickBot="1">
      <c r="F11634" s="527">
        <v>543</v>
      </c>
      <c r="G11634" s="518" t="s">
        <v>3848</v>
      </c>
      <c r="J11634" s="635">
        <f t="shared" si="364"/>
        <v>0</v>
      </c>
    </row>
    <row r="11635" spans="5:10" ht="30.75" hidden="1" thickBot="1">
      <c r="F11635" s="527">
        <v>551</v>
      </c>
      <c r="G11635" s="518" t="s">
        <v>4182</v>
      </c>
      <c r="J11635" s="635">
        <f t="shared" si="364"/>
        <v>0</v>
      </c>
    </row>
    <row r="11636" spans="5:10" ht="15.75" hidden="1" thickBot="1">
      <c r="F11636" s="528">
        <v>611</v>
      </c>
      <c r="G11636" s="526" t="s">
        <v>3854</v>
      </c>
      <c r="J11636" s="635">
        <f t="shared" si="364"/>
        <v>0</v>
      </c>
    </row>
    <row r="11637" spans="5:10" ht="15.75" hidden="1" thickBot="1">
      <c r="F11637" s="528">
        <v>620</v>
      </c>
      <c r="G11637" s="526" t="s">
        <v>88</v>
      </c>
      <c r="J11637" s="635">
        <f t="shared" si="364"/>
        <v>0</v>
      </c>
    </row>
    <row r="11638" spans="5:10" hidden="1">
      <c r="E11638" s="516"/>
      <c r="F11638" s="528"/>
      <c r="G11638" s="372" t="s">
        <v>4439</v>
      </c>
      <c r="H11638" s="636"/>
      <c r="I11638" s="662"/>
      <c r="J11638" s="637"/>
    </row>
    <row r="11639" spans="5:10" hidden="1">
      <c r="E11639" s="267"/>
      <c r="F11639" s="294" t="s">
        <v>234</v>
      </c>
      <c r="G11639" s="297" t="s">
        <v>235</v>
      </c>
      <c r="H11639" s="638">
        <f>SUM(H11578:H11637)</f>
        <v>0</v>
      </c>
      <c r="I11639" s="639"/>
      <c r="J11639" s="639">
        <f t="shared" ref="J11639:J11654" si="365">SUM(H11639:I11639)</f>
        <v>0</v>
      </c>
    </row>
    <row r="11640" spans="5:10" hidden="1">
      <c r="F11640" s="294" t="s">
        <v>236</v>
      </c>
      <c r="G11640" s="297" t="s">
        <v>237</v>
      </c>
      <c r="J11640" s="639">
        <f t="shared" si="365"/>
        <v>0</v>
      </c>
    </row>
    <row r="11641" spans="5:10" hidden="1">
      <c r="F11641" s="294" t="s">
        <v>238</v>
      </c>
      <c r="G11641" s="297" t="s">
        <v>239</v>
      </c>
      <c r="J11641" s="639">
        <f t="shared" si="365"/>
        <v>0</v>
      </c>
    </row>
    <row r="11642" spans="5:10" ht="15.75" hidden="1" thickBot="1">
      <c r="F11642" s="294" t="s">
        <v>240</v>
      </c>
      <c r="G11642" s="297" t="s">
        <v>241</v>
      </c>
      <c r="J11642" s="639">
        <f t="shared" si="365"/>
        <v>0</v>
      </c>
    </row>
    <row r="11643" spans="5:10" ht="15.75" hidden="1" thickBot="1">
      <c r="F11643" s="294" t="s">
        <v>242</v>
      </c>
      <c r="G11643" s="297" t="s">
        <v>243</v>
      </c>
      <c r="J11643" s="639">
        <f t="shared" si="365"/>
        <v>0</v>
      </c>
    </row>
    <row r="11644" spans="5:10" ht="15.75" hidden="1" thickBot="1">
      <c r="F11644" s="294" t="s">
        <v>244</v>
      </c>
      <c r="G11644" s="297" t="s">
        <v>245</v>
      </c>
      <c r="J11644" s="639">
        <f t="shared" si="365"/>
        <v>0</v>
      </c>
    </row>
    <row r="11645" spans="5:10" ht="15.75" hidden="1" thickBot="1">
      <c r="F11645" s="294" t="s">
        <v>246</v>
      </c>
      <c r="G11645" s="683" t="s">
        <v>5121</v>
      </c>
      <c r="J11645" s="639">
        <f t="shared" si="365"/>
        <v>0</v>
      </c>
    </row>
    <row r="11646" spans="5:10" ht="15.75" hidden="1" thickBot="1">
      <c r="F11646" s="294" t="s">
        <v>247</v>
      </c>
      <c r="G11646" s="683" t="s">
        <v>5120</v>
      </c>
      <c r="J11646" s="639">
        <f t="shared" si="365"/>
        <v>0</v>
      </c>
    </row>
    <row r="11647" spans="5:10" ht="15.75" hidden="1" thickBot="1">
      <c r="F11647" s="294" t="s">
        <v>248</v>
      </c>
      <c r="G11647" s="297" t="s">
        <v>57</v>
      </c>
      <c r="J11647" s="639">
        <f t="shared" si="365"/>
        <v>0</v>
      </c>
    </row>
    <row r="11648" spans="5:10" ht="15.75" hidden="1" thickBot="1">
      <c r="F11648" s="294" t="s">
        <v>249</v>
      </c>
      <c r="G11648" s="297" t="s">
        <v>250</v>
      </c>
      <c r="J11648" s="639">
        <f t="shared" si="365"/>
        <v>0</v>
      </c>
    </row>
    <row r="11649" spans="5:10" ht="15.75" hidden="1" thickBot="1">
      <c r="F11649" s="294" t="s">
        <v>251</v>
      </c>
      <c r="G11649" s="297" t="s">
        <v>252</v>
      </c>
      <c r="J11649" s="639">
        <f t="shared" si="365"/>
        <v>0</v>
      </c>
    </row>
    <row r="11650" spans="5:10" ht="15.75" hidden="1" thickBot="1">
      <c r="F11650" s="294" t="s">
        <v>253</v>
      </c>
      <c r="G11650" s="297" t="s">
        <v>254</v>
      </c>
      <c r="J11650" s="639">
        <f t="shared" si="365"/>
        <v>0</v>
      </c>
    </row>
    <row r="11651" spans="5:10" ht="15.75" hidden="1" thickBot="1">
      <c r="F11651" s="294" t="s">
        <v>255</v>
      </c>
      <c r="G11651" s="297" t="s">
        <v>256</v>
      </c>
      <c r="J11651" s="639">
        <f t="shared" si="365"/>
        <v>0</v>
      </c>
    </row>
    <row r="11652" spans="5:10" ht="15.75" hidden="1" thickBot="1">
      <c r="F11652" s="294" t="s">
        <v>257</v>
      </c>
      <c r="G11652" s="297" t="s">
        <v>258</v>
      </c>
      <c r="J11652" s="639">
        <f t="shared" si="365"/>
        <v>0</v>
      </c>
    </row>
    <row r="11653" spans="5:10" ht="15.75" hidden="1" thickBot="1">
      <c r="F11653" s="294" t="s">
        <v>259</v>
      </c>
      <c r="G11653" s="297" t="s">
        <v>260</v>
      </c>
      <c r="J11653" s="639">
        <f t="shared" si="365"/>
        <v>0</v>
      </c>
    </row>
    <row r="11654" spans="5:10" ht="15.75" hidden="1" thickBot="1">
      <c r="F11654" s="294" t="s">
        <v>261</v>
      </c>
      <c r="G11654" s="297" t="s">
        <v>262</v>
      </c>
      <c r="H11654" s="638"/>
      <c r="I11654" s="639"/>
      <c r="J11654" s="639">
        <f t="shared" si="365"/>
        <v>0</v>
      </c>
    </row>
    <row r="11655" spans="5:10" ht="15.75" hidden="1" thickBot="1">
      <c r="G11655" s="274" t="s">
        <v>4440</v>
      </c>
      <c r="H11655" s="640">
        <f>SUM(H11639:H11654)</f>
        <v>0</v>
      </c>
      <c r="I11655" s="641">
        <f>SUM(I11640:I11654)</f>
        <v>0</v>
      </c>
      <c r="J11655" s="641">
        <f>SUM(J11639:J11654)</f>
        <v>0</v>
      </c>
    </row>
    <row r="11656" spans="5:10" hidden="1" collapsed="1">
      <c r="E11656" s="516"/>
      <c r="F11656" s="528"/>
      <c r="G11656" s="276" t="s">
        <v>4441</v>
      </c>
      <c r="H11656" s="642"/>
      <c r="I11656" s="663"/>
      <c r="J11656" s="643"/>
    </row>
    <row r="11657" spans="5:10" hidden="1">
      <c r="E11657" s="267"/>
      <c r="F11657" s="294" t="s">
        <v>234</v>
      </c>
      <c r="G11657" s="297" t="s">
        <v>235</v>
      </c>
      <c r="H11657" s="638">
        <f>SUM(H11578:H11637)</f>
        <v>0</v>
      </c>
      <c r="I11657" s="639"/>
      <c r="J11657" s="639">
        <f>SUM(H11657:I11657)</f>
        <v>0</v>
      </c>
    </row>
    <row r="11658" spans="5:10" hidden="1">
      <c r="F11658" s="294" t="s">
        <v>236</v>
      </c>
      <c r="G11658" s="297" t="s">
        <v>237</v>
      </c>
      <c r="J11658" s="639">
        <f t="shared" ref="J11658:J11672" si="366">SUM(H11658:I11658)</f>
        <v>0</v>
      </c>
    </row>
    <row r="11659" spans="5:10" hidden="1">
      <c r="F11659" s="294" t="s">
        <v>238</v>
      </c>
      <c r="G11659" s="297" t="s">
        <v>239</v>
      </c>
      <c r="J11659" s="639">
        <f t="shared" si="366"/>
        <v>0</v>
      </c>
    </row>
    <row r="11660" spans="5:10" ht="15.75" hidden="1" thickBot="1">
      <c r="F11660" s="294" t="s">
        <v>240</v>
      </c>
      <c r="G11660" s="297" t="s">
        <v>241</v>
      </c>
      <c r="J11660" s="639">
        <f t="shared" si="366"/>
        <v>0</v>
      </c>
    </row>
    <row r="11661" spans="5:10" ht="15.75" hidden="1" thickBot="1">
      <c r="F11661" s="294" t="s">
        <v>242</v>
      </c>
      <c r="G11661" s="297" t="s">
        <v>243</v>
      </c>
      <c r="J11661" s="639">
        <f t="shared" si="366"/>
        <v>0</v>
      </c>
    </row>
    <row r="11662" spans="5:10" ht="15.75" hidden="1" thickBot="1">
      <c r="F11662" s="294" t="s">
        <v>244</v>
      </c>
      <c r="G11662" s="297" t="s">
        <v>245</v>
      </c>
      <c r="J11662" s="639">
        <f t="shared" si="366"/>
        <v>0</v>
      </c>
    </row>
    <row r="11663" spans="5:10" ht="15.75" hidden="1" thickBot="1">
      <c r="F11663" s="294" t="s">
        <v>246</v>
      </c>
      <c r="G11663" s="683" t="s">
        <v>5121</v>
      </c>
      <c r="J11663" s="639">
        <f t="shared" si="366"/>
        <v>0</v>
      </c>
    </row>
    <row r="11664" spans="5:10" ht="15.75" hidden="1" thickBot="1">
      <c r="F11664" s="294" t="s">
        <v>247</v>
      </c>
      <c r="G11664" s="683" t="s">
        <v>5120</v>
      </c>
      <c r="J11664" s="639">
        <f t="shared" si="366"/>
        <v>0</v>
      </c>
    </row>
    <row r="11665" spans="3:10" ht="15.75" hidden="1" thickBot="1">
      <c r="F11665" s="294" t="s">
        <v>248</v>
      </c>
      <c r="G11665" s="297" t="s">
        <v>57</v>
      </c>
      <c r="J11665" s="639">
        <f t="shared" si="366"/>
        <v>0</v>
      </c>
    </row>
    <row r="11666" spans="3:10" ht="15.75" hidden="1" thickBot="1">
      <c r="F11666" s="294" t="s">
        <v>249</v>
      </c>
      <c r="G11666" s="297" t="s">
        <v>250</v>
      </c>
      <c r="J11666" s="639">
        <f t="shared" si="366"/>
        <v>0</v>
      </c>
    </row>
    <row r="11667" spans="3:10" ht="15.75" hidden="1" thickBot="1">
      <c r="F11667" s="294" t="s">
        <v>251</v>
      </c>
      <c r="G11667" s="297" t="s">
        <v>252</v>
      </c>
      <c r="J11667" s="639">
        <f t="shared" si="366"/>
        <v>0</v>
      </c>
    </row>
    <row r="11668" spans="3:10" ht="15.75" hidden="1" thickBot="1">
      <c r="F11668" s="294" t="s">
        <v>253</v>
      </c>
      <c r="G11668" s="297" t="s">
        <v>254</v>
      </c>
      <c r="J11668" s="639">
        <f t="shared" si="366"/>
        <v>0</v>
      </c>
    </row>
    <row r="11669" spans="3:10" ht="15.75" hidden="1" thickBot="1">
      <c r="F11669" s="294" t="s">
        <v>255</v>
      </c>
      <c r="G11669" s="297" t="s">
        <v>256</v>
      </c>
      <c r="J11669" s="639">
        <f t="shared" si="366"/>
        <v>0</v>
      </c>
    </row>
    <row r="11670" spans="3:10" ht="15.75" hidden="1" thickBot="1">
      <c r="F11670" s="294" t="s">
        <v>257</v>
      </c>
      <c r="G11670" s="297" t="s">
        <v>258</v>
      </c>
      <c r="J11670" s="639">
        <f t="shared" si="366"/>
        <v>0</v>
      </c>
    </row>
    <row r="11671" spans="3:10" ht="15.75" hidden="1" thickBot="1">
      <c r="F11671" s="294" t="s">
        <v>259</v>
      </c>
      <c r="G11671" s="297" t="s">
        <v>260</v>
      </c>
      <c r="J11671" s="639">
        <f t="shared" si="366"/>
        <v>0</v>
      </c>
    </row>
    <row r="11672" spans="3:10" ht="15.75" hidden="1" thickBot="1">
      <c r="F11672" s="294" t="s">
        <v>261</v>
      </c>
      <c r="G11672" s="297" t="s">
        <v>262</v>
      </c>
      <c r="H11672" s="638"/>
      <c r="I11672" s="639"/>
      <c r="J11672" s="639">
        <f t="shared" si="366"/>
        <v>0</v>
      </c>
    </row>
    <row r="11673" spans="3:10" ht="15.75" hidden="1" collapsed="1" thickBot="1">
      <c r="G11673" s="274" t="s">
        <v>4442</v>
      </c>
      <c r="H11673" s="640">
        <f>SUM(H11657:H11672)</f>
        <v>0</v>
      </c>
      <c r="I11673" s="641">
        <f>SUM(I11658:I11672)</f>
        <v>0</v>
      </c>
      <c r="J11673" s="641">
        <f>SUM(J11657:J11672)</f>
        <v>0</v>
      </c>
    </row>
    <row r="11674" spans="3:10" hidden="1"/>
    <row r="11675" spans="3:10" hidden="1">
      <c r="C11675" s="273" t="s">
        <v>4843</v>
      </c>
      <c r="D11675" s="264"/>
      <c r="G11675" s="519" t="s">
        <v>4240</v>
      </c>
    </row>
    <row r="11676" spans="3:10" hidden="1">
      <c r="C11676" s="273"/>
      <c r="D11676" s="357">
        <v>820</v>
      </c>
      <c r="E11676" s="357"/>
      <c r="F11676" s="357"/>
      <c r="G11676" s="358" t="s">
        <v>207</v>
      </c>
    </row>
    <row r="11677" spans="3:10" hidden="1">
      <c r="F11677" s="527">
        <v>411</v>
      </c>
      <c r="G11677" s="518" t="s">
        <v>4173</v>
      </c>
      <c r="J11677" s="635">
        <f>SUM(H11677:I11677)</f>
        <v>0</v>
      </c>
    </row>
    <row r="11678" spans="3:10" hidden="1">
      <c r="F11678" s="527">
        <v>412</v>
      </c>
      <c r="G11678" s="515" t="s">
        <v>3770</v>
      </c>
      <c r="J11678" s="635">
        <f t="shared" ref="J11678:J11736" si="367">SUM(H11678:I11678)</f>
        <v>0</v>
      </c>
    </row>
    <row r="11679" spans="3:10" hidden="1">
      <c r="F11679" s="527">
        <v>413</v>
      </c>
      <c r="G11679" s="518" t="s">
        <v>4174</v>
      </c>
      <c r="J11679" s="635">
        <f t="shared" si="367"/>
        <v>0</v>
      </c>
    </row>
    <row r="11680" spans="3:10" hidden="1">
      <c r="F11680" s="527">
        <v>414</v>
      </c>
      <c r="G11680" s="518" t="s">
        <v>3773</v>
      </c>
      <c r="J11680" s="635">
        <f t="shared" si="367"/>
        <v>0</v>
      </c>
    </row>
    <row r="11681" spans="6:10" hidden="1">
      <c r="F11681" s="527">
        <v>415</v>
      </c>
      <c r="G11681" s="518" t="s">
        <v>4183</v>
      </c>
      <c r="J11681" s="635">
        <f t="shared" si="367"/>
        <v>0</v>
      </c>
    </row>
    <row r="11682" spans="6:10" hidden="1">
      <c r="F11682" s="527">
        <v>416</v>
      </c>
      <c r="G11682" s="518" t="s">
        <v>4184</v>
      </c>
      <c r="J11682" s="635">
        <f t="shared" si="367"/>
        <v>0</v>
      </c>
    </row>
    <row r="11683" spans="6:10" hidden="1">
      <c r="F11683" s="527">
        <v>417</v>
      </c>
      <c r="G11683" s="518" t="s">
        <v>4185</v>
      </c>
      <c r="J11683" s="635">
        <f t="shared" si="367"/>
        <v>0</v>
      </c>
    </row>
    <row r="11684" spans="6:10" hidden="1">
      <c r="F11684" s="527">
        <v>418</v>
      </c>
      <c r="G11684" s="518" t="s">
        <v>3779</v>
      </c>
      <c r="J11684" s="635">
        <f t="shared" si="367"/>
        <v>0</v>
      </c>
    </row>
    <row r="11685" spans="6:10" hidden="1">
      <c r="F11685" s="527">
        <v>421</v>
      </c>
      <c r="G11685" s="518" t="s">
        <v>3783</v>
      </c>
      <c r="J11685" s="635">
        <f t="shared" si="367"/>
        <v>0</v>
      </c>
    </row>
    <row r="11686" spans="6:10" hidden="1">
      <c r="F11686" s="527">
        <v>422</v>
      </c>
      <c r="G11686" s="518" t="s">
        <v>3784</v>
      </c>
      <c r="J11686" s="635">
        <f t="shared" si="367"/>
        <v>0</v>
      </c>
    </row>
    <row r="11687" spans="6:10" hidden="1">
      <c r="F11687" s="527">
        <v>423</v>
      </c>
      <c r="G11687" s="518" t="s">
        <v>3785</v>
      </c>
      <c r="J11687" s="635">
        <f t="shared" si="367"/>
        <v>0</v>
      </c>
    </row>
    <row r="11688" spans="6:10" hidden="1">
      <c r="F11688" s="527">
        <v>424</v>
      </c>
      <c r="G11688" s="518" t="s">
        <v>3787</v>
      </c>
      <c r="J11688" s="635">
        <f t="shared" si="367"/>
        <v>0</v>
      </c>
    </row>
    <row r="11689" spans="6:10" hidden="1">
      <c r="F11689" s="527">
        <v>425</v>
      </c>
      <c r="G11689" s="518" t="s">
        <v>4186</v>
      </c>
      <c r="J11689" s="635">
        <f t="shared" si="367"/>
        <v>0</v>
      </c>
    </row>
    <row r="11690" spans="6:10" ht="15.75" hidden="1" thickBot="1">
      <c r="F11690" s="527">
        <v>426</v>
      </c>
      <c r="G11690" s="518" t="s">
        <v>3791</v>
      </c>
      <c r="J11690" s="635">
        <f t="shared" si="367"/>
        <v>0</v>
      </c>
    </row>
    <row r="11691" spans="6:10" ht="15.75" hidden="1" thickBot="1">
      <c r="F11691" s="527">
        <v>431</v>
      </c>
      <c r="G11691" s="518" t="s">
        <v>4187</v>
      </c>
      <c r="J11691" s="635">
        <f t="shared" si="367"/>
        <v>0</v>
      </c>
    </row>
    <row r="11692" spans="6:10" ht="15.75" hidden="1" thickBot="1">
      <c r="F11692" s="527">
        <v>432</v>
      </c>
      <c r="G11692" s="518" t="s">
        <v>4188</v>
      </c>
      <c r="J11692" s="635">
        <f t="shared" si="367"/>
        <v>0</v>
      </c>
    </row>
    <row r="11693" spans="6:10" ht="15.75" hidden="1" thickBot="1">
      <c r="F11693" s="527">
        <v>433</v>
      </c>
      <c r="G11693" s="518" t="s">
        <v>4189</v>
      </c>
      <c r="J11693" s="635">
        <f t="shared" si="367"/>
        <v>0</v>
      </c>
    </row>
    <row r="11694" spans="6:10" ht="15.75" hidden="1" thickBot="1">
      <c r="F11694" s="527">
        <v>434</v>
      </c>
      <c r="G11694" s="518" t="s">
        <v>4190</v>
      </c>
      <c r="J11694" s="635">
        <f t="shared" si="367"/>
        <v>0</v>
      </c>
    </row>
    <row r="11695" spans="6:10" ht="15.75" hidden="1" thickBot="1">
      <c r="F11695" s="527">
        <v>435</v>
      </c>
      <c r="G11695" s="518" t="s">
        <v>3798</v>
      </c>
      <c r="J11695" s="635">
        <f t="shared" si="367"/>
        <v>0</v>
      </c>
    </row>
    <row r="11696" spans="6:10" ht="15.75" hidden="1" thickBot="1">
      <c r="F11696" s="527">
        <v>441</v>
      </c>
      <c r="G11696" s="518" t="s">
        <v>4191</v>
      </c>
      <c r="J11696" s="635">
        <f t="shared" si="367"/>
        <v>0</v>
      </c>
    </row>
    <row r="11697" spans="6:10" ht="15.75" hidden="1" thickBot="1">
      <c r="F11697" s="527">
        <v>442</v>
      </c>
      <c r="G11697" s="518" t="s">
        <v>4192</v>
      </c>
      <c r="J11697" s="635">
        <f t="shared" si="367"/>
        <v>0</v>
      </c>
    </row>
    <row r="11698" spans="6:10" ht="15.75" hidden="1" thickBot="1">
      <c r="F11698" s="527">
        <v>443</v>
      </c>
      <c r="G11698" s="518" t="s">
        <v>3803</v>
      </c>
      <c r="J11698" s="635">
        <f t="shared" si="367"/>
        <v>0</v>
      </c>
    </row>
    <row r="11699" spans="6:10" ht="15.75" hidden="1" thickBot="1">
      <c r="F11699" s="527">
        <v>444</v>
      </c>
      <c r="G11699" s="518" t="s">
        <v>3804</v>
      </c>
      <c r="J11699" s="635">
        <f t="shared" si="367"/>
        <v>0</v>
      </c>
    </row>
    <row r="11700" spans="6:10" ht="30.75" hidden="1" thickBot="1">
      <c r="F11700" s="527">
        <v>4511</v>
      </c>
      <c r="G11700" s="268" t="s">
        <v>1690</v>
      </c>
      <c r="J11700" s="635">
        <f t="shared" si="367"/>
        <v>0</v>
      </c>
    </row>
    <row r="11701" spans="6:10" ht="30.75" hidden="1" thickBot="1">
      <c r="F11701" s="527">
        <v>4512</v>
      </c>
      <c r="G11701" s="268" t="s">
        <v>1699</v>
      </c>
      <c r="J11701" s="635">
        <f t="shared" si="367"/>
        <v>0</v>
      </c>
    </row>
    <row r="11702" spans="6:10" ht="15.75" hidden="1" thickBot="1">
      <c r="F11702" s="527">
        <v>452</v>
      </c>
      <c r="G11702" s="518" t="s">
        <v>4193</v>
      </c>
      <c r="J11702" s="635">
        <f t="shared" si="367"/>
        <v>0</v>
      </c>
    </row>
    <row r="11703" spans="6:10" ht="15.75" hidden="1" thickBot="1">
      <c r="F11703" s="527">
        <v>453</v>
      </c>
      <c r="G11703" s="518" t="s">
        <v>4194</v>
      </c>
      <c r="J11703" s="635">
        <f t="shared" si="367"/>
        <v>0</v>
      </c>
    </row>
    <row r="11704" spans="6:10" ht="15.75" hidden="1" thickBot="1">
      <c r="F11704" s="527">
        <v>454</v>
      </c>
      <c r="G11704" s="518" t="s">
        <v>3809</v>
      </c>
      <c r="J11704" s="635">
        <f t="shared" si="367"/>
        <v>0</v>
      </c>
    </row>
    <row r="11705" spans="6:10" ht="15.75" hidden="1" thickBot="1">
      <c r="F11705" s="527">
        <v>461</v>
      </c>
      <c r="G11705" s="518" t="s">
        <v>4175</v>
      </c>
      <c r="J11705" s="635">
        <f t="shared" si="367"/>
        <v>0</v>
      </c>
    </row>
    <row r="11706" spans="6:10" ht="15.75" hidden="1" thickBot="1">
      <c r="F11706" s="527">
        <v>462</v>
      </c>
      <c r="G11706" s="518" t="s">
        <v>3812</v>
      </c>
      <c r="J11706" s="635">
        <f t="shared" si="367"/>
        <v>0</v>
      </c>
    </row>
    <row r="11707" spans="6:10" ht="15.75" hidden="1" thickBot="1">
      <c r="F11707" s="527">
        <v>4631</v>
      </c>
      <c r="G11707" s="518" t="s">
        <v>3813</v>
      </c>
      <c r="J11707" s="635">
        <f t="shared" si="367"/>
        <v>0</v>
      </c>
    </row>
    <row r="11708" spans="6:10" ht="15.75" hidden="1" thickBot="1">
      <c r="F11708" s="527">
        <v>4632</v>
      </c>
      <c r="G11708" s="518" t="s">
        <v>3814</v>
      </c>
      <c r="J11708" s="635">
        <f t="shared" si="367"/>
        <v>0</v>
      </c>
    </row>
    <row r="11709" spans="6:10" ht="15.75" hidden="1" thickBot="1">
      <c r="F11709" s="527">
        <v>464</v>
      </c>
      <c r="G11709" s="518" t="s">
        <v>3815</v>
      </c>
      <c r="J11709" s="635">
        <f t="shared" si="367"/>
        <v>0</v>
      </c>
    </row>
    <row r="11710" spans="6:10" ht="15.75" hidden="1" thickBot="1">
      <c r="F11710" s="527">
        <v>465</v>
      </c>
      <c r="G11710" s="518" t="s">
        <v>4176</v>
      </c>
      <c r="J11710" s="635">
        <f t="shared" si="367"/>
        <v>0</v>
      </c>
    </row>
    <row r="11711" spans="6:10" ht="15.75" hidden="1" thickBot="1">
      <c r="F11711" s="527">
        <v>472</v>
      </c>
      <c r="G11711" s="518" t="s">
        <v>3819</v>
      </c>
      <c r="J11711" s="635">
        <f t="shared" si="367"/>
        <v>0</v>
      </c>
    </row>
    <row r="11712" spans="6:10" ht="15.75" hidden="1" thickBot="1">
      <c r="F11712" s="527">
        <v>481</v>
      </c>
      <c r="G11712" s="518" t="s">
        <v>4195</v>
      </c>
      <c r="J11712" s="635">
        <f t="shared" si="367"/>
        <v>0</v>
      </c>
    </row>
    <row r="11713" spans="6:10" ht="15.75" hidden="1" thickBot="1">
      <c r="F11713" s="527">
        <v>482</v>
      </c>
      <c r="G11713" s="518" t="s">
        <v>4196</v>
      </c>
      <c r="J11713" s="635">
        <f t="shared" si="367"/>
        <v>0</v>
      </c>
    </row>
    <row r="11714" spans="6:10" ht="15.75" hidden="1" thickBot="1">
      <c r="F11714" s="527">
        <v>483</v>
      </c>
      <c r="G11714" s="520" t="s">
        <v>4197</v>
      </c>
      <c r="J11714" s="635">
        <f t="shared" si="367"/>
        <v>0</v>
      </c>
    </row>
    <row r="11715" spans="6:10" ht="30.75" hidden="1" thickBot="1">
      <c r="F11715" s="527">
        <v>484</v>
      </c>
      <c r="G11715" s="518" t="s">
        <v>4198</v>
      </c>
      <c r="J11715" s="635">
        <f t="shared" si="367"/>
        <v>0</v>
      </c>
    </row>
    <row r="11716" spans="6:10" ht="30.75" hidden="1" thickBot="1">
      <c r="F11716" s="527">
        <v>485</v>
      </c>
      <c r="G11716" s="518" t="s">
        <v>4199</v>
      </c>
      <c r="J11716" s="635">
        <f t="shared" si="367"/>
        <v>0</v>
      </c>
    </row>
    <row r="11717" spans="6:10" ht="30.75" hidden="1" thickBot="1">
      <c r="F11717" s="527">
        <v>489</v>
      </c>
      <c r="G11717" s="518" t="s">
        <v>3827</v>
      </c>
      <c r="J11717" s="635">
        <f t="shared" si="367"/>
        <v>0</v>
      </c>
    </row>
    <row r="11718" spans="6:10" ht="15.75" hidden="1" thickBot="1">
      <c r="F11718" s="527">
        <v>494</v>
      </c>
      <c r="G11718" s="518" t="s">
        <v>4177</v>
      </c>
      <c r="J11718" s="635">
        <f t="shared" si="367"/>
        <v>0</v>
      </c>
    </row>
    <row r="11719" spans="6:10" ht="30.75" hidden="1" thickBot="1">
      <c r="F11719" s="527">
        <v>495</v>
      </c>
      <c r="G11719" s="518" t="s">
        <v>4178</v>
      </c>
      <c r="J11719" s="635">
        <f t="shared" si="367"/>
        <v>0</v>
      </c>
    </row>
    <row r="11720" spans="6:10" ht="30.75" hidden="1" thickBot="1">
      <c r="F11720" s="527">
        <v>496</v>
      </c>
      <c r="G11720" s="518" t="s">
        <v>4179</v>
      </c>
      <c r="J11720" s="635">
        <f t="shared" si="367"/>
        <v>0</v>
      </c>
    </row>
    <row r="11721" spans="6:10" ht="15.75" hidden="1" thickBot="1">
      <c r="F11721" s="527">
        <v>499</v>
      </c>
      <c r="G11721" s="518" t="s">
        <v>4180</v>
      </c>
      <c r="J11721" s="635">
        <f t="shared" si="367"/>
        <v>0</v>
      </c>
    </row>
    <row r="11722" spans="6:10" ht="15.75" hidden="1" thickBot="1">
      <c r="F11722" s="527">
        <v>511</v>
      </c>
      <c r="G11722" s="520" t="s">
        <v>4200</v>
      </c>
      <c r="J11722" s="635">
        <f t="shared" si="367"/>
        <v>0</v>
      </c>
    </row>
    <row r="11723" spans="6:10" ht="15.75" hidden="1" thickBot="1">
      <c r="F11723" s="527">
        <v>512</v>
      </c>
      <c r="G11723" s="520" t="s">
        <v>4201</v>
      </c>
      <c r="J11723" s="635">
        <f t="shared" si="367"/>
        <v>0</v>
      </c>
    </row>
    <row r="11724" spans="6:10" ht="15.75" hidden="1" thickBot="1">
      <c r="F11724" s="527">
        <v>513</v>
      </c>
      <c r="G11724" s="520" t="s">
        <v>4202</v>
      </c>
      <c r="J11724" s="635">
        <f t="shared" si="367"/>
        <v>0</v>
      </c>
    </row>
    <row r="11725" spans="6:10" ht="15.75" hidden="1" thickBot="1">
      <c r="F11725" s="527">
        <v>514</v>
      </c>
      <c r="G11725" s="518" t="s">
        <v>4203</v>
      </c>
      <c r="J11725" s="635">
        <f t="shared" si="367"/>
        <v>0</v>
      </c>
    </row>
    <row r="11726" spans="6:10" ht="15.75" hidden="1" thickBot="1">
      <c r="F11726" s="527">
        <v>515</v>
      </c>
      <c r="G11726" s="518" t="s">
        <v>3838</v>
      </c>
      <c r="J11726" s="635">
        <f t="shared" si="367"/>
        <v>0</v>
      </c>
    </row>
    <row r="11727" spans="6:10" ht="15.75" hidden="1" thickBot="1">
      <c r="F11727" s="527">
        <v>521</v>
      </c>
      <c r="G11727" s="518" t="s">
        <v>4204</v>
      </c>
      <c r="J11727" s="635">
        <f t="shared" si="367"/>
        <v>0</v>
      </c>
    </row>
    <row r="11728" spans="6:10" ht="15.75" hidden="1" thickBot="1">
      <c r="F11728" s="527">
        <v>522</v>
      </c>
      <c r="G11728" s="518" t="s">
        <v>4205</v>
      </c>
      <c r="J11728" s="635">
        <f t="shared" si="367"/>
        <v>0</v>
      </c>
    </row>
    <row r="11729" spans="5:10" ht="15.75" hidden="1" thickBot="1">
      <c r="F11729" s="527">
        <v>523</v>
      </c>
      <c r="G11729" s="518" t="s">
        <v>3843</v>
      </c>
      <c r="J11729" s="635">
        <f t="shared" si="367"/>
        <v>0</v>
      </c>
    </row>
    <row r="11730" spans="5:10" ht="15.75" hidden="1" thickBot="1">
      <c r="F11730" s="527">
        <v>531</v>
      </c>
      <c r="G11730" s="515" t="s">
        <v>4181</v>
      </c>
      <c r="J11730" s="635">
        <f t="shared" si="367"/>
        <v>0</v>
      </c>
    </row>
    <row r="11731" spans="5:10" ht="15.75" hidden="1" thickBot="1">
      <c r="F11731" s="527">
        <v>541</v>
      </c>
      <c r="G11731" s="518" t="s">
        <v>4206</v>
      </c>
      <c r="J11731" s="635">
        <f t="shared" si="367"/>
        <v>0</v>
      </c>
    </row>
    <row r="11732" spans="5:10" ht="15.75" hidden="1" thickBot="1">
      <c r="F11732" s="527">
        <v>542</v>
      </c>
      <c r="G11732" s="518" t="s">
        <v>4207</v>
      </c>
      <c r="J11732" s="635">
        <f t="shared" si="367"/>
        <v>0</v>
      </c>
    </row>
    <row r="11733" spans="5:10" ht="15.75" hidden="1" thickBot="1">
      <c r="F11733" s="527">
        <v>543</v>
      </c>
      <c r="G11733" s="518" t="s">
        <v>3848</v>
      </c>
      <c r="J11733" s="635">
        <f t="shared" si="367"/>
        <v>0</v>
      </c>
    </row>
    <row r="11734" spans="5:10" ht="30.75" hidden="1" thickBot="1">
      <c r="F11734" s="527">
        <v>551</v>
      </c>
      <c r="G11734" s="518" t="s">
        <v>4182</v>
      </c>
      <c r="J11734" s="635">
        <f t="shared" si="367"/>
        <v>0</v>
      </c>
    </row>
    <row r="11735" spans="5:10" ht="15.75" hidden="1" thickBot="1">
      <c r="F11735" s="528">
        <v>611</v>
      </c>
      <c r="G11735" s="526" t="s">
        <v>3854</v>
      </c>
      <c r="J11735" s="635">
        <f t="shared" si="367"/>
        <v>0</v>
      </c>
    </row>
    <row r="11736" spans="5:10" ht="15.75" hidden="1" thickBot="1">
      <c r="F11736" s="528">
        <v>620</v>
      </c>
      <c r="G11736" s="526" t="s">
        <v>88</v>
      </c>
      <c r="J11736" s="635">
        <f t="shared" si="367"/>
        <v>0</v>
      </c>
    </row>
    <row r="11737" spans="5:10" hidden="1">
      <c r="E11737" s="516"/>
      <c r="F11737" s="528"/>
      <c r="G11737" s="371" t="s">
        <v>4439</v>
      </c>
      <c r="H11737" s="636"/>
      <c r="I11737" s="662"/>
      <c r="J11737" s="637"/>
    </row>
    <row r="11738" spans="5:10" hidden="1">
      <c r="E11738" s="267"/>
      <c r="F11738" s="294" t="s">
        <v>234</v>
      </c>
      <c r="G11738" s="297" t="s">
        <v>235</v>
      </c>
      <c r="H11738" s="638">
        <f>SUM(H11677:H11736)</f>
        <v>0</v>
      </c>
      <c r="I11738" s="639"/>
      <c r="J11738" s="639">
        <f>SUM(H11738:I11738)</f>
        <v>0</v>
      </c>
    </row>
    <row r="11739" spans="5:10" hidden="1">
      <c r="F11739" s="294" t="s">
        <v>236</v>
      </c>
      <c r="G11739" s="297" t="s">
        <v>237</v>
      </c>
      <c r="J11739" s="639">
        <f t="shared" ref="J11739:J11753" si="368">SUM(H11739:I11739)</f>
        <v>0</v>
      </c>
    </row>
    <row r="11740" spans="5:10" hidden="1">
      <c r="F11740" s="294" t="s">
        <v>238</v>
      </c>
      <c r="G11740" s="297" t="s">
        <v>239</v>
      </c>
      <c r="J11740" s="639">
        <f t="shared" si="368"/>
        <v>0</v>
      </c>
    </row>
    <row r="11741" spans="5:10" ht="15.75" hidden="1" thickBot="1">
      <c r="F11741" s="294" t="s">
        <v>240</v>
      </c>
      <c r="G11741" s="297" t="s">
        <v>241</v>
      </c>
      <c r="J11741" s="639">
        <f t="shared" si="368"/>
        <v>0</v>
      </c>
    </row>
    <row r="11742" spans="5:10" ht="15.75" hidden="1" thickBot="1">
      <c r="F11742" s="294" t="s">
        <v>242</v>
      </c>
      <c r="G11742" s="297" t="s">
        <v>243</v>
      </c>
      <c r="J11742" s="639">
        <f t="shared" si="368"/>
        <v>0</v>
      </c>
    </row>
    <row r="11743" spans="5:10" ht="15.75" hidden="1" thickBot="1">
      <c r="F11743" s="294" t="s">
        <v>244</v>
      </c>
      <c r="G11743" s="297" t="s">
        <v>245</v>
      </c>
      <c r="J11743" s="639">
        <f t="shared" si="368"/>
        <v>0</v>
      </c>
    </row>
    <row r="11744" spans="5:10" ht="15.75" hidden="1" thickBot="1">
      <c r="F11744" s="294" t="s">
        <v>246</v>
      </c>
      <c r="G11744" s="683" t="s">
        <v>5121</v>
      </c>
      <c r="J11744" s="639">
        <f t="shared" si="368"/>
        <v>0</v>
      </c>
    </row>
    <row r="11745" spans="5:10" ht="15.75" hidden="1" thickBot="1">
      <c r="F11745" s="294" t="s">
        <v>247</v>
      </c>
      <c r="G11745" s="683" t="s">
        <v>5120</v>
      </c>
      <c r="J11745" s="639">
        <f t="shared" si="368"/>
        <v>0</v>
      </c>
    </row>
    <row r="11746" spans="5:10" ht="15.75" hidden="1" thickBot="1">
      <c r="F11746" s="294" t="s">
        <v>248</v>
      </c>
      <c r="G11746" s="297" t="s">
        <v>57</v>
      </c>
      <c r="J11746" s="639">
        <f t="shared" si="368"/>
        <v>0</v>
      </c>
    </row>
    <row r="11747" spans="5:10" ht="15.75" hidden="1" thickBot="1">
      <c r="F11747" s="294" t="s">
        <v>249</v>
      </c>
      <c r="G11747" s="297" t="s">
        <v>250</v>
      </c>
      <c r="J11747" s="639">
        <f t="shared" si="368"/>
        <v>0</v>
      </c>
    </row>
    <row r="11748" spans="5:10" ht="15.75" hidden="1" thickBot="1">
      <c r="F11748" s="294" t="s">
        <v>251</v>
      </c>
      <c r="G11748" s="297" t="s">
        <v>252</v>
      </c>
      <c r="J11748" s="639">
        <f t="shared" si="368"/>
        <v>0</v>
      </c>
    </row>
    <row r="11749" spans="5:10" ht="15.75" hidden="1" thickBot="1">
      <c r="F11749" s="294" t="s">
        <v>253</v>
      </c>
      <c r="G11749" s="297" t="s">
        <v>254</v>
      </c>
      <c r="J11749" s="639">
        <f t="shared" si="368"/>
        <v>0</v>
      </c>
    </row>
    <row r="11750" spans="5:10" ht="15.75" hidden="1" thickBot="1">
      <c r="F11750" s="294" t="s">
        <v>255</v>
      </c>
      <c r="G11750" s="297" t="s">
        <v>256</v>
      </c>
      <c r="J11750" s="639">
        <f t="shared" si="368"/>
        <v>0</v>
      </c>
    </row>
    <row r="11751" spans="5:10" ht="15.75" hidden="1" thickBot="1">
      <c r="F11751" s="294" t="s">
        <v>257</v>
      </c>
      <c r="G11751" s="297" t="s">
        <v>258</v>
      </c>
      <c r="J11751" s="639">
        <f t="shared" si="368"/>
        <v>0</v>
      </c>
    </row>
    <row r="11752" spans="5:10" ht="15.75" hidden="1" thickBot="1">
      <c r="F11752" s="294" t="s">
        <v>259</v>
      </c>
      <c r="G11752" s="297" t="s">
        <v>260</v>
      </c>
      <c r="J11752" s="639">
        <f t="shared" si="368"/>
        <v>0</v>
      </c>
    </row>
    <row r="11753" spans="5:10" ht="15.75" hidden="1" thickBot="1">
      <c r="F11753" s="294" t="s">
        <v>261</v>
      </c>
      <c r="G11753" s="297" t="s">
        <v>262</v>
      </c>
      <c r="H11753" s="638"/>
      <c r="I11753" s="639"/>
      <c r="J11753" s="639">
        <f t="shared" si="368"/>
        <v>0</v>
      </c>
    </row>
    <row r="11754" spans="5:10" ht="15.75" hidden="1" thickBot="1">
      <c r="G11754" s="274" t="s">
        <v>4440</v>
      </c>
      <c r="H11754" s="640">
        <f>SUM(H11738:H11753)</f>
        <v>0</v>
      </c>
      <c r="I11754" s="641">
        <f>SUM(I11739:I11753)</f>
        <v>0</v>
      </c>
      <c r="J11754" s="641">
        <f>SUM(J11738:J11753)</f>
        <v>0</v>
      </c>
    </row>
    <row r="11755" spans="5:10" hidden="1" collapsed="1">
      <c r="E11755" s="516"/>
      <c r="F11755" s="528"/>
      <c r="G11755" s="276" t="s">
        <v>5040</v>
      </c>
      <c r="H11755" s="642"/>
      <c r="I11755" s="663"/>
      <c r="J11755" s="643"/>
    </row>
    <row r="11756" spans="5:10" hidden="1">
      <c r="E11756" s="267"/>
      <c r="F11756" s="294" t="s">
        <v>234</v>
      </c>
      <c r="G11756" s="297" t="s">
        <v>235</v>
      </c>
      <c r="H11756" s="638">
        <f>SUM(H11677:H11736)</f>
        <v>0</v>
      </c>
      <c r="I11756" s="639"/>
      <c r="J11756" s="639">
        <f>SUM(H11756:I11756)</f>
        <v>0</v>
      </c>
    </row>
    <row r="11757" spans="5:10" hidden="1">
      <c r="F11757" s="294" t="s">
        <v>236</v>
      </c>
      <c r="G11757" s="297" t="s">
        <v>237</v>
      </c>
      <c r="J11757" s="639">
        <f t="shared" ref="J11757:J11771" si="369">SUM(H11757:I11757)</f>
        <v>0</v>
      </c>
    </row>
    <row r="11758" spans="5:10" hidden="1">
      <c r="F11758" s="294" t="s">
        <v>238</v>
      </c>
      <c r="G11758" s="297" t="s">
        <v>239</v>
      </c>
      <c r="J11758" s="639">
        <f t="shared" si="369"/>
        <v>0</v>
      </c>
    </row>
    <row r="11759" spans="5:10" ht="15.75" hidden="1" thickBot="1">
      <c r="F11759" s="294" t="s">
        <v>240</v>
      </c>
      <c r="G11759" s="297" t="s">
        <v>241</v>
      </c>
      <c r="J11759" s="639">
        <f t="shared" si="369"/>
        <v>0</v>
      </c>
    </row>
    <row r="11760" spans="5:10" ht="15.75" hidden="1" thickBot="1">
      <c r="F11760" s="294" t="s">
        <v>242</v>
      </c>
      <c r="G11760" s="297" t="s">
        <v>243</v>
      </c>
      <c r="J11760" s="639">
        <f t="shared" si="369"/>
        <v>0</v>
      </c>
    </row>
    <row r="11761" spans="5:10" ht="15.75" hidden="1" thickBot="1">
      <c r="F11761" s="294" t="s">
        <v>244</v>
      </c>
      <c r="G11761" s="297" t="s">
        <v>245</v>
      </c>
      <c r="J11761" s="639">
        <f t="shared" si="369"/>
        <v>0</v>
      </c>
    </row>
    <row r="11762" spans="5:10" ht="15.75" hidden="1" thickBot="1">
      <c r="F11762" s="294" t="s">
        <v>246</v>
      </c>
      <c r="G11762" s="683" t="s">
        <v>5121</v>
      </c>
      <c r="J11762" s="639">
        <f t="shared" si="369"/>
        <v>0</v>
      </c>
    </row>
    <row r="11763" spans="5:10" ht="15.75" hidden="1" thickBot="1">
      <c r="F11763" s="294" t="s">
        <v>247</v>
      </c>
      <c r="G11763" s="683" t="s">
        <v>5120</v>
      </c>
      <c r="J11763" s="639">
        <f t="shared" si="369"/>
        <v>0</v>
      </c>
    </row>
    <row r="11764" spans="5:10" ht="15.75" hidden="1" thickBot="1">
      <c r="F11764" s="294" t="s">
        <v>248</v>
      </c>
      <c r="G11764" s="297" t="s">
        <v>57</v>
      </c>
      <c r="J11764" s="639">
        <f t="shared" si="369"/>
        <v>0</v>
      </c>
    </row>
    <row r="11765" spans="5:10" ht="15.75" hidden="1" thickBot="1">
      <c r="F11765" s="294" t="s">
        <v>249</v>
      </c>
      <c r="G11765" s="297" t="s">
        <v>250</v>
      </c>
      <c r="J11765" s="639">
        <f t="shared" si="369"/>
        <v>0</v>
      </c>
    </row>
    <row r="11766" spans="5:10" ht="15.75" hidden="1" thickBot="1">
      <c r="F11766" s="294" t="s">
        <v>251</v>
      </c>
      <c r="G11766" s="297" t="s">
        <v>252</v>
      </c>
      <c r="J11766" s="639">
        <f t="shared" si="369"/>
        <v>0</v>
      </c>
    </row>
    <row r="11767" spans="5:10" ht="15.75" hidden="1" thickBot="1">
      <c r="F11767" s="294" t="s">
        <v>253</v>
      </c>
      <c r="G11767" s="297" t="s">
        <v>254</v>
      </c>
      <c r="J11767" s="639">
        <f t="shared" si="369"/>
        <v>0</v>
      </c>
    </row>
    <row r="11768" spans="5:10" ht="15.75" hidden="1" thickBot="1">
      <c r="F11768" s="294" t="s">
        <v>255</v>
      </c>
      <c r="G11768" s="297" t="s">
        <v>256</v>
      </c>
      <c r="J11768" s="639">
        <f t="shared" si="369"/>
        <v>0</v>
      </c>
    </row>
    <row r="11769" spans="5:10" ht="15.75" hidden="1" thickBot="1">
      <c r="F11769" s="294" t="s">
        <v>257</v>
      </c>
      <c r="G11769" s="297" t="s">
        <v>258</v>
      </c>
      <c r="J11769" s="639">
        <f t="shared" si="369"/>
        <v>0</v>
      </c>
    </row>
    <row r="11770" spans="5:10" ht="15.75" hidden="1" thickBot="1">
      <c r="F11770" s="294" t="s">
        <v>259</v>
      </c>
      <c r="G11770" s="297" t="s">
        <v>260</v>
      </c>
      <c r="J11770" s="639">
        <f t="shared" si="369"/>
        <v>0</v>
      </c>
    </row>
    <row r="11771" spans="5:10" ht="15.75" hidden="1" thickBot="1">
      <c r="F11771" s="294" t="s">
        <v>261</v>
      </c>
      <c r="G11771" s="297" t="s">
        <v>262</v>
      </c>
      <c r="H11771" s="638"/>
      <c r="I11771" s="639"/>
      <c r="J11771" s="639">
        <f t="shared" si="369"/>
        <v>0</v>
      </c>
    </row>
    <row r="11772" spans="5:10" ht="15.75" hidden="1" thickBot="1">
      <c r="G11772" s="274" t="s">
        <v>5027</v>
      </c>
      <c r="H11772" s="640">
        <f>SUM(H11756:H11771)</f>
        <v>0</v>
      </c>
      <c r="I11772" s="641">
        <f>SUM(I11757:I11771)</f>
        <v>0</v>
      </c>
      <c r="J11772" s="641">
        <f>SUM(J11756:J11771)</f>
        <v>0</v>
      </c>
    </row>
    <row r="11773" spans="5:10" hidden="1"/>
    <row r="11774" spans="5:10" hidden="1">
      <c r="E11774" s="516"/>
      <c r="F11774" s="528"/>
      <c r="G11774" s="295" t="s">
        <v>4329</v>
      </c>
      <c r="H11774" s="646"/>
      <c r="I11774" s="664"/>
      <c r="J11774" s="647"/>
    </row>
    <row r="11775" spans="5:10" hidden="1">
      <c r="E11775" s="267"/>
      <c r="F11775" s="294" t="s">
        <v>234</v>
      </c>
      <c r="G11775" s="297" t="s">
        <v>235</v>
      </c>
      <c r="H11775" s="638">
        <f>SUM(H11756,H11657)</f>
        <v>0</v>
      </c>
      <c r="I11775" s="639"/>
      <c r="J11775" s="639">
        <f>SUM(H11775:I11775)</f>
        <v>0</v>
      </c>
    </row>
    <row r="11776" spans="5:10" hidden="1">
      <c r="F11776" s="294" t="s">
        <v>236</v>
      </c>
      <c r="G11776" s="297" t="s">
        <v>237</v>
      </c>
      <c r="J11776" s="639">
        <f t="shared" ref="J11776:J11790" si="370">SUM(H11776:I11776)</f>
        <v>0</v>
      </c>
    </row>
    <row r="11777" spans="6:10" hidden="1">
      <c r="F11777" s="294" t="s">
        <v>238</v>
      </c>
      <c r="G11777" s="297" t="s">
        <v>239</v>
      </c>
      <c r="J11777" s="639">
        <f t="shared" si="370"/>
        <v>0</v>
      </c>
    </row>
    <row r="11778" spans="6:10" ht="15.75" hidden="1" thickBot="1">
      <c r="F11778" s="294" t="s">
        <v>240</v>
      </c>
      <c r="G11778" s="297" t="s">
        <v>241</v>
      </c>
      <c r="J11778" s="639">
        <f t="shared" si="370"/>
        <v>0</v>
      </c>
    </row>
    <row r="11779" spans="6:10" ht="15.75" hidden="1" thickBot="1">
      <c r="F11779" s="294" t="s">
        <v>242</v>
      </c>
      <c r="G11779" s="297" t="s">
        <v>243</v>
      </c>
      <c r="J11779" s="639">
        <f t="shared" si="370"/>
        <v>0</v>
      </c>
    </row>
    <row r="11780" spans="6:10" ht="15.75" hidden="1" thickBot="1">
      <c r="F11780" s="294" t="s">
        <v>244</v>
      </c>
      <c r="G11780" s="297" t="s">
        <v>245</v>
      </c>
      <c r="J11780" s="639">
        <f t="shared" si="370"/>
        <v>0</v>
      </c>
    </row>
    <row r="11781" spans="6:10" ht="15.75" hidden="1" thickBot="1">
      <c r="F11781" s="294" t="s">
        <v>246</v>
      </c>
      <c r="G11781" s="683" t="s">
        <v>5121</v>
      </c>
      <c r="J11781" s="639">
        <f t="shared" si="370"/>
        <v>0</v>
      </c>
    </row>
    <row r="11782" spans="6:10" ht="15.75" hidden="1" thickBot="1">
      <c r="F11782" s="294" t="s">
        <v>247</v>
      </c>
      <c r="G11782" s="683" t="s">
        <v>5120</v>
      </c>
      <c r="J11782" s="639">
        <f t="shared" si="370"/>
        <v>0</v>
      </c>
    </row>
    <row r="11783" spans="6:10" ht="15.75" hidden="1" thickBot="1">
      <c r="F11783" s="294" t="s">
        <v>248</v>
      </c>
      <c r="G11783" s="297" t="s">
        <v>57</v>
      </c>
      <c r="J11783" s="639">
        <f t="shared" si="370"/>
        <v>0</v>
      </c>
    </row>
    <row r="11784" spans="6:10" ht="15.75" hidden="1" thickBot="1">
      <c r="F11784" s="294" t="s">
        <v>249</v>
      </c>
      <c r="G11784" s="297" t="s">
        <v>250</v>
      </c>
      <c r="J11784" s="639">
        <f t="shared" si="370"/>
        <v>0</v>
      </c>
    </row>
    <row r="11785" spans="6:10" ht="15.75" hidden="1" thickBot="1">
      <c r="F11785" s="294" t="s">
        <v>251</v>
      </c>
      <c r="G11785" s="297" t="s">
        <v>252</v>
      </c>
      <c r="J11785" s="639">
        <f t="shared" si="370"/>
        <v>0</v>
      </c>
    </row>
    <row r="11786" spans="6:10" ht="15.75" hidden="1" thickBot="1">
      <c r="F11786" s="294" t="s">
        <v>253</v>
      </c>
      <c r="G11786" s="297" t="s">
        <v>254</v>
      </c>
      <c r="J11786" s="639">
        <f t="shared" si="370"/>
        <v>0</v>
      </c>
    </row>
    <row r="11787" spans="6:10" ht="15.75" hidden="1" thickBot="1">
      <c r="F11787" s="294" t="s">
        <v>255</v>
      </c>
      <c r="G11787" s="297" t="s">
        <v>256</v>
      </c>
      <c r="J11787" s="639">
        <f t="shared" si="370"/>
        <v>0</v>
      </c>
    </row>
    <row r="11788" spans="6:10" ht="15.75" hidden="1" thickBot="1">
      <c r="F11788" s="294" t="s">
        <v>257</v>
      </c>
      <c r="G11788" s="297" t="s">
        <v>258</v>
      </c>
      <c r="J11788" s="639">
        <f t="shared" si="370"/>
        <v>0</v>
      </c>
    </row>
    <row r="11789" spans="6:10" ht="15.75" hidden="1" thickBot="1">
      <c r="F11789" s="294" t="s">
        <v>259</v>
      </c>
      <c r="G11789" s="297" t="s">
        <v>260</v>
      </c>
      <c r="J11789" s="639">
        <f t="shared" si="370"/>
        <v>0</v>
      </c>
    </row>
    <row r="11790" spans="6:10" ht="15.75" hidden="1" thickBot="1">
      <c r="F11790" s="294" t="s">
        <v>261</v>
      </c>
      <c r="G11790" s="297" t="s">
        <v>262</v>
      </c>
      <c r="H11790" s="638"/>
      <c r="I11790" s="639"/>
      <c r="J11790" s="639">
        <f t="shared" si="370"/>
        <v>0</v>
      </c>
    </row>
    <row r="11791" spans="6:10" ht="15.75" hidden="1" thickBot="1">
      <c r="G11791" s="274" t="s">
        <v>4330</v>
      </c>
      <c r="H11791" s="640">
        <f>SUM(H11775:H11790)</f>
        <v>0</v>
      </c>
      <c r="I11791" s="641">
        <f>SUM(I11776:I11790)</f>
        <v>0</v>
      </c>
      <c r="J11791" s="641">
        <f>SUM(J11775:J11790)</f>
        <v>0</v>
      </c>
    </row>
    <row r="11792" spans="6:10" hidden="1"/>
    <row r="11793" spans="5:10" hidden="1">
      <c r="E11793" s="516"/>
      <c r="F11793" s="528"/>
      <c r="G11793" s="295" t="s">
        <v>5070</v>
      </c>
      <c r="H11793" s="646"/>
      <c r="I11793" s="664"/>
      <c r="J11793" s="647"/>
    </row>
    <row r="11794" spans="5:10" hidden="1">
      <c r="E11794" s="267"/>
      <c r="F11794" s="294" t="s">
        <v>234</v>
      </c>
      <c r="G11794" s="297" t="s">
        <v>235</v>
      </c>
      <c r="H11794" s="638">
        <f>SUM(H11775)</f>
        <v>0</v>
      </c>
      <c r="I11794" s="639"/>
      <c r="J11794" s="639">
        <f>SUM(H11794:I11794)</f>
        <v>0</v>
      </c>
    </row>
    <row r="11795" spans="5:10" hidden="1">
      <c r="F11795" s="294" t="s">
        <v>236</v>
      </c>
      <c r="G11795" s="297" t="s">
        <v>237</v>
      </c>
      <c r="J11795" s="639">
        <f t="shared" ref="J11795:J11809" si="371">SUM(H11795:I11795)</f>
        <v>0</v>
      </c>
    </row>
    <row r="11796" spans="5:10" hidden="1">
      <c r="F11796" s="294" t="s">
        <v>238</v>
      </c>
      <c r="G11796" s="297" t="s">
        <v>239</v>
      </c>
      <c r="J11796" s="639">
        <f t="shared" si="371"/>
        <v>0</v>
      </c>
    </row>
    <row r="11797" spans="5:10" ht="15.75" hidden="1" thickBot="1">
      <c r="F11797" s="294" t="s">
        <v>240</v>
      </c>
      <c r="G11797" s="297" t="s">
        <v>241</v>
      </c>
      <c r="J11797" s="639">
        <f t="shared" si="371"/>
        <v>0</v>
      </c>
    </row>
    <row r="11798" spans="5:10" ht="15.75" hidden="1" thickBot="1">
      <c r="F11798" s="294" t="s">
        <v>242</v>
      </c>
      <c r="G11798" s="297" t="s">
        <v>243</v>
      </c>
      <c r="J11798" s="639">
        <f t="shared" si="371"/>
        <v>0</v>
      </c>
    </row>
    <row r="11799" spans="5:10" ht="15.75" hidden="1" thickBot="1">
      <c r="F11799" s="294" t="s">
        <v>244</v>
      </c>
      <c r="G11799" s="297" t="s">
        <v>245</v>
      </c>
      <c r="J11799" s="639">
        <f t="shared" si="371"/>
        <v>0</v>
      </c>
    </row>
    <row r="11800" spans="5:10" ht="15.75" hidden="1" thickBot="1">
      <c r="F11800" s="294" t="s">
        <v>246</v>
      </c>
      <c r="G11800" s="683" t="s">
        <v>5121</v>
      </c>
      <c r="J11800" s="639">
        <f t="shared" si="371"/>
        <v>0</v>
      </c>
    </row>
    <row r="11801" spans="5:10" ht="15.75" hidden="1" thickBot="1">
      <c r="F11801" s="294" t="s">
        <v>247</v>
      </c>
      <c r="G11801" s="683" t="s">
        <v>5120</v>
      </c>
      <c r="J11801" s="639">
        <f t="shared" si="371"/>
        <v>0</v>
      </c>
    </row>
    <row r="11802" spans="5:10" ht="15.75" hidden="1" thickBot="1">
      <c r="F11802" s="294" t="s">
        <v>248</v>
      </c>
      <c r="G11802" s="297" t="s">
        <v>57</v>
      </c>
      <c r="J11802" s="639">
        <f t="shared" si="371"/>
        <v>0</v>
      </c>
    </row>
    <row r="11803" spans="5:10" ht="15.75" hidden="1" thickBot="1">
      <c r="F11803" s="294" t="s">
        <v>249</v>
      </c>
      <c r="G11803" s="297" t="s">
        <v>250</v>
      </c>
      <c r="J11803" s="639">
        <f t="shared" si="371"/>
        <v>0</v>
      </c>
    </row>
    <row r="11804" spans="5:10" ht="15.75" hidden="1" thickBot="1">
      <c r="F11804" s="294" t="s">
        <v>251</v>
      </c>
      <c r="G11804" s="297" t="s">
        <v>252</v>
      </c>
      <c r="J11804" s="639">
        <f t="shared" si="371"/>
        <v>0</v>
      </c>
    </row>
    <row r="11805" spans="5:10" ht="15.75" hidden="1" thickBot="1">
      <c r="F11805" s="294" t="s">
        <v>253</v>
      </c>
      <c r="G11805" s="297" t="s">
        <v>254</v>
      </c>
      <c r="J11805" s="639">
        <f t="shared" si="371"/>
        <v>0</v>
      </c>
    </row>
    <row r="11806" spans="5:10" ht="15.75" hidden="1" thickBot="1">
      <c r="F11806" s="294" t="s">
        <v>255</v>
      </c>
      <c r="G11806" s="297" t="s">
        <v>256</v>
      </c>
      <c r="J11806" s="639">
        <f t="shared" si="371"/>
        <v>0</v>
      </c>
    </row>
    <row r="11807" spans="5:10" ht="15.75" hidden="1" thickBot="1">
      <c r="F11807" s="294" t="s">
        <v>257</v>
      </c>
      <c r="G11807" s="297" t="s">
        <v>258</v>
      </c>
      <c r="J11807" s="639">
        <f t="shared" si="371"/>
        <v>0</v>
      </c>
    </row>
    <row r="11808" spans="5:10" ht="15.75" hidden="1" thickBot="1">
      <c r="F11808" s="294" t="s">
        <v>259</v>
      </c>
      <c r="G11808" s="297" t="s">
        <v>260</v>
      </c>
      <c r="J11808" s="639">
        <f t="shared" si="371"/>
        <v>0</v>
      </c>
    </row>
    <row r="11809" spans="1:13" ht="15.75" hidden="1" thickBot="1">
      <c r="F11809" s="294" t="s">
        <v>261</v>
      </c>
      <c r="G11809" s="297" t="s">
        <v>262</v>
      </c>
      <c r="H11809" s="638"/>
      <c r="I11809" s="639"/>
      <c r="J11809" s="639">
        <f t="shared" si="371"/>
        <v>0</v>
      </c>
    </row>
    <row r="11810" spans="1:13" ht="15.75" hidden="1" thickBot="1">
      <c r="G11810" s="274" t="s">
        <v>5071</v>
      </c>
      <c r="H11810" s="640">
        <f>SUM(H11794:H11809)</f>
        <v>0</v>
      </c>
      <c r="I11810" s="641">
        <f>SUM(I11795:I11809)</f>
        <v>0</v>
      </c>
      <c r="J11810" s="641">
        <f>SUM(J11794:J11809)</f>
        <v>0</v>
      </c>
    </row>
    <row r="11811" spans="1:13" hidden="1"/>
    <row r="11812" spans="1:13" hidden="1">
      <c r="A11812" s="521">
        <v>4</v>
      </c>
      <c r="B11812" s="522" t="s">
        <v>4347</v>
      </c>
      <c r="C11812" s="521" t="s">
        <v>4015</v>
      </c>
      <c r="D11812" s="523"/>
      <c r="E11812" s="524"/>
      <c r="F11812" s="524"/>
      <c r="G11812" s="525" t="s">
        <v>4328</v>
      </c>
      <c r="H11812" s="672"/>
      <c r="I11812" s="673"/>
      <c r="J11812" s="658"/>
      <c r="K11812" s="561"/>
      <c r="L11812" s="561"/>
      <c r="M11812" s="561"/>
    </row>
    <row r="11813" spans="1:13" ht="16.5" hidden="1" customHeight="1">
      <c r="C11813" s="273" t="s">
        <v>3594</v>
      </c>
      <c r="G11813" s="517" t="s">
        <v>4321</v>
      </c>
    </row>
    <row r="11814" spans="1:13" hidden="1">
      <c r="C11814" s="273" t="s">
        <v>4129</v>
      </c>
      <c r="D11814" s="264"/>
      <c r="G11814" s="517" t="s">
        <v>4322</v>
      </c>
    </row>
    <row r="11815" spans="1:13" hidden="1">
      <c r="C11815" s="273"/>
      <c r="D11815" s="357">
        <v>820</v>
      </c>
      <c r="E11815" s="357"/>
      <c r="F11815" s="357"/>
      <c r="G11815" s="358" t="s">
        <v>207</v>
      </c>
    </row>
    <row r="11816" spans="1:13" hidden="1">
      <c r="F11816" s="527">
        <v>411</v>
      </c>
      <c r="G11816" s="518" t="s">
        <v>4173</v>
      </c>
      <c r="J11816" s="635">
        <f>SUM(H11816:I11816)</f>
        <v>0</v>
      </c>
    </row>
    <row r="11817" spans="1:13" hidden="1">
      <c r="F11817" s="527">
        <v>412</v>
      </c>
      <c r="G11817" s="515" t="s">
        <v>3770</v>
      </c>
      <c r="J11817" s="635">
        <f t="shared" ref="J11817:J11875" si="372">SUM(H11817:I11817)</f>
        <v>0</v>
      </c>
    </row>
    <row r="11818" spans="1:13" hidden="1">
      <c r="F11818" s="527">
        <v>413</v>
      </c>
      <c r="G11818" s="518" t="s">
        <v>4174</v>
      </c>
      <c r="J11818" s="635">
        <f t="shared" si="372"/>
        <v>0</v>
      </c>
    </row>
    <row r="11819" spans="1:13" hidden="1">
      <c r="F11819" s="527">
        <v>414</v>
      </c>
      <c r="G11819" s="518" t="s">
        <v>3773</v>
      </c>
      <c r="J11819" s="635">
        <f t="shared" si="372"/>
        <v>0</v>
      </c>
    </row>
    <row r="11820" spans="1:13" hidden="1">
      <c r="F11820" s="527">
        <v>415</v>
      </c>
      <c r="G11820" s="518" t="s">
        <v>4183</v>
      </c>
      <c r="J11820" s="635">
        <f t="shared" si="372"/>
        <v>0</v>
      </c>
    </row>
    <row r="11821" spans="1:13" hidden="1">
      <c r="F11821" s="527">
        <v>416</v>
      </c>
      <c r="G11821" s="518" t="s">
        <v>4184</v>
      </c>
      <c r="J11821" s="635">
        <f t="shared" si="372"/>
        <v>0</v>
      </c>
    </row>
    <row r="11822" spans="1:13" hidden="1">
      <c r="F11822" s="527">
        <v>417</v>
      </c>
      <c r="G11822" s="518" t="s">
        <v>4185</v>
      </c>
      <c r="J11822" s="635">
        <f t="shared" si="372"/>
        <v>0</v>
      </c>
    </row>
    <row r="11823" spans="1:13" hidden="1">
      <c r="F11823" s="527">
        <v>418</v>
      </c>
      <c r="G11823" s="518" t="s">
        <v>3779</v>
      </c>
      <c r="J11823" s="635">
        <f t="shared" si="372"/>
        <v>0</v>
      </c>
    </row>
    <row r="11824" spans="1:13" hidden="1">
      <c r="F11824" s="527">
        <v>421</v>
      </c>
      <c r="G11824" s="518" t="s">
        <v>3783</v>
      </c>
      <c r="J11824" s="635">
        <f t="shared" si="372"/>
        <v>0</v>
      </c>
    </row>
    <row r="11825" spans="6:10" hidden="1">
      <c r="F11825" s="527">
        <v>422</v>
      </c>
      <c r="G11825" s="518" t="s">
        <v>3784</v>
      </c>
      <c r="J11825" s="635">
        <f t="shared" si="372"/>
        <v>0</v>
      </c>
    </row>
    <row r="11826" spans="6:10" hidden="1">
      <c r="F11826" s="527">
        <v>423</v>
      </c>
      <c r="G11826" s="518" t="s">
        <v>3785</v>
      </c>
      <c r="J11826" s="635">
        <f t="shared" si="372"/>
        <v>0</v>
      </c>
    </row>
    <row r="11827" spans="6:10" hidden="1">
      <c r="F11827" s="527">
        <v>424</v>
      </c>
      <c r="G11827" s="518" t="s">
        <v>3787</v>
      </c>
      <c r="J11827" s="635">
        <f t="shared" si="372"/>
        <v>0</v>
      </c>
    </row>
    <row r="11828" spans="6:10" hidden="1">
      <c r="F11828" s="527">
        <v>425</v>
      </c>
      <c r="G11828" s="518" t="s">
        <v>4186</v>
      </c>
      <c r="J11828" s="635">
        <f t="shared" si="372"/>
        <v>0</v>
      </c>
    </row>
    <row r="11829" spans="6:10" ht="15.75" hidden="1" thickBot="1">
      <c r="F11829" s="527">
        <v>426</v>
      </c>
      <c r="G11829" s="518" t="s">
        <v>3791</v>
      </c>
      <c r="J11829" s="635">
        <f t="shared" si="372"/>
        <v>0</v>
      </c>
    </row>
    <row r="11830" spans="6:10" ht="15.75" hidden="1" thickBot="1">
      <c r="F11830" s="527">
        <v>431</v>
      </c>
      <c r="G11830" s="518" t="s">
        <v>4187</v>
      </c>
      <c r="J11830" s="635">
        <f t="shared" si="372"/>
        <v>0</v>
      </c>
    </row>
    <row r="11831" spans="6:10" ht="15.75" hidden="1" thickBot="1">
      <c r="F11831" s="527">
        <v>432</v>
      </c>
      <c r="G11831" s="518" t="s">
        <v>4188</v>
      </c>
      <c r="J11831" s="635">
        <f t="shared" si="372"/>
        <v>0</v>
      </c>
    </row>
    <row r="11832" spans="6:10" ht="15.75" hidden="1" thickBot="1">
      <c r="F11832" s="527">
        <v>433</v>
      </c>
      <c r="G11832" s="518" t="s">
        <v>4189</v>
      </c>
      <c r="J11832" s="635">
        <f t="shared" si="372"/>
        <v>0</v>
      </c>
    </row>
    <row r="11833" spans="6:10" ht="15.75" hidden="1" thickBot="1">
      <c r="F11833" s="527">
        <v>434</v>
      </c>
      <c r="G11833" s="518" t="s">
        <v>4190</v>
      </c>
      <c r="J11833" s="635">
        <f t="shared" si="372"/>
        <v>0</v>
      </c>
    </row>
    <row r="11834" spans="6:10" ht="15.75" hidden="1" thickBot="1">
      <c r="F11834" s="527">
        <v>435</v>
      </c>
      <c r="G11834" s="518" t="s">
        <v>3798</v>
      </c>
      <c r="J11834" s="635">
        <f t="shared" si="372"/>
        <v>0</v>
      </c>
    </row>
    <row r="11835" spans="6:10" ht="15.75" hidden="1" thickBot="1">
      <c r="F11835" s="527">
        <v>441</v>
      </c>
      <c r="G11835" s="518" t="s">
        <v>4191</v>
      </c>
      <c r="J11835" s="635">
        <f t="shared" si="372"/>
        <v>0</v>
      </c>
    </row>
    <row r="11836" spans="6:10" ht="15.75" hidden="1" thickBot="1">
      <c r="F11836" s="527">
        <v>442</v>
      </c>
      <c r="G11836" s="518" t="s">
        <v>4192</v>
      </c>
      <c r="J11836" s="635">
        <f t="shared" si="372"/>
        <v>0</v>
      </c>
    </row>
    <row r="11837" spans="6:10" ht="15.75" hidden="1" thickBot="1">
      <c r="F11837" s="527">
        <v>443</v>
      </c>
      <c r="G11837" s="518" t="s">
        <v>3803</v>
      </c>
      <c r="J11837" s="635">
        <f t="shared" si="372"/>
        <v>0</v>
      </c>
    </row>
    <row r="11838" spans="6:10" ht="15.75" hidden="1" thickBot="1">
      <c r="F11838" s="527">
        <v>444</v>
      </c>
      <c r="G11838" s="518" t="s">
        <v>3804</v>
      </c>
      <c r="J11838" s="635">
        <f t="shared" si="372"/>
        <v>0</v>
      </c>
    </row>
    <row r="11839" spans="6:10" ht="30.75" hidden="1" thickBot="1">
      <c r="F11839" s="527">
        <v>4511</v>
      </c>
      <c r="G11839" s="268" t="s">
        <v>1690</v>
      </c>
      <c r="J11839" s="635">
        <f t="shared" si="372"/>
        <v>0</v>
      </c>
    </row>
    <row r="11840" spans="6:10" ht="19.5" hidden="1" customHeight="1">
      <c r="F11840" s="527">
        <v>4512</v>
      </c>
      <c r="G11840" s="268" t="s">
        <v>1699</v>
      </c>
      <c r="J11840" s="635">
        <f t="shared" si="372"/>
        <v>0</v>
      </c>
    </row>
    <row r="11841" spans="6:10" ht="15.75" hidden="1" thickBot="1">
      <c r="F11841" s="527">
        <v>452</v>
      </c>
      <c r="G11841" s="518" t="s">
        <v>4193</v>
      </c>
      <c r="J11841" s="635">
        <f t="shared" si="372"/>
        <v>0</v>
      </c>
    </row>
    <row r="11842" spans="6:10" ht="15.75" hidden="1" thickBot="1">
      <c r="F11842" s="527">
        <v>453</v>
      </c>
      <c r="G11842" s="518" t="s">
        <v>4194</v>
      </c>
      <c r="J11842" s="635">
        <f t="shared" si="372"/>
        <v>0</v>
      </c>
    </row>
    <row r="11843" spans="6:10" ht="15.75" hidden="1" thickBot="1">
      <c r="F11843" s="527">
        <v>454</v>
      </c>
      <c r="G11843" s="518" t="s">
        <v>3809</v>
      </c>
      <c r="J11843" s="635">
        <f t="shared" si="372"/>
        <v>0</v>
      </c>
    </row>
    <row r="11844" spans="6:10" ht="15.75" hidden="1" thickBot="1">
      <c r="F11844" s="527">
        <v>461</v>
      </c>
      <c r="G11844" s="518" t="s">
        <v>4175</v>
      </c>
      <c r="J11844" s="635">
        <f t="shared" si="372"/>
        <v>0</v>
      </c>
    </row>
    <row r="11845" spans="6:10" ht="15.75" hidden="1" thickBot="1">
      <c r="F11845" s="527">
        <v>462</v>
      </c>
      <c r="G11845" s="518" t="s">
        <v>3812</v>
      </c>
      <c r="J11845" s="635">
        <f t="shared" si="372"/>
        <v>0</v>
      </c>
    </row>
    <row r="11846" spans="6:10" ht="15.75" hidden="1" thickBot="1">
      <c r="F11846" s="527">
        <v>4631</v>
      </c>
      <c r="G11846" s="518" t="s">
        <v>3813</v>
      </c>
      <c r="J11846" s="635">
        <f t="shared" si="372"/>
        <v>0</v>
      </c>
    </row>
    <row r="11847" spans="6:10" ht="15.75" hidden="1" thickBot="1">
      <c r="F11847" s="527">
        <v>4632</v>
      </c>
      <c r="G11847" s="518" t="s">
        <v>3814</v>
      </c>
      <c r="J11847" s="635">
        <f t="shared" si="372"/>
        <v>0</v>
      </c>
    </row>
    <row r="11848" spans="6:10" ht="15.75" hidden="1" thickBot="1">
      <c r="F11848" s="527">
        <v>464</v>
      </c>
      <c r="G11848" s="518" t="s">
        <v>3815</v>
      </c>
      <c r="J11848" s="635">
        <f t="shared" si="372"/>
        <v>0</v>
      </c>
    </row>
    <row r="11849" spans="6:10" ht="15.75" hidden="1" thickBot="1">
      <c r="F11849" s="527">
        <v>465</v>
      </c>
      <c r="G11849" s="518" t="s">
        <v>4176</v>
      </c>
      <c r="J11849" s="635">
        <f t="shared" si="372"/>
        <v>0</v>
      </c>
    </row>
    <row r="11850" spans="6:10" ht="15.75" hidden="1" thickBot="1">
      <c r="F11850" s="527">
        <v>472</v>
      </c>
      <c r="G11850" s="518" t="s">
        <v>3819</v>
      </c>
      <c r="J11850" s="635">
        <f t="shared" si="372"/>
        <v>0</v>
      </c>
    </row>
    <row r="11851" spans="6:10" ht="15.75" hidden="1" thickBot="1">
      <c r="F11851" s="527">
        <v>481</v>
      </c>
      <c r="G11851" s="518" t="s">
        <v>4195</v>
      </c>
      <c r="J11851" s="635">
        <f t="shared" si="372"/>
        <v>0</v>
      </c>
    </row>
    <row r="11852" spans="6:10" ht="15.75" hidden="1" thickBot="1">
      <c r="F11852" s="527">
        <v>482</v>
      </c>
      <c r="G11852" s="518" t="s">
        <v>4196</v>
      </c>
      <c r="J11852" s="635">
        <f t="shared" si="372"/>
        <v>0</v>
      </c>
    </row>
    <row r="11853" spans="6:10" ht="15.75" hidden="1" thickBot="1">
      <c r="F11853" s="527">
        <v>483</v>
      </c>
      <c r="G11853" s="520" t="s">
        <v>4197</v>
      </c>
      <c r="J11853" s="635">
        <f t="shared" si="372"/>
        <v>0</v>
      </c>
    </row>
    <row r="11854" spans="6:10" ht="30.75" hidden="1" thickBot="1">
      <c r="F11854" s="527">
        <v>484</v>
      </c>
      <c r="G11854" s="518" t="s">
        <v>4198</v>
      </c>
      <c r="J11854" s="635">
        <f t="shared" si="372"/>
        <v>0</v>
      </c>
    </row>
    <row r="11855" spans="6:10" ht="30.75" hidden="1" thickBot="1">
      <c r="F11855" s="527">
        <v>485</v>
      </c>
      <c r="G11855" s="518" t="s">
        <v>4199</v>
      </c>
      <c r="J11855" s="635">
        <f t="shared" si="372"/>
        <v>0</v>
      </c>
    </row>
    <row r="11856" spans="6:10" ht="30.75" hidden="1" thickBot="1">
      <c r="F11856" s="527">
        <v>489</v>
      </c>
      <c r="G11856" s="518" t="s">
        <v>3827</v>
      </c>
      <c r="J11856" s="635">
        <f t="shared" si="372"/>
        <v>0</v>
      </c>
    </row>
    <row r="11857" spans="6:10" ht="15.75" hidden="1" thickBot="1">
      <c r="F11857" s="527">
        <v>494</v>
      </c>
      <c r="G11857" s="518" t="s">
        <v>4177</v>
      </c>
      <c r="J11857" s="635">
        <f t="shared" si="372"/>
        <v>0</v>
      </c>
    </row>
    <row r="11858" spans="6:10" ht="30.75" hidden="1" thickBot="1">
      <c r="F11858" s="527">
        <v>495</v>
      </c>
      <c r="G11858" s="518" t="s">
        <v>4178</v>
      </c>
      <c r="J11858" s="635">
        <f t="shared" si="372"/>
        <v>0</v>
      </c>
    </row>
    <row r="11859" spans="6:10" ht="30.75" hidden="1" thickBot="1">
      <c r="F11859" s="527">
        <v>496</v>
      </c>
      <c r="G11859" s="518" t="s">
        <v>4179</v>
      </c>
      <c r="J11859" s="635">
        <f t="shared" si="372"/>
        <v>0</v>
      </c>
    </row>
    <row r="11860" spans="6:10" ht="15.75" hidden="1" thickBot="1">
      <c r="F11860" s="527">
        <v>499</v>
      </c>
      <c r="G11860" s="518" t="s">
        <v>4180</v>
      </c>
      <c r="J11860" s="635">
        <f t="shared" si="372"/>
        <v>0</v>
      </c>
    </row>
    <row r="11861" spans="6:10" ht="15.75" hidden="1" thickBot="1">
      <c r="F11861" s="527">
        <v>511</v>
      </c>
      <c r="G11861" s="520" t="s">
        <v>4200</v>
      </c>
      <c r="J11861" s="635">
        <f t="shared" si="372"/>
        <v>0</v>
      </c>
    </row>
    <row r="11862" spans="6:10" ht="15.75" hidden="1" thickBot="1">
      <c r="F11862" s="527">
        <v>512</v>
      </c>
      <c r="G11862" s="520" t="s">
        <v>4201</v>
      </c>
      <c r="J11862" s="635">
        <f t="shared" si="372"/>
        <v>0</v>
      </c>
    </row>
    <row r="11863" spans="6:10" ht="15.75" hidden="1" thickBot="1">
      <c r="F11863" s="527">
        <v>513</v>
      </c>
      <c r="G11863" s="520" t="s">
        <v>4202</v>
      </c>
      <c r="J11863" s="635">
        <f t="shared" si="372"/>
        <v>0</v>
      </c>
    </row>
    <row r="11864" spans="6:10" ht="15.75" hidden="1" thickBot="1">
      <c r="F11864" s="527">
        <v>514</v>
      </c>
      <c r="G11864" s="518" t="s">
        <v>4203</v>
      </c>
      <c r="J11864" s="635">
        <f t="shared" si="372"/>
        <v>0</v>
      </c>
    </row>
    <row r="11865" spans="6:10" ht="15.75" hidden="1" thickBot="1">
      <c r="F11865" s="527">
        <v>515</v>
      </c>
      <c r="G11865" s="518" t="s">
        <v>3838</v>
      </c>
      <c r="J11865" s="635">
        <f t="shared" si="372"/>
        <v>0</v>
      </c>
    </row>
    <row r="11866" spans="6:10" ht="15.75" hidden="1" thickBot="1">
      <c r="F11866" s="527">
        <v>521</v>
      </c>
      <c r="G11866" s="518" t="s">
        <v>4204</v>
      </c>
      <c r="J11866" s="635">
        <f t="shared" si="372"/>
        <v>0</v>
      </c>
    </row>
    <row r="11867" spans="6:10" ht="15.75" hidden="1" thickBot="1">
      <c r="F11867" s="527">
        <v>522</v>
      </c>
      <c r="G11867" s="518" t="s">
        <v>4205</v>
      </c>
      <c r="J11867" s="635">
        <f t="shared" si="372"/>
        <v>0</v>
      </c>
    </row>
    <row r="11868" spans="6:10" ht="15.75" hidden="1" thickBot="1">
      <c r="F11868" s="527">
        <v>523</v>
      </c>
      <c r="G11868" s="518" t="s">
        <v>3843</v>
      </c>
      <c r="J11868" s="635">
        <f t="shared" si="372"/>
        <v>0</v>
      </c>
    </row>
    <row r="11869" spans="6:10" ht="15.75" hidden="1" thickBot="1">
      <c r="F11869" s="527">
        <v>531</v>
      </c>
      <c r="G11869" s="515" t="s">
        <v>4181</v>
      </c>
      <c r="J11869" s="635">
        <f t="shared" si="372"/>
        <v>0</v>
      </c>
    </row>
    <row r="11870" spans="6:10" ht="15.75" hidden="1" thickBot="1">
      <c r="F11870" s="527">
        <v>541</v>
      </c>
      <c r="G11870" s="518" t="s">
        <v>4206</v>
      </c>
      <c r="J11870" s="635">
        <f t="shared" si="372"/>
        <v>0</v>
      </c>
    </row>
    <row r="11871" spans="6:10" ht="15.75" hidden="1" thickBot="1">
      <c r="F11871" s="527">
        <v>542</v>
      </c>
      <c r="G11871" s="518" t="s">
        <v>4207</v>
      </c>
      <c r="J11871" s="635">
        <f t="shared" si="372"/>
        <v>0</v>
      </c>
    </row>
    <row r="11872" spans="6:10" ht="15.75" hidden="1" thickBot="1">
      <c r="F11872" s="527">
        <v>543</v>
      </c>
      <c r="G11872" s="518" t="s">
        <v>3848</v>
      </c>
      <c r="J11872" s="635">
        <f t="shared" si="372"/>
        <v>0</v>
      </c>
    </row>
    <row r="11873" spans="5:10" ht="30.75" hidden="1" thickBot="1">
      <c r="F11873" s="527">
        <v>551</v>
      </c>
      <c r="G11873" s="518" t="s">
        <v>4182</v>
      </c>
      <c r="J11873" s="635">
        <f t="shared" si="372"/>
        <v>0</v>
      </c>
    </row>
    <row r="11874" spans="5:10" ht="15.75" hidden="1" thickBot="1">
      <c r="F11874" s="528">
        <v>611</v>
      </c>
      <c r="G11874" s="526" t="s">
        <v>3854</v>
      </c>
      <c r="J11874" s="635">
        <f t="shared" si="372"/>
        <v>0</v>
      </c>
    </row>
    <row r="11875" spans="5:10" ht="15.75" hidden="1" thickBot="1">
      <c r="F11875" s="528">
        <v>620</v>
      </c>
      <c r="G11875" s="526" t="s">
        <v>88</v>
      </c>
      <c r="J11875" s="635">
        <f t="shared" si="372"/>
        <v>0</v>
      </c>
    </row>
    <row r="11876" spans="5:10" hidden="1">
      <c r="E11876" s="516"/>
      <c r="F11876" s="528"/>
      <c r="G11876" s="372" t="s">
        <v>4439</v>
      </c>
      <c r="H11876" s="636"/>
      <c r="I11876" s="662"/>
      <c r="J11876" s="637"/>
    </row>
    <row r="11877" spans="5:10" hidden="1">
      <c r="E11877" s="267"/>
      <c r="F11877" s="294" t="s">
        <v>234</v>
      </c>
      <c r="G11877" s="297" t="s">
        <v>235</v>
      </c>
      <c r="H11877" s="638">
        <f>SUM(H11816:H11875)</f>
        <v>0</v>
      </c>
      <c r="I11877" s="639"/>
      <c r="J11877" s="639">
        <f t="shared" ref="J11877:J11892" si="373">SUM(H11877:I11877)</f>
        <v>0</v>
      </c>
    </row>
    <row r="11878" spans="5:10" hidden="1">
      <c r="F11878" s="294" t="s">
        <v>236</v>
      </c>
      <c r="G11878" s="297" t="s">
        <v>237</v>
      </c>
      <c r="J11878" s="639">
        <f t="shared" si="373"/>
        <v>0</v>
      </c>
    </row>
    <row r="11879" spans="5:10" hidden="1">
      <c r="F11879" s="294" t="s">
        <v>238</v>
      </c>
      <c r="G11879" s="297" t="s">
        <v>239</v>
      </c>
      <c r="J11879" s="639">
        <f t="shared" si="373"/>
        <v>0</v>
      </c>
    </row>
    <row r="11880" spans="5:10" ht="15.75" hidden="1" thickBot="1">
      <c r="F11880" s="294" t="s">
        <v>240</v>
      </c>
      <c r="G11880" s="297" t="s">
        <v>241</v>
      </c>
      <c r="J11880" s="639">
        <f t="shared" si="373"/>
        <v>0</v>
      </c>
    </row>
    <row r="11881" spans="5:10" ht="15.75" hidden="1" thickBot="1">
      <c r="F11881" s="294" t="s">
        <v>242</v>
      </c>
      <c r="G11881" s="297" t="s">
        <v>243</v>
      </c>
      <c r="J11881" s="639">
        <f t="shared" si="373"/>
        <v>0</v>
      </c>
    </row>
    <row r="11882" spans="5:10" ht="15.75" hidden="1" thickBot="1">
      <c r="F11882" s="294" t="s">
        <v>244</v>
      </c>
      <c r="G11882" s="297" t="s">
        <v>245</v>
      </c>
      <c r="J11882" s="639">
        <f t="shared" si="373"/>
        <v>0</v>
      </c>
    </row>
    <row r="11883" spans="5:10" ht="15.75" hidden="1" thickBot="1">
      <c r="F11883" s="294" t="s">
        <v>246</v>
      </c>
      <c r="G11883" s="683" t="s">
        <v>5121</v>
      </c>
      <c r="J11883" s="639">
        <f t="shared" si="373"/>
        <v>0</v>
      </c>
    </row>
    <row r="11884" spans="5:10" ht="15.75" hidden="1" thickBot="1">
      <c r="F11884" s="294" t="s">
        <v>247</v>
      </c>
      <c r="G11884" s="683" t="s">
        <v>5120</v>
      </c>
      <c r="J11884" s="639">
        <f t="shared" si="373"/>
        <v>0</v>
      </c>
    </row>
    <row r="11885" spans="5:10" ht="15.75" hidden="1" thickBot="1">
      <c r="F11885" s="294" t="s">
        <v>248</v>
      </c>
      <c r="G11885" s="297" t="s">
        <v>57</v>
      </c>
      <c r="J11885" s="639">
        <f t="shared" si="373"/>
        <v>0</v>
      </c>
    </row>
    <row r="11886" spans="5:10" ht="15.75" hidden="1" thickBot="1">
      <c r="F11886" s="294" t="s">
        <v>249</v>
      </c>
      <c r="G11886" s="297" t="s">
        <v>250</v>
      </c>
      <c r="J11886" s="639">
        <f t="shared" si="373"/>
        <v>0</v>
      </c>
    </row>
    <row r="11887" spans="5:10" ht="15.75" hidden="1" thickBot="1">
      <c r="F11887" s="294" t="s">
        <v>251</v>
      </c>
      <c r="G11887" s="297" t="s">
        <v>252</v>
      </c>
      <c r="J11887" s="639">
        <f t="shared" si="373"/>
        <v>0</v>
      </c>
    </row>
    <row r="11888" spans="5:10" ht="15.75" hidden="1" thickBot="1">
      <c r="F11888" s="294" t="s">
        <v>253</v>
      </c>
      <c r="G11888" s="297" t="s">
        <v>254</v>
      </c>
      <c r="J11888" s="639">
        <f t="shared" si="373"/>
        <v>0</v>
      </c>
    </row>
    <row r="11889" spans="5:10" ht="15.75" hidden="1" thickBot="1">
      <c r="F11889" s="294" t="s">
        <v>255</v>
      </c>
      <c r="G11889" s="297" t="s">
        <v>256</v>
      </c>
      <c r="J11889" s="639">
        <f t="shared" si="373"/>
        <v>0</v>
      </c>
    </row>
    <row r="11890" spans="5:10" ht="15.75" hidden="1" thickBot="1">
      <c r="F11890" s="294" t="s">
        <v>257</v>
      </c>
      <c r="G11890" s="297" t="s">
        <v>258</v>
      </c>
      <c r="J11890" s="639">
        <f t="shared" si="373"/>
        <v>0</v>
      </c>
    </row>
    <row r="11891" spans="5:10" ht="15.75" hidden="1" thickBot="1">
      <c r="F11891" s="294" t="s">
        <v>259</v>
      </c>
      <c r="G11891" s="297" t="s">
        <v>260</v>
      </c>
      <c r="J11891" s="639">
        <f t="shared" si="373"/>
        <v>0</v>
      </c>
    </row>
    <row r="11892" spans="5:10" ht="15.75" hidden="1" thickBot="1">
      <c r="F11892" s="294" t="s">
        <v>261</v>
      </c>
      <c r="G11892" s="297" t="s">
        <v>262</v>
      </c>
      <c r="H11892" s="638"/>
      <c r="I11892" s="639"/>
      <c r="J11892" s="639">
        <f t="shared" si="373"/>
        <v>0</v>
      </c>
    </row>
    <row r="11893" spans="5:10" ht="15.75" hidden="1" thickBot="1">
      <c r="G11893" s="274" t="s">
        <v>4440</v>
      </c>
      <c r="H11893" s="640">
        <f>SUM(H11877:H11892)</f>
        <v>0</v>
      </c>
      <c r="I11893" s="641">
        <f>SUM(I11878:I11892)</f>
        <v>0</v>
      </c>
      <c r="J11893" s="641">
        <f>SUM(J11877:J11892)</f>
        <v>0</v>
      </c>
    </row>
    <row r="11894" spans="5:10" hidden="1" collapsed="1">
      <c r="E11894" s="516"/>
      <c r="F11894" s="528"/>
      <c r="G11894" s="276" t="s">
        <v>4441</v>
      </c>
      <c r="H11894" s="642"/>
      <c r="I11894" s="663"/>
      <c r="J11894" s="643"/>
    </row>
    <row r="11895" spans="5:10" hidden="1">
      <c r="E11895" s="267"/>
      <c r="F11895" s="294" t="s">
        <v>234</v>
      </c>
      <c r="G11895" s="297" t="s">
        <v>235</v>
      </c>
      <c r="H11895" s="638">
        <f>SUM(H11816:H11875)</f>
        <v>0</v>
      </c>
      <c r="I11895" s="639"/>
      <c r="J11895" s="639">
        <f>SUM(H11895:I11895)</f>
        <v>0</v>
      </c>
    </row>
    <row r="11896" spans="5:10" hidden="1">
      <c r="F11896" s="294" t="s">
        <v>236</v>
      </c>
      <c r="G11896" s="297" t="s">
        <v>237</v>
      </c>
      <c r="J11896" s="639">
        <f t="shared" ref="J11896:J11910" si="374">SUM(H11896:I11896)</f>
        <v>0</v>
      </c>
    </row>
    <row r="11897" spans="5:10" hidden="1">
      <c r="F11897" s="294" t="s">
        <v>238</v>
      </c>
      <c r="G11897" s="297" t="s">
        <v>239</v>
      </c>
      <c r="J11897" s="639">
        <f t="shared" si="374"/>
        <v>0</v>
      </c>
    </row>
    <row r="11898" spans="5:10" ht="15.75" hidden="1" thickBot="1">
      <c r="F11898" s="294" t="s">
        <v>240</v>
      </c>
      <c r="G11898" s="297" t="s">
        <v>241</v>
      </c>
      <c r="J11898" s="639">
        <f t="shared" si="374"/>
        <v>0</v>
      </c>
    </row>
    <row r="11899" spans="5:10" ht="15.75" hidden="1" thickBot="1">
      <c r="F11899" s="294" t="s">
        <v>242</v>
      </c>
      <c r="G11899" s="297" t="s">
        <v>243</v>
      </c>
      <c r="J11899" s="639">
        <f t="shared" si="374"/>
        <v>0</v>
      </c>
    </row>
    <row r="11900" spans="5:10" ht="15.75" hidden="1" thickBot="1">
      <c r="F11900" s="294" t="s">
        <v>244</v>
      </c>
      <c r="G11900" s="297" t="s">
        <v>245</v>
      </c>
      <c r="J11900" s="639">
        <f t="shared" si="374"/>
        <v>0</v>
      </c>
    </row>
    <row r="11901" spans="5:10" ht="15.75" hidden="1" thickBot="1">
      <c r="F11901" s="294" t="s">
        <v>246</v>
      </c>
      <c r="G11901" s="683" t="s">
        <v>5121</v>
      </c>
      <c r="J11901" s="639">
        <f t="shared" si="374"/>
        <v>0</v>
      </c>
    </row>
    <row r="11902" spans="5:10" ht="15.75" hidden="1" thickBot="1">
      <c r="F11902" s="294" t="s">
        <v>247</v>
      </c>
      <c r="G11902" s="683" t="s">
        <v>5120</v>
      </c>
      <c r="J11902" s="639">
        <f t="shared" si="374"/>
        <v>0</v>
      </c>
    </row>
    <row r="11903" spans="5:10" ht="15.75" hidden="1" thickBot="1">
      <c r="F11903" s="294" t="s">
        <v>248</v>
      </c>
      <c r="G11903" s="297" t="s">
        <v>57</v>
      </c>
      <c r="J11903" s="639">
        <f t="shared" si="374"/>
        <v>0</v>
      </c>
    </row>
    <row r="11904" spans="5:10" ht="15.75" hidden="1" thickBot="1">
      <c r="F11904" s="294" t="s">
        <v>249</v>
      </c>
      <c r="G11904" s="297" t="s">
        <v>250</v>
      </c>
      <c r="J11904" s="639">
        <f t="shared" si="374"/>
        <v>0</v>
      </c>
    </row>
    <row r="11905" spans="3:10" ht="15.75" hidden="1" thickBot="1">
      <c r="F11905" s="294" t="s">
        <v>251</v>
      </c>
      <c r="G11905" s="297" t="s">
        <v>252</v>
      </c>
      <c r="J11905" s="639">
        <f t="shared" si="374"/>
        <v>0</v>
      </c>
    </row>
    <row r="11906" spans="3:10" ht="15.75" hidden="1" thickBot="1">
      <c r="F11906" s="294" t="s">
        <v>253</v>
      </c>
      <c r="G11906" s="297" t="s">
        <v>254</v>
      </c>
      <c r="J11906" s="639">
        <f t="shared" si="374"/>
        <v>0</v>
      </c>
    </row>
    <row r="11907" spans="3:10" ht="15.75" hidden="1" thickBot="1">
      <c r="F11907" s="294" t="s">
        <v>255</v>
      </c>
      <c r="G11907" s="297" t="s">
        <v>256</v>
      </c>
      <c r="J11907" s="639">
        <f t="shared" si="374"/>
        <v>0</v>
      </c>
    </row>
    <row r="11908" spans="3:10" ht="15.75" hidden="1" thickBot="1">
      <c r="F11908" s="294" t="s">
        <v>257</v>
      </c>
      <c r="G11908" s="297" t="s">
        <v>258</v>
      </c>
      <c r="J11908" s="639">
        <f t="shared" si="374"/>
        <v>0</v>
      </c>
    </row>
    <row r="11909" spans="3:10" ht="15.75" hidden="1" thickBot="1">
      <c r="F11909" s="294" t="s">
        <v>259</v>
      </c>
      <c r="G11909" s="297" t="s">
        <v>260</v>
      </c>
      <c r="J11909" s="639">
        <f t="shared" si="374"/>
        <v>0</v>
      </c>
    </row>
    <row r="11910" spans="3:10" ht="15.75" hidden="1" thickBot="1">
      <c r="F11910" s="294" t="s">
        <v>261</v>
      </c>
      <c r="G11910" s="297" t="s">
        <v>262</v>
      </c>
      <c r="H11910" s="638"/>
      <c r="I11910" s="639"/>
      <c r="J11910" s="639">
        <f t="shared" si="374"/>
        <v>0</v>
      </c>
    </row>
    <row r="11911" spans="3:10" ht="15.75" hidden="1" collapsed="1" thickBot="1">
      <c r="G11911" s="274" t="s">
        <v>4442</v>
      </c>
      <c r="H11911" s="640">
        <f>SUM(H11895:H11910)</f>
        <v>0</v>
      </c>
      <c r="I11911" s="641">
        <f>SUM(I11896:I11910)</f>
        <v>0</v>
      </c>
      <c r="J11911" s="641">
        <f>SUM(J11895:J11910)</f>
        <v>0</v>
      </c>
    </row>
    <row r="11912" spans="3:10" hidden="1"/>
    <row r="11913" spans="3:10" hidden="1">
      <c r="C11913" s="273" t="s">
        <v>4844</v>
      </c>
      <c r="D11913" s="264"/>
      <c r="G11913" s="519" t="s">
        <v>4240</v>
      </c>
    </row>
    <row r="11914" spans="3:10" hidden="1">
      <c r="C11914" s="273"/>
      <c r="D11914" s="357">
        <v>820</v>
      </c>
      <c r="E11914" s="357"/>
      <c r="F11914" s="357"/>
      <c r="G11914" s="358" t="s">
        <v>207</v>
      </c>
    </row>
    <row r="11915" spans="3:10" hidden="1">
      <c r="F11915" s="527">
        <v>411</v>
      </c>
      <c r="G11915" s="518" t="s">
        <v>4173</v>
      </c>
      <c r="J11915" s="635">
        <f>SUM(H11915:I11915)</f>
        <v>0</v>
      </c>
    </row>
    <row r="11916" spans="3:10" hidden="1">
      <c r="F11916" s="527">
        <v>412</v>
      </c>
      <c r="G11916" s="515" t="s">
        <v>3770</v>
      </c>
      <c r="J11916" s="635">
        <f t="shared" ref="J11916:J11974" si="375">SUM(H11916:I11916)</f>
        <v>0</v>
      </c>
    </row>
    <row r="11917" spans="3:10" hidden="1">
      <c r="F11917" s="527">
        <v>413</v>
      </c>
      <c r="G11917" s="518" t="s">
        <v>4174</v>
      </c>
      <c r="J11917" s="635">
        <f t="shared" si="375"/>
        <v>0</v>
      </c>
    </row>
    <row r="11918" spans="3:10" hidden="1">
      <c r="F11918" s="527">
        <v>414</v>
      </c>
      <c r="G11918" s="518" t="s">
        <v>3773</v>
      </c>
      <c r="J11918" s="635">
        <f t="shared" si="375"/>
        <v>0</v>
      </c>
    </row>
    <row r="11919" spans="3:10" hidden="1">
      <c r="F11919" s="527">
        <v>415</v>
      </c>
      <c r="G11919" s="518" t="s">
        <v>4183</v>
      </c>
      <c r="J11919" s="635">
        <f t="shared" si="375"/>
        <v>0</v>
      </c>
    </row>
    <row r="11920" spans="3:10" hidden="1">
      <c r="F11920" s="527">
        <v>416</v>
      </c>
      <c r="G11920" s="518" t="s">
        <v>4184</v>
      </c>
      <c r="J11920" s="635">
        <f t="shared" si="375"/>
        <v>0</v>
      </c>
    </row>
    <row r="11921" spans="6:10" hidden="1">
      <c r="F11921" s="527">
        <v>417</v>
      </c>
      <c r="G11921" s="518" t="s">
        <v>4185</v>
      </c>
      <c r="J11921" s="635">
        <f t="shared" si="375"/>
        <v>0</v>
      </c>
    </row>
    <row r="11922" spans="6:10" hidden="1">
      <c r="F11922" s="527">
        <v>418</v>
      </c>
      <c r="G11922" s="518" t="s">
        <v>3779</v>
      </c>
      <c r="J11922" s="635">
        <f t="shared" si="375"/>
        <v>0</v>
      </c>
    </row>
    <row r="11923" spans="6:10" hidden="1">
      <c r="F11923" s="527">
        <v>421</v>
      </c>
      <c r="G11923" s="518" t="s">
        <v>3783</v>
      </c>
      <c r="J11923" s="635">
        <f t="shared" si="375"/>
        <v>0</v>
      </c>
    </row>
    <row r="11924" spans="6:10" hidden="1">
      <c r="F11924" s="527">
        <v>422</v>
      </c>
      <c r="G11924" s="518" t="s">
        <v>3784</v>
      </c>
      <c r="J11924" s="635">
        <f t="shared" si="375"/>
        <v>0</v>
      </c>
    </row>
    <row r="11925" spans="6:10" ht="15.75" hidden="1" thickBot="1">
      <c r="F11925" s="527">
        <v>423</v>
      </c>
      <c r="G11925" s="518" t="s">
        <v>3785</v>
      </c>
      <c r="J11925" s="635">
        <f t="shared" si="375"/>
        <v>0</v>
      </c>
    </row>
    <row r="11926" spans="6:10" ht="15.75" hidden="1" thickBot="1">
      <c r="F11926" s="527">
        <v>424</v>
      </c>
      <c r="G11926" s="518" t="s">
        <v>3787</v>
      </c>
      <c r="J11926" s="635">
        <f t="shared" si="375"/>
        <v>0</v>
      </c>
    </row>
    <row r="11927" spans="6:10" ht="15.75" hidden="1" thickBot="1">
      <c r="F11927" s="527">
        <v>425</v>
      </c>
      <c r="G11927" s="518" t="s">
        <v>4186</v>
      </c>
      <c r="J11927" s="635">
        <f t="shared" si="375"/>
        <v>0</v>
      </c>
    </row>
    <row r="11928" spans="6:10" ht="15.75" hidden="1" thickBot="1">
      <c r="F11928" s="527">
        <v>426</v>
      </c>
      <c r="G11928" s="518" t="s">
        <v>3791</v>
      </c>
      <c r="J11928" s="635">
        <f t="shared" si="375"/>
        <v>0</v>
      </c>
    </row>
    <row r="11929" spans="6:10" ht="15.75" hidden="1" thickBot="1">
      <c r="F11929" s="527">
        <v>431</v>
      </c>
      <c r="G11929" s="518" t="s">
        <v>4187</v>
      </c>
      <c r="J11929" s="635">
        <f t="shared" si="375"/>
        <v>0</v>
      </c>
    </row>
    <row r="11930" spans="6:10" ht="15.75" hidden="1" thickBot="1">
      <c r="F11930" s="527">
        <v>432</v>
      </c>
      <c r="G11930" s="518" t="s">
        <v>4188</v>
      </c>
      <c r="J11930" s="635">
        <f t="shared" si="375"/>
        <v>0</v>
      </c>
    </row>
    <row r="11931" spans="6:10" ht="15.75" hidden="1" thickBot="1">
      <c r="F11931" s="527">
        <v>433</v>
      </c>
      <c r="G11931" s="518" t="s">
        <v>4189</v>
      </c>
      <c r="J11931" s="635">
        <f t="shared" si="375"/>
        <v>0</v>
      </c>
    </row>
    <row r="11932" spans="6:10" ht="15.75" hidden="1" thickBot="1">
      <c r="F11932" s="527">
        <v>434</v>
      </c>
      <c r="G11932" s="518" t="s">
        <v>4190</v>
      </c>
      <c r="J11932" s="635">
        <f t="shared" si="375"/>
        <v>0</v>
      </c>
    </row>
    <row r="11933" spans="6:10" ht="15.75" hidden="1" thickBot="1">
      <c r="F11933" s="527">
        <v>435</v>
      </c>
      <c r="G11933" s="518" t="s">
        <v>3798</v>
      </c>
      <c r="J11933" s="635">
        <f t="shared" si="375"/>
        <v>0</v>
      </c>
    </row>
    <row r="11934" spans="6:10" ht="15.75" hidden="1" thickBot="1">
      <c r="F11934" s="527">
        <v>441</v>
      </c>
      <c r="G11934" s="518" t="s">
        <v>4191</v>
      </c>
      <c r="J11934" s="635">
        <f t="shared" si="375"/>
        <v>0</v>
      </c>
    </row>
    <row r="11935" spans="6:10" ht="15.75" hidden="1" thickBot="1">
      <c r="F11935" s="527">
        <v>442</v>
      </c>
      <c r="G11935" s="518" t="s">
        <v>4192</v>
      </c>
      <c r="J11935" s="635">
        <f t="shared" si="375"/>
        <v>0</v>
      </c>
    </row>
    <row r="11936" spans="6:10" ht="15.75" hidden="1" thickBot="1">
      <c r="F11936" s="527">
        <v>443</v>
      </c>
      <c r="G11936" s="518" t="s">
        <v>3803</v>
      </c>
      <c r="J11936" s="635">
        <f t="shared" si="375"/>
        <v>0</v>
      </c>
    </row>
    <row r="11937" spans="6:10" ht="15.75" hidden="1" thickBot="1">
      <c r="F11937" s="527">
        <v>444</v>
      </c>
      <c r="G11937" s="518" t="s">
        <v>3804</v>
      </c>
      <c r="J11937" s="635">
        <f t="shared" si="375"/>
        <v>0</v>
      </c>
    </row>
    <row r="11938" spans="6:10" ht="30.75" hidden="1" thickBot="1">
      <c r="F11938" s="527">
        <v>4511</v>
      </c>
      <c r="G11938" s="268" t="s">
        <v>1690</v>
      </c>
      <c r="J11938" s="635">
        <f t="shared" si="375"/>
        <v>0</v>
      </c>
    </row>
    <row r="11939" spans="6:10" ht="30.75" hidden="1" thickBot="1">
      <c r="F11939" s="527">
        <v>4512</v>
      </c>
      <c r="G11939" s="268" t="s">
        <v>1699</v>
      </c>
      <c r="J11939" s="635">
        <f t="shared" si="375"/>
        <v>0</v>
      </c>
    </row>
    <row r="11940" spans="6:10" ht="15.75" hidden="1" thickBot="1">
      <c r="F11940" s="527">
        <v>452</v>
      </c>
      <c r="G11940" s="518" t="s">
        <v>4193</v>
      </c>
      <c r="J11940" s="635">
        <f t="shared" si="375"/>
        <v>0</v>
      </c>
    </row>
    <row r="11941" spans="6:10" ht="15.75" hidden="1" thickBot="1">
      <c r="F11941" s="527">
        <v>453</v>
      </c>
      <c r="G11941" s="518" t="s">
        <v>4194</v>
      </c>
      <c r="J11941" s="635">
        <f t="shared" si="375"/>
        <v>0</v>
      </c>
    </row>
    <row r="11942" spans="6:10" ht="15.75" hidden="1" thickBot="1">
      <c r="F11942" s="527">
        <v>454</v>
      </c>
      <c r="G11942" s="518" t="s">
        <v>3809</v>
      </c>
      <c r="J11942" s="635">
        <f t="shared" si="375"/>
        <v>0</v>
      </c>
    </row>
    <row r="11943" spans="6:10" ht="15.75" hidden="1" thickBot="1">
      <c r="F11943" s="527">
        <v>461</v>
      </c>
      <c r="G11943" s="518" t="s">
        <v>4175</v>
      </c>
      <c r="J11943" s="635">
        <f t="shared" si="375"/>
        <v>0</v>
      </c>
    </row>
    <row r="11944" spans="6:10" ht="15.75" hidden="1" thickBot="1">
      <c r="F11944" s="527">
        <v>462</v>
      </c>
      <c r="G11944" s="518" t="s">
        <v>3812</v>
      </c>
      <c r="J11944" s="635">
        <f t="shared" si="375"/>
        <v>0</v>
      </c>
    </row>
    <row r="11945" spans="6:10" ht="15.75" hidden="1" thickBot="1">
      <c r="F11945" s="527">
        <v>4631</v>
      </c>
      <c r="G11945" s="518" t="s">
        <v>3813</v>
      </c>
      <c r="J11945" s="635">
        <f t="shared" si="375"/>
        <v>0</v>
      </c>
    </row>
    <row r="11946" spans="6:10" ht="15.75" hidden="1" thickBot="1">
      <c r="F11946" s="527">
        <v>4632</v>
      </c>
      <c r="G11946" s="518" t="s">
        <v>3814</v>
      </c>
      <c r="J11946" s="635">
        <f t="shared" si="375"/>
        <v>0</v>
      </c>
    </row>
    <row r="11947" spans="6:10" ht="15.75" hidden="1" thickBot="1">
      <c r="F11947" s="527">
        <v>464</v>
      </c>
      <c r="G11947" s="518" t="s">
        <v>3815</v>
      </c>
      <c r="J11947" s="635">
        <f t="shared" si="375"/>
        <v>0</v>
      </c>
    </row>
    <row r="11948" spans="6:10" ht="15.75" hidden="1" thickBot="1">
      <c r="F11948" s="527">
        <v>465</v>
      </c>
      <c r="G11948" s="518" t="s">
        <v>4176</v>
      </c>
      <c r="J11948" s="635">
        <f t="shared" si="375"/>
        <v>0</v>
      </c>
    </row>
    <row r="11949" spans="6:10" ht="15.75" hidden="1" thickBot="1">
      <c r="F11949" s="527">
        <v>472</v>
      </c>
      <c r="G11949" s="518" t="s">
        <v>3819</v>
      </c>
      <c r="J11949" s="635">
        <f t="shared" si="375"/>
        <v>0</v>
      </c>
    </row>
    <row r="11950" spans="6:10" ht="15.75" hidden="1" thickBot="1">
      <c r="F11950" s="527">
        <v>481</v>
      </c>
      <c r="G11950" s="518" t="s">
        <v>4195</v>
      </c>
      <c r="J11950" s="635">
        <f t="shared" si="375"/>
        <v>0</v>
      </c>
    </row>
    <row r="11951" spans="6:10" ht="15.75" hidden="1" thickBot="1">
      <c r="F11951" s="527">
        <v>482</v>
      </c>
      <c r="G11951" s="518" t="s">
        <v>4196</v>
      </c>
      <c r="J11951" s="635">
        <f t="shared" si="375"/>
        <v>0</v>
      </c>
    </row>
    <row r="11952" spans="6:10" ht="15.75" hidden="1" thickBot="1">
      <c r="F11952" s="527">
        <v>483</v>
      </c>
      <c r="G11952" s="520" t="s">
        <v>4197</v>
      </c>
      <c r="J11952" s="635">
        <f t="shared" si="375"/>
        <v>0</v>
      </c>
    </row>
    <row r="11953" spans="6:10" ht="30.75" hidden="1" thickBot="1">
      <c r="F11953" s="527">
        <v>484</v>
      </c>
      <c r="G11953" s="518" t="s">
        <v>4198</v>
      </c>
      <c r="J11953" s="635">
        <f t="shared" si="375"/>
        <v>0</v>
      </c>
    </row>
    <row r="11954" spans="6:10" ht="30.75" hidden="1" thickBot="1">
      <c r="F11954" s="527">
        <v>485</v>
      </c>
      <c r="G11954" s="518" t="s">
        <v>4199</v>
      </c>
      <c r="J11954" s="635">
        <f t="shared" si="375"/>
        <v>0</v>
      </c>
    </row>
    <row r="11955" spans="6:10" ht="30.75" hidden="1" thickBot="1">
      <c r="F11955" s="527">
        <v>489</v>
      </c>
      <c r="G11955" s="518" t="s">
        <v>3827</v>
      </c>
      <c r="J11955" s="635">
        <f t="shared" si="375"/>
        <v>0</v>
      </c>
    </row>
    <row r="11956" spans="6:10" ht="15.75" hidden="1" thickBot="1">
      <c r="F11956" s="527">
        <v>494</v>
      </c>
      <c r="G11956" s="518" t="s">
        <v>4177</v>
      </c>
      <c r="J11956" s="635">
        <f t="shared" si="375"/>
        <v>0</v>
      </c>
    </row>
    <row r="11957" spans="6:10" ht="30.75" hidden="1" thickBot="1">
      <c r="F11957" s="527">
        <v>495</v>
      </c>
      <c r="G11957" s="518" t="s">
        <v>4178</v>
      </c>
      <c r="J11957" s="635">
        <f t="shared" si="375"/>
        <v>0</v>
      </c>
    </row>
    <row r="11958" spans="6:10" ht="30.75" hidden="1" thickBot="1">
      <c r="F11958" s="527">
        <v>496</v>
      </c>
      <c r="G11958" s="518" t="s">
        <v>4179</v>
      </c>
      <c r="J11958" s="635">
        <f t="shared" si="375"/>
        <v>0</v>
      </c>
    </row>
    <row r="11959" spans="6:10" ht="15.75" hidden="1" thickBot="1">
      <c r="F11959" s="527">
        <v>499</v>
      </c>
      <c r="G11959" s="518" t="s">
        <v>4180</v>
      </c>
      <c r="J11959" s="635">
        <f t="shared" si="375"/>
        <v>0</v>
      </c>
    </row>
    <row r="11960" spans="6:10" ht="15.75" hidden="1" thickBot="1">
      <c r="F11960" s="527">
        <v>511</v>
      </c>
      <c r="G11960" s="520" t="s">
        <v>4200</v>
      </c>
      <c r="J11960" s="635">
        <f t="shared" si="375"/>
        <v>0</v>
      </c>
    </row>
    <row r="11961" spans="6:10" ht="15.75" hidden="1" thickBot="1">
      <c r="F11961" s="527">
        <v>512</v>
      </c>
      <c r="G11961" s="520" t="s">
        <v>4201</v>
      </c>
      <c r="J11961" s="635">
        <f t="shared" si="375"/>
        <v>0</v>
      </c>
    </row>
    <row r="11962" spans="6:10" ht="15.75" hidden="1" thickBot="1">
      <c r="F11962" s="527">
        <v>513</v>
      </c>
      <c r="G11962" s="520" t="s">
        <v>4202</v>
      </c>
      <c r="J11962" s="635">
        <f t="shared" si="375"/>
        <v>0</v>
      </c>
    </row>
    <row r="11963" spans="6:10" ht="15.75" hidden="1" thickBot="1">
      <c r="F11963" s="527">
        <v>514</v>
      </c>
      <c r="G11963" s="518" t="s">
        <v>4203</v>
      </c>
      <c r="J11963" s="635">
        <f t="shared" si="375"/>
        <v>0</v>
      </c>
    </row>
    <row r="11964" spans="6:10" ht="15.75" hidden="1" thickBot="1">
      <c r="F11964" s="527">
        <v>515</v>
      </c>
      <c r="G11964" s="518" t="s">
        <v>3838</v>
      </c>
      <c r="J11964" s="635">
        <f t="shared" si="375"/>
        <v>0</v>
      </c>
    </row>
    <row r="11965" spans="6:10" ht="15.75" hidden="1" thickBot="1">
      <c r="F11965" s="527">
        <v>521</v>
      </c>
      <c r="G11965" s="518" t="s">
        <v>4204</v>
      </c>
      <c r="J11965" s="635">
        <f t="shared" si="375"/>
        <v>0</v>
      </c>
    </row>
    <row r="11966" spans="6:10" ht="15.75" hidden="1" thickBot="1">
      <c r="F11966" s="527">
        <v>522</v>
      </c>
      <c r="G11966" s="518" t="s">
        <v>4205</v>
      </c>
      <c r="J11966" s="635">
        <f t="shared" si="375"/>
        <v>0</v>
      </c>
    </row>
    <row r="11967" spans="6:10" ht="15.75" hidden="1" thickBot="1">
      <c r="F11967" s="527">
        <v>523</v>
      </c>
      <c r="G11967" s="518" t="s">
        <v>3843</v>
      </c>
      <c r="J11967" s="635">
        <f t="shared" si="375"/>
        <v>0</v>
      </c>
    </row>
    <row r="11968" spans="6:10" ht="15.75" hidden="1" thickBot="1">
      <c r="F11968" s="527">
        <v>531</v>
      </c>
      <c r="G11968" s="515" t="s">
        <v>4181</v>
      </c>
      <c r="J11968" s="635">
        <f t="shared" si="375"/>
        <v>0</v>
      </c>
    </row>
    <row r="11969" spans="5:10" ht="15.75" hidden="1" thickBot="1">
      <c r="F11969" s="527">
        <v>541</v>
      </c>
      <c r="G11969" s="518" t="s">
        <v>4206</v>
      </c>
      <c r="J11969" s="635">
        <f t="shared" si="375"/>
        <v>0</v>
      </c>
    </row>
    <row r="11970" spans="5:10" ht="15.75" hidden="1" thickBot="1">
      <c r="F11970" s="527">
        <v>542</v>
      </c>
      <c r="G11970" s="518" t="s">
        <v>4207</v>
      </c>
      <c r="J11970" s="635">
        <f t="shared" si="375"/>
        <v>0</v>
      </c>
    </row>
    <row r="11971" spans="5:10" ht="15.75" hidden="1" thickBot="1">
      <c r="F11971" s="527">
        <v>543</v>
      </c>
      <c r="G11971" s="518" t="s">
        <v>3848</v>
      </c>
      <c r="J11971" s="635">
        <f t="shared" si="375"/>
        <v>0</v>
      </c>
    </row>
    <row r="11972" spans="5:10" ht="30.75" hidden="1" thickBot="1">
      <c r="F11972" s="527">
        <v>551</v>
      </c>
      <c r="G11972" s="518" t="s">
        <v>4182</v>
      </c>
      <c r="J11972" s="635">
        <f t="shared" si="375"/>
        <v>0</v>
      </c>
    </row>
    <row r="11973" spans="5:10" ht="15.75" hidden="1" thickBot="1">
      <c r="F11973" s="528">
        <v>611</v>
      </c>
      <c r="G11973" s="526" t="s">
        <v>3854</v>
      </c>
      <c r="J11973" s="635">
        <f t="shared" si="375"/>
        <v>0</v>
      </c>
    </row>
    <row r="11974" spans="5:10" ht="15.75" hidden="1" thickBot="1">
      <c r="F11974" s="528">
        <v>620</v>
      </c>
      <c r="G11974" s="526" t="s">
        <v>88</v>
      </c>
      <c r="J11974" s="635">
        <f t="shared" si="375"/>
        <v>0</v>
      </c>
    </row>
    <row r="11975" spans="5:10" hidden="1">
      <c r="E11975" s="516"/>
      <c r="F11975" s="528"/>
      <c r="G11975" s="371" t="s">
        <v>4439</v>
      </c>
      <c r="H11975" s="636"/>
      <c r="I11975" s="662"/>
      <c r="J11975" s="637"/>
    </row>
    <row r="11976" spans="5:10" hidden="1">
      <c r="E11976" s="267"/>
      <c r="F11976" s="294" t="s">
        <v>234</v>
      </c>
      <c r="G11976" s="297" t="s">
        <v>235</v>
      </c>
      <c r="H11976" s="638">
        <f>SUM(H11915:H11974)</f>
        <v>0</v>
      </c>
      <c r="I11976" s="639"/>
      <c r="J11976" s="639">
        <f>SUM(H11976:I11976)</f>
        <v>0</v>
      </c>
    </row>
    <row r="11977" spans="5:10" hidden="1">
      <c r="F11977" s="294" t="s">
        <v>236</v>
      </c>
      <c r="G11977" s="297" t="s">
        <v>237</v>
      </c>
      <c r="J11977" s="639">
        <f t="shared" ref="J11977:J11991" si="376">SUM(H11977:I11977)</f>
        <v>0</v>
      </c>
    </row>
    <row r="11978" spans="5:10" hidden="1">
      <c r="F11978" s="294" t="s">
        <v>238</v>
      </c>
      <c r="G11978" s="297" t="s">
        <v>239</v>
      </c>
      <c r="J11978" s="639">
        <f t="shared" si="376"/>
        <v>0</v>
      </c>
    </row>
    <row r="11979" spans="5:10" ht="15.75" hidden="1" thickBot="1">
      <c r="F11979" s="294" t="s">
        <v>240</v>
      </c>
      <c r="G11979" s="297" t="s">
        <v>241</v>
      </c>
      <c r="J11979" s="639">
        <f t="shared" si="376"/>
        <v>0</v>
      </c>
    </row>
    <row r="11980" spans="5:10" ht="15.75" hidden="1" thickBot="1">
      <c r="F11980" s="294" t="s">
        <v>242</v>
      </c>
      <c r="G11980" s="297" t="s">
        <v>243</v>
      </c>
      <c r="J11980" s="639">
        <f t="shared" si="376"/>
        <v>0</v>
      </c>
    </row>
    <row r="11981" spans="5:10" ht="15.75" hidden="1" thickBot="1">
      <c r="F11981" s="294" t="s">
        <v>244</v>
      </c>
      <c r="G11981" s="297" t="s">
        <v>245</v>
      </c>
      <c r="J11981" s="639">
        <f t="shared" si="376"/>
        <v>0</v>
      </c>
    </row>
    <row r="11982" spans="5:10" ht="15.75" hidden="1" thickBot="1">
      <c r="F11982" s="294" t="s">
        <v>246</v>
      </c>
      <c r="G11982" s="683" t="s">
        <v>5121</v>
      </c>
      <c r="J11982" s="639">
        <f t="shared" si="376"/>
        <v>0</v>
      </c>
    </row>
    <row r="11983" spans="5:10" ht="15.75" hidden="1" thickBot="1">
      <c r="F11983" s="294" t="s">
        <v>247</v>
      </c>
      <c r="G11983" s="683" t="s">
        <v>5120</v>
      </c>
      <c r="J11983" s="639">
        <f t="shared" si="376"/>
        <v>0</v>
      </c>
    </row>
    <row r="11984" spans="5:10" ht="15.75" hidden="1" thickBot="1">
      <c r="F11984" s="294" t="s">
        <v>248</v>
      </c>
      <c r="G11984" s="297" t="s">
        <v>57</v>
      </c>
      <c r="J11984" s="639">
        <f t="shared" si="376"/>
        <v>0</v>
      </c>
    </row>
    <row r="11985" spans="5:10" ht="15.75" hidden="1" thickBot="1">
      <c r="F11985" s="294" t="s">
        <v>249</v>
      </c>
      <c r="G11985" s="297" t="s">
        <v>250</v>
      </c>
      <c r="J11985" s="639">
        <f t="shared" si="376"/>
        <v>0</v>
      </c>
    </row>
    <row r="11986" spans="5:10" ht="15.75" hidden="1" thickBot="1">
      <c r="F11986" s="294" t="s">
        <v>251</v>
      </c>
      <c r="G11986" s="297" t="s">
        <v>252</v>
      </c>
      <c r="J11986" s="639">
        <f t="shared" si="376"/>
        <v>0</v>
      </c>
    </row>
    <row r="11987" spans="5:10" ht="15.75" hidden="1" thickBot="1">
      <c r="F11987" s="294" t="s">
        <v>253</v>
      </c>
      <c r="G11987" s="297" t="s">
        <v>254</v>
      </c>
      <c r="J11987" s="639">
        <f t="shared" si="376"/>
        <v>0</v>
      </c>
    </row>
    <row r="11988" spans="5:10" ht="15.75" hidden="1" thickBot="1">
      <c r="F11988" s="294" t="s">
        <v>255</v>
      </c>
      <c r="G11988" s="297" t="s">
        <v>256</v>
      </c>
      <c r="J11988" s="639">
        <f t="shared" si="376"/>
        <v>0</v>
      </c>
    </row>
    <row r="11989" spans="5:10" ht="15.75" hidden="1" thickBot="1">
      <c r="F11989" s="294" t="s">
        <v>257</v>
      </c>
      <c r="G11989" s="297" t="s">
        <v>258</v>
      </c>
      <c r="J11989" s="639">
        <f t="shared" si="376"/>
        <v>0</v>
      </c>
    </row>
    <row r="11990" spans="5:10" ht="15.75" hidden="1" thickBot="1">
      <c r="F11990" s="294" t="s">
        <v>259</v>
      </c>
      <c r="G11990" s="297" t="s">
        <v>260</v>
      </c>
      <c r="J11990" s="639">
        <f t="shared" si="376"/>
        <v>0</v>
      </c>
    </row>
    <row r="11991" spans="5:10" ht="15.75" hidden="1" thickBot="1">
      <c r="F11991" s="294" t="s">
        <v>261</v>
      </c>
      <c r="G11991" s="297" t="s">
        <v>262</v>
      </c>
      <c r="H11991" s="638"/>
      <c r="I11991" s="639"/>
      <c r="J11991" s="639">
        <f t="shared" si="376"/>
        <v>0</v>
      </c>
    </row>
    <row r="11992" spans="5:10" ht="15.75" hidden="1" thickBot="1">
      <c r="G11992" s="274" t="s">
        <v>4440</v>
      </c>
      <c r="H11992" s="640">
        <f>SUM(H11976:H11991)</f>
        <v>0</v>
      </c>
      <c r="I11992" s="641">
        <f>SUM(I11977:I11991)</f>
        <v>0</v>
      </c>
      <c r="J11992" s="641">
        <f>SUM(J11976:J11991)</f>
        <v>0</v>
      </c>
    </row>
    <row r="11993" spans="5:10" hidden="1" collapsed="1">
      <c r="E11993" s="516"/>
      <c r="F11993" s="528"/>
      <c r="G11993" s="276" t="s">
        <v>5041</v>
      </c>
      <c r="H11993" s="642"/>
      <c r="I11993" s="663"/>
      <c r="J11993" s="643"/>
    </row>
    <row r="11994" spans="5:10" hidden="1">
      <c r="E11994" s="267"/>
      <c r="F11994" s="294" t="s">
        <v>234</v>
      </c>
      <c r="G11994" s="297" t="s">
        <v>235</v>
      </c>
      <c r="H11994" s="638">
        <f>SUM(H11915:H11974)</f>
        <v>0</v>
      </c>
      <c r="I11994" s="639"/>
      <c r="J11994" s="639">
        <f>SUM(H11994:I11994)</f>
        <v>0</v>
      </c>
    </row>
    <row r="11995" spans="5:10" hidden="1">
      <c r="F11995" s="294" t="s">
        <v>236</v>
      </c>
      <c r="G11995" s="297" t="s">
        <v>237</v>
      </c>
      <c r="J11995" s="639">
        <f t="shared" ref="J11995:J12009" si="377">SUM(H11995:I11995)</f>
        <v>0</v>
      </c>
    </row>
    <row r="11996" spans="5:10" hidden="1">
      <c r="F11996" s="294" t="s">
        <v>238</v>
      </c>
      <c r="G11996" s="297" t="s">
        <v>239</v>
      </c>
      <c r="J11996" s="639">
        <f t="shared" si="377"/>
        <v>0</v>
      </c>
    </row>
    <row r="11997" spans="5:10" ht="15.75" hidden="1" thickBot="1">
      <c r="F11997" s="294" t="s">
        <v>240</v>
      </c>
      <c r="G11997" s="297" t="s">
        <v>241</v>
      </c>
      <c r="J11997" s="639">
        <f t="shared" si="377"/>
        <v>0</v>
      </c>
    </row>
    <row r="11998" spans="5:10" ht="15.75" hidden="1" thickBot="1">
      <c r="F11998" s="294" t="s">
        <v>242</v>
      </c>
      <c r="G11998" s="297" t="s">
        <v>243</v>
      </c>
      <c r="J11998" s="639">
        <f t="shared" si="377"/>
        <v>0</v>
      </c>
    </row>
    <row r="11999" spans="5:10" ht="15.75" hidden="1" thickBot="1">
      <c r="F11999" s="294" t="s">
        <v>244</v>
      </c>
      <c r="G11999" s="297" t="s">
        <v>245</v>
      </c>
      <c r="J11999" s="639">
        <f t="shared" si="377"/>
        <v>0</v>
      </c>
    </row>
    <row r="12000" spans="5:10" ht="15.75" hidden="1" thickBot="1">
      <c r="F12000" s="294" t="s">
        <v>246</v>
      </c>
      <c r="G12000" s="683" t="s">
        <v>5121</v>
      </c>
      <c r="J12000" s="639">
        <f t="shared" si="377"/>
        <v>0</v>
      </c>
    </row>
    <row r="12001" spans="5:10" ht="15.75" hidden="1" thickBot="1">
      <c r="F12001" s="294" t="s">
        <v>247</v>
      </c>
      <c r="G12001" s="683" t="s">
        <v>5120</v>
      </c>
      <c r="J12001" s="639">
        <f t="shared" si="377"/>
        <v>0</v>
      </c>
    </row>
    <row r="12002" spans="5:10" ht="15.75" hidden="1" thickBot="1">
      <c r="F12002" s="294" t="s">
        <v>248</v>
      </c>
      <c r="G12002" s="297" t="s">
        <v>57</v>
      </c>
      <c r="J12002" s="639">
        <f t="shared" si="377"/>
        <v>0</v>
      </c>
    </row>
    <row r="12003" spans="5:10" ht="15.75" hidden="1" thickBot="1">
      <c r="F12003" s="294" t="s">
        <v>249</v>
      </c>
      <c r="G12003" s="297" t="s">
        <v>250</v>
      </c>
      <c r="J12003" s="639">
        <f t="shared" si="377"/>
        <v>0</v>
      </c>
    </row>
    <row r="12004" spans="5:10" ht="15.75" hidden="1" thickBot="1">
      <c r="F12004" s="294" t="s">
        <v>251</v>
      </c>
      <c r="G12004" s="297" t="s">
        <v>252</v>
      </c>
      <c r="J12004" s="639">
        <f t="shared" si="377"/>
        <v>0</v>
      </c>
    </row>
    <row r="12005" spans="5:10" ht="15.75" hidden="1" thickBot="1">
      <c r="F12005" s="294" t="s">
        <v>253</v>
      </c>
      <c r="G12005" s="297" t="s">
        <v>254</v>
      </c>
      <c r="J12005" s="639">
        <f t="shared" si="377"/>
        <v>0</v>
      </c>
    </row>
    <row r="12006" spans="5:10" ht="15.75" hidden="1" thickBot="1">
      <c r="F12006" s="294" t="s">
        <v>255</v>
      </c>
      <c r="G12006" s="297" t="s">
        <v>256</v>
      </c>
      <c r="J12006" s="639">
        <f t="shared" si="377"/>
        <v>0</v>
      </c>
    </row>
    <row r="12007" spans="5:10" ht="15.75" hidden="1" thickBot="1">
      <c r="F12007" s="294" t="s">
        <v>257</v>
      </c>
      <c r="G12007" s="297" t="s">
        <v>258</v>
      </c>
      <c r="J12007" s="639">
        <f t="shared" si="377"/>
        <v>0</v>
      </c>
    </row>
    <row r="12008" spans="5:10" ht="15.75" hidden="1" thickBot="1">
      <c r="F12008" s="294" t="s">
        <v>259</v>
      </c>
      <c r="G12008" s="297" t="s">
        <v>260</v>
      </c>
      <c r="J12008" s="639">
        <f t="shared" si="377"/>
        <v>0</v>
      </c>
    </row>
    <row r="12009" spans="5:10" ht="15.75" hidden="1" thickBot="1">
      <c r="F12009" s="294" t="s">
        <v>261</v>
      </c>
      <c r="G12009" s="297" t="s">
        <v>262</v>
      </c>
      <c r="H12009" s="638"/>
      <c r="I12009" s="639"/>
      <c r="J12009" s="639">
        <f t="shared" si="377"/>
        <v>0</v>
      </c>
    </row>
    <row r="12010" spans="5:10" ht="15.75" hidden="1" thickBot="1">
      <c r="G12010" s="274" t="s">
        <v>5028</v>
      </c>
      <c r="H12010" s="640">
        <f>SUM(H11994:H12009)</f>
        <v>0</v>
      </c>
      <c r="I12010" s="641">
        <f>SUM(I11995:I12009)</f>
        <v>0</v>
      </c>
      <c r="J12010" s="641">
        <f>SUM(J11994:J12009)</f>
        <v>0</v>
      </c>
    </row>
    <row r="12011" spans="5:10" hidden="1"/>
    <row r="12012" spans="5:10" hidden="1">
      <c r="E12012" s="516"/>
      <c r="F12012" s="528"/>
      <c r="G12012" s="295" t="s">
        <v>4329</v>
      </c>
      <c r="H12012" s="646"/>
      <c r="I12012" s="664"/>
      <c r="J12012" s="647"/>
    </row>
    <row r="12013" spans="5:10" hidden="1">
      <c r="E12013" s="267"/>
      <c r="F12013" s="294" t="s">
        <v>234</v>
      </c>
      <c r="G12013" s="297" t="s">
        <v>235</v>
      </c>
      <c r="H12013" s="638">
        <f>SUM(H11994,H11895)</f>
        <v>0</v>
      </c>
      <c r="I12013" s="639"/>
      <c r="J12013" s="639">
        <f>SUM(H12013:I12013)</f>
        <v>0</v>
      </c>
    </row>
    <row r="12014" spans="5:10" hidden="1">
      <c r="F12014" s="294" t="s">
        <v>236</v>
      </c>
      <c r="G12014" s="297" t="s">
        <v>237</v>
      </c>
      <c r="J12014" s="639">
        <f t="shared" ref="J12014:J12028" si="378">SUM(H12014:I12014)</f>
        <v>0</v>
      </c>
    </row>
    <row r="12015" spans="5:10" hidden="1">
      <c r="F12015" s="294" t="s">
        <v>238</v>
      </c>
      <c r="G12015" s="297" t="s">
        <v>239</v>
      </c>
      <c r="J12015" s="639">
        <f t="shared" si="378"/>
        <v>0</v>
      </c>
    </row>
    <row r="12016" spans="5:10" ht="15.75" hidden="1" thickBot="1">
      <c r="F12016" s="294" t="s">
        <v>240</v>
      </c>
      <c r="G12016" s="297" t="s">
        <v>241</v>
      </c>
      <c r="J12016" s="639">
        <f t="shared" si="378"/>
        <v>0</v>
      </c>
    </row>
    <row r="12017" spans="5:10" ht="15.75" hidden="1" thickBot="1">
      <c r="F12017" s="294" t="s">
        <v>242</v>
      </c>
      <c r="G12017" s="297" t="s">
        <v>243</v>
      </c>
      <c r="J12017" s="639">
        <f t="shared" si="378"/>
        <v>0</v>
      </c>
    </row>
    <row r="12018" spans="5:10" ht="15.75" hidden="1" thickBot="1">
      <c r="F12018" s="294" t="s">
        <v>244</v>
      </c>
      <c r="G12018" s="297" t="s">
        <v>245</v>
      </c>
      <c r="J12018" s="639">
        <f t="shared" si="378"/>
        <v>0</v>
      </c>
    </row>
    <row r="12019" spans="5:10" ht="15.75" hidden="1" thickBot="1">
      <c r="F12019" s="294" t="s">
        <v>246</v>
      </c>
      <c r="G12019" s="683" t="s">
        <v>5121</v>
      </c>
      <c r="J12019" s="639">
        <f t="shared" si="378"/>
        <v>0</v>
      </c>
    </row>
    <row r="12020" spans="5:10" ht="15.75" hidden="1" thickBot="1">
      <c r="F12020" s="294" t="s">
        <v>247</v>
      </c>
      <c r="G12020" s="683" t="s">
        <v>5120</v>
      </c>
      <c r="J12020" s="639">
        <f t="shared" si="378"/>
        <v>0</v>
      </c>
    </row>
    <row r="12021" spans="5:10" ht="15.75" hidden="1" thickBot="1">
      <c r="F12021" s="294" t="s">
        <v>248</v>
      </c>
      <c r="G12021" s="297" t="s">
        <v>57</v>
      </c>
      <c r="J12021" s="639">
        <f t="shared" si="378"/>
        <v>0</v>
      </c>
    </row>
    <row r="12022" spans="5:10" ht="15.75" hidden="1" thickBot="1">
      <c r="F12022" s="294" t="s">
        <v>249</v>
      </c>
      <c r="G12022" s="297" t="s">
        <v>250</v>
      </c>
      <c r="J12022" s="639">
        <f t="shared" si="378"/>
        <v>0</v>
      </c>
    </row>
    <row r="12023" spans="5:10" ht="15.75" hidden="1" thickBot="1">
      <c r="F12023" s="294" t="s">
        <v>251</v>
      </c>
      <c r="G12023" s="297" t="s">
        <v>252</v>
      </c>
      <c r="J12023" s="639">
        <f t="shared" si="378"/>
        <v>0</v>
      </c>
    </row>
    <row r="12024" spans="5:10" ht="15.75" hidden="1" thickBot="1">
      <c r="F12024" s="294" t="s">
        <v>253</v>
      </c>
      <c r="G12024" s="297" t="s">
        <v>254</v>
      </c>
      <c r="J12024" s="639">
        <f t="shared" si="378"/>
        <v>0</v>
      </c>
    </row>
    <row r="12025" spans="5:10" ht="15.75" hidden="1" thickBot="1">
      <c r="F12025" s="294" t="s">
        <v>255</v>
      </c>
      <c r="G12025" s="297" t="s">
        <v>256</v>
      </c>
      <c r="J12025" s="639">
        <f t="shared" si="378"/>
        <v>0</v>
      </c>
    </row>
    <row r="12026" spans="5:10" ht="15.75" hidden="1" thickBot="1">
      <c r="F12026" s="294" t="s">
        <v>257</v>
      </c>
      <c r="G12026" s="297" t="s">
        <v>258</v>
      </c>
      <c r="J12026" s="639">
        <f t="shared" si="378"/>
        <v>0</v>
      </c>
    </row>
    <row r="12027" spans="5:10" ht="15.75" hidden="1" thickBot="1">
      <c r="F12027" s="294" t="s">
        <v>259</v>
      </c>
      <c r="G12027" s="297" t="s">
        <v>260</v>
      </c>
      <c r="J12027" s="639">
        <f t="shared" si="378"/>
        <v>0</v>
      </c>
    </row>
    <row r="12028" spans="5:10" ht="15.75" hidden="1" thickBot="1">
      <c r="F12028" s="294" t="s">
        <v>261</v>
      </c>
      <c r="G12028" s="297" t="s">
        <v>262</v>
      </c>
      <c r="H12028" s="638"/>
      <c r="I12028" s="639"/>
      <c r="J12028" s="639">
        <f t="shared" si="378"/>
        <v>0</v>
      </c>
    </row>
    <row r="12029" spans="5:10" ht="15.75" hidden="1" thickBot="1">
      <c r="G12029" s="274" t="s">
        <v>4330</v>
      </c>
      <c r="H12029" s="640">
        <f>SUM(H12013:H12028)</f>
        <v>0</v>
      </c>
      <c r="I12029" s="641">
        <f>SUM(I12014:I12028)</f>
        <v>0</v>
      </c>
      <c r="J12029" s="641">
        <f>SUM(J12013:J12028)</f>
        <v>0</v>
      </c>
    </row>
    <row r="12030" spans="5:10" hidden="1"/>
    <row r="12031" spans="5:10" hidden="1">
      <c r="E12031" s="516"/>
      <c r="F12031" s="528"/>
      <c r="G12031" s="295" t="s">
        <v>5072</v>
      </c>
      <c r="H12031" s="646"/>
      <c r="I12031" s="664"/>
      <c r="J12031" s="647"/>
    </row>
    <row r="12032" spans="5:10" hidden="1">
      <c r="E12032" s="267"/>
      <c r="F12032" s="294" t="s">
        <v>234</v>
      </c>
      <c r="G12032" s="297" t="s">
        <v>235</v>
      </c>
      <c r="H12032" s="638">
        <f>SUM(H12013)</f>
        <v>0</v>
      </c>
      <c r="I12032" s="639"/>
      <c r="J12032" s="639">
        <f>SUM(H12032:I12032)</f>
        <v>0</v>
      </c>
    </row>
    <row r="12033" spans="6:10" hidden="1">
      <c r="F12033" s="294" t="s">
        <v>236</v>
      </c>
      <c r="G12033" s="297" t="s">
        <v>237</v>
      </c>
      <c r="J12033" s="639">
        <f t="shared" ref="J12033:J12047" si="379">SUM(H12033:I12033)</f>
        <v>0</v>
      </c>
    </row>
    <row r="12034" spans="6:10" hidden="1">
      <c r="F12034" s="294" t="s">
        <v>238</v>
      </c>
      <c r="G12034" s="297" t="s">
        <v>239</v>
      </c>
      <c r="J12034" s="639">
        <f t="shared" si="379"/>
        <v>0</v>
      </c>
    </row>
    <row r="12035" spans="6:10" ht="15.75" hidden="1" thickBot="1">
      <c r="F12035" s="294" t="s">
        <v>240</v>
      </c>
      <c r="G12035" s="297" t="s">
        <v>241</v>
      </c>
      <c r="J12035" s="639">
        <f t="shared" si="379"/>
        <v>0</v>
      </c>
    </row>
    <row r="12036" spans="6:10" ht="15.75" hidden="1" thickBot="1">
      <c r="F12036" s="294" t="s">
        <v>242</v>
      </c>
      <c r="G12036" s="297" t="s">
        <v>243</v>
      </c>
      <c r="J12036" s="639">
        <f t="shared" si="379"/>
        <v>0</v>
      </c>
    </row>
    <row r="12037" spans="6:10" ht="15.75" hidden="1" thickBot="1">
      <c r="F12037" s="294" t="s">
        <v>244</v>
      </c>
      <c r="G12037" s="297" t="s">
        <v>245</v>
      </c>
      <c r="J12037" s="639">
        <f t="shared" si="379"/>
        <v>0</v>
      </c>
    </row>
    <row r="12038" spans="6:10" ht="15.75" hidden="1" thickBot="1">
      <c r="F12038" s="294" t="s">
        <v>246</v>
      </c>
      <c r="G12038" s="683" t="s">
        <v>5121</v>
      </c>
      <c r="J12038" s="639">
        <f t="shared" si="379"/>
        <v>0</v>
      </c>
    </row>
    <row r="12039" spans="6:10" ht="15.75" hidden="1" thickBot="1">
      <c r="F12039" s="294" t="s">
        <v>247</v>
      </c>
      <c r="G12039" s="683" t="s">
        <v>5120</v>
      </c>
      <c r="J12039" s="639">
        <f t="shared" si="379"/>
        <v>0</v>
      </c>
    </row>
    <row r="12040" spans="6:10" ht="15.75" hidden="1" thickBot="1">
      <c r="F12040" s="294" t="s">
        <v>248</v>
      </c>
      <c r="G12040" s="297" t="s">
        <v>57</v>
      </c>
      <c r="J12040" s="639">
        <f t="shared" si="379"/>
        <v>0</v>
      </c>
    </row>
    <row r="12041" spans="6:10" ht="15.75" hidden="1" thickBot="1">
      <c r="F12041" s="294" t="s">
        <v>249</v>
      </c>
      <c r="G12041" s="297" t="s">
        <v>250</v>
      </c>
      <c r="J12041" s="639">
        <f t="shared" si="379"/>
        <v>0</v>
      </c>
    </row>
    <row r="12042" spans="6:10" ht="15.75" hidden="1" thickBot="1">
      <c r="F12042" s="294" t="s">
        <v>251</v>
      </c>
      <c r="G12042" s="297" t="s">
        <v>252</v>
      </c>
      <c r="J12042" s="639">
        <f t="shared" si="379"/>
        <v>0</v>
      </c>
    </row>
    <row r="12043" spans="6:10" ht="15.75" hidden="1" thickBot="1">
      <c r="F12043" s="294" t="s">
        <v>253</v>
      </c>
      <c r="G12043" s="297" t="s">
        <v>254</v>
      </c>
      <c r="J12043" s="639">
        <f t="shared" si="379"/>
        <v>0</v>
      </c>
    </row>
    <row r="12044" spans="6:10" ht="15.75" hidden="1" thickBot="1">
      <c r="F12044" s="294" t="s">
        <v>255</v>
      </c>
      <c r="G12044" s="297" t="s">
        <v>256</v>
      </c>
      <c r="J12044" s="639">
        <f t="shared" si="379"/>
        <v>0</v>
      </c>
    </row>
    <row r="12045" spans="6:10" ht="15.75" hidden="1" thickBot="1">
      <c r="F12045" s="294" t="s">
        <v>257</v>
      </c>
      <c r="G12045" s="297" t="s">
        <v>258</v>
      </c>
      <c r="J12045" s="639">
        <f t="shared" si="379"/>
        <v>0</v>
      </c>
    </row>
    <row r="12046" spans="6:10" ht="15.75" hidden="1" thickBot="1">
      <c r="F12046" s="294" t="s">
        <v>259</v>
      </c>
      <c r="G12046" s="297" t="s">
        <v>260</v>
      </c>
      <c r="J12046" s="639">
        <f t="shared" si="379"/>
        <v>0</v>
      </c>
    </row>
    <row r="12047" spans="6:10" ht="15.75" hidden="1" thickBot="1">
      <c r="F12047" s="294" t="s">
        <v>261</v>
      </c>
      <c r="G12047" s="297" t="s">
        <v>262</v>
      </c>
      <c r="H12047" s="638"/>
      <c r="I12047" s="639"/>
      <c r="J12047" s="639">
        <f t="shared" si="379"/>
        <v>0</v>
      </c>
    </row>
    <row r="12048" spans="6:10" ht="15.75" hidden="1" thickBot="1">
      <c r="G12048" s="274" t="s">
        <v>5073</v>
      </c>
      <c r="H12048" s="640">
        <f>SUM(H12032:H12047)</f>
        <v>0</v>
      </c>
      <c r="I12048" s="641">
        <f>SUM(I12033:I12047)</f>
        <v>0</v>
      </c>
      <c r="J12048" s="641">
        <f>SUM(J12032:J12047)</f>
        <v>0</v>
      </c>
    </row>
    <row r="12049" spans="1:10" hidden="1"/>
    <row r="12050" spans="1:10" hidden="1"/>
    <row r="12051" spans="1:10">
      <c r="A12051" s="289"/>
      <c r="B12051" s="289">
        <v>7</v>
      </c>
      <c r="C12051" s="265"/>
      <c r="D12051" s="261"/>
      <c r="E12051" s="261"/>
      <c r="F12051" s="261"/>
      <c r="G12051" s="329" t="s">
        <v>5222</v>
      </c>
      <c r="H12051" s="632"/>
      <c r="I12051" s="633"/>
      <c r="J12051" s="633"/>
    </row>
    <row r="12052" spans="1:10" ht="16.5" customHeight="1">
      <c r="C12052" s="273" t="s">
        <v>3579</v>
      </c>
      <c r="G12052" s="560" t="s">
        <v>4336</v>
      </c>
    </row>
    <row r="12053" spans="1:10">
      <c r="C12053" s="273" t="s">
        <v>4337</v>
      </c>
      <c r="D12053" s="264"/>
      <c r="G12053" s="560" t="s">
        <v>4338</v>
      </c>
    </row>
    <row r="12054" spans="1:10">
      <c r="C12054" s="273"/>
      <c r="D12054" s="357">
        <v>911</v>
      </c>
      <c r="E12054" s="357"/>
      <c r="F12054" s="357"/>
      <c r="G12054" s="358" t="s">
        <v>214</v>
      </c>
    </row>
    <row r="12055" spans="1:10">
      <c r="E12055" s="263">
        <v>114</v>
      </c>
      <c r="F12055" s="569">
        <v>411</v>
      </c>
      <c r="G12055" s="562" t="s">
        <v>4173</v>
      </c>
      <c r="H12055" s="634">
        <v>13088260</v>
      </c>
      <c r="J12055" s="635">
        <f>SUM(H12055:I12055)</f>
        <v>13088260</v>
      </c>
    </row>
    <row r="12056" spans="1:10">
      <c r="E12056" s="263">
        <v>115</v>
      </c>
      <c r="F12056" s="569">
        <v>412</v>
      </c>
      <c r="G12056" s="558" t="s">
        <v>3770</v>
      </c>
      <c r="H12056" s="634">
        <v>2342788</v>
      </c>
      <c r="J12056" s="635">
        <f t="shared" ref="J12056:J12114" si="380">SUM(H12056:I12056)</f>
        <v>2342788</v>
      </c>
    </row>
    <row r="12057" spans="1:10">
      <c r="F12057" s="569">
        <v>413</v>
      </c>
      <c r="G12057" s="562" t="s">
        <v>4174</v>
      </c>
      <c r="J12057" s="635">
        <f t="shared" si="380"/>
        <v>0</v>
      </c>
    </row>
    <row r="12058" spans="1:10">
      <c r="E12058" s="263">
        <v>116</v>
      </c>
      <c r="F12058" s="569">
        <v>414</v>
      </c>
      <c r="G12058" s="562" t="s">
        <v>3773</v>
      </c>
      <c r="H12058" s="634">
        <v>298011</v>
      </c>
      <c r="I12058" s="635">
        <v>1400000</v>
      </c>
      <c r="J12058" s="635">
        <f t="shared" si="380"/>
        <v>1698011</v>
      </c>
    </row>
    <row r="12059" spans="1:10" ht="15" customHeight="1">
      <c r="F12059" s="569">
        <v>415</v>
      </c>
      <c r="G12059" s="562" t="s">
        <v>4183</v>
      </c>
      <c r="I12059" s="635">
        <v>210000</v>
      </c>
      <c r="J12059" s="635">
        <f t="shared" si="380"/>
        <v>210000</v>
      </c>
    </row>
    <row r="12060" spans="1:10">
      <c r="E12060" s="263">
        <v>117</v>
      </c>
      <c r="F12060" s="569">
        <v>416</v>
      </c>
      <c r="G12060" s="562" t="s">
        <v>4184</v>
      </c>
      <c r="H12060" s="634">
        <v>33552</v>
      </c>
      <c r="J12060" s="635">
        <f t="shared" si="380"/>
        <v>33552</v>
      </c>
    </row>
    <row r="12061" spans="1:10" hidden="1">
      <c r="F12061" s="569">
        <v>417</v>
      </c>
      <c r="G12061" s="562" t="s">
        <v>4185</v>
      </c>
      <c r="J12061" s="635">
        <f t="shared" si="380"/>
        <v>0</v>
      </c>
    </row>
    <row r="12062" spans="1:10" hidden="1">
      <c r="F12062" s="569">
        <v>418</v>
      </c>
      <c r="G12062" s="562" t="s">
        <v>3779</v>
      </c>
      <c r="J12062" s="635">
        <f t="shared" si="380"/>
        <v>0</v>
      </c>
    </row>
    <row r="12063" spans="1:10">
      <c r="F12063" s="569">
        <v>421</v>
      </c>
      <c r="G12063" s="562" t="s">
        <v>3783</v>
      </c>
      <c r="I12063" s="635">
        <v>1820700</v>
      </c>
      <c r="J12063" s="635">
        <f t="shared" si="380"/>
        <v>1820700</v>
      </c>
    </row>
    <row r="12064" spans="1:10">
      <c r="F12064" s="569">
        <v>422</v>
      </c>
      <c r="G12064" s="562" t="s">
        <v>3784</v>
      </c>
      <c r="I12064" s="635">
        <v>380750</v>
      </c>
      <c r="J12064" s="635">
        <f t="shared" si="380"/>
        <v>380750</v>
      </c>
    </row>
    <row r="12065" spans="6:12">
      <c r="F12065" s="569">
        <v>423</v>
      </c>
      <c r="G12065" s="562" t="s">
        <v>3785</v>
      </c>
      <c r="I12065" s="635">
        <v>780650</v>
      </c>
      <c r="J12065" s="635">
        <f t="shared" si="380"/>
        <v>780650</v>
      </c>
    </row>
    <row r="12066" spans="6:12">
      <c r="F12066" s="569">
        <v>424</v>
      </c>
      <c r="G12066" s="562" t="s">
        <v>3787</v>
      </c>
      <c r="I12066" s="635">
        <v>242077</v>
      </c>
      <c r="J12066" s="635">
        <f t="shared" si="380"/>
        <v>242077</v>
      </c>
      <c r="L12066" s="775"/>
    </row>
    <row r="12067" spans="6:12">
      <c r="F12067" s="569">
        <v>425</v>
      </c>
      <c r="G12067" s="562" t="s">
        <v>4186</v>
      </c>
      <c r="I12067" s="635">
        <v>872250</v>
      </c>
      <c r="J12067" s="635">
        <f t="shared" si="380"/>
        <v>872250</v>
      </c>
    </row>
    <row r="12068" spans="6:12">
      <c r="F12068" s="569">
        <v>426</v>
      </c>
      <c r="G12068" s="562" t="s">
        <v>3791</v>
      </c>
      <c r="I12068" s="635">
        <v>3801516</v>
      </c>
      <c r="J12068" s="635">
        <f t="shared" si="380"/>
        <v>3801516</v>
      </c>
      <c r="L12068" s="775"/>
    </row>
    <row r="12069" spans="6:12" ht="18" hidden="1" customHeight="1">
      <c r="F12069" s="569">
        <v>431</v>
      </c>
      <c r="G12069" s="562" t="s">
        <v>4187</v>
      </c>
      <c r="J12069" s="635">
        <f t="shared" si="380"/>
        <v>0</v>
      </c>
    </row>
    <row r="12070" spans="6:12" hidden="1">
      <c r="F12070" s="569">
        <v>432</v>
      </c>
      <c r="G12070" s="562" t="s">
        <v>4188</v>
      </c>
      <c r="J12070" s="635">
        <f t="shared" si="380"/>
        <v>0</v>
      </c>
    </row>
    <row r="12071" spans="6:12" hidden="1">
      <c r="F12071" s="569">
        <v>433</v>
      </c>
      <c r="G12071" s="562" t="s">
        <v>4189</v>
      </c>
      <c r="J12071" s="635">
        <f t="shared" si="380"/>
        <v>0</v>
      </c>
    </row>
    <row r="12072" spans="6:12" hidden="1">
      <c r="F12072" s="569">
        <v>434</v>
      </c>
      <c r="G12072" s="562" t="s">
        <v>4190</v>
      </c>
      <c r="J12072" s="635">
        <f t="shared" si="380"/>
        <v>0</v>
      </c>
    </row>
    <row r="12073" spans="6:12" hidden="1">
      <c r="F12073" s="569">
        <v>435</v>
      </c>
      <c r="G12073" s="562" t="s">
        <v>3798</v>
      </c>
      <c r="J12073" s="635">
        <f t="shared" si="380"/>
        <v>0</v>
      </c>
    </row>
    <row r="12074" spans="6:12" hidden="1">
      <c r="F12074" s="569">
        <v>441</v>
      </c>
      <c r="G12074" s="562" t="s">
        <v>4191</v>
      </c>
      <c r="J12074" s="635">
        <f t="shared" si="380"/>
        <v>0</v>
      </c>
    </row>
    <row r="12075" spans="6:12" hidden="1">
      <c r="F12075" s="569">
        <v>442</v>
      </c>
      <c r="G12075" s="562" t="s">
        <v>4192</v>
      </c>
      <c r="J12075" s="635">
        <f t="shared" si="380"/>
        <v>0</v>
      </c>
    </row>
    <row r="12076" spans="6:12" hidden="1">
      <c r="F12076" s="569">
        <v>443</v>
      </c>
      <c r="G12076" s="562" t="s">
        <v>3803</v>
      </c>
      <c r="J12076" s="635">
        <f t="shared" si="380"/>
        <v>0</v>
      </c>
    </row>
    <row r="12077" spans="6:12" hidden="1">
      <c r="F12077" s="569">
        <v>444</v>
      </c>
      <c r="G12077" s="562" t="s">
        <v>3804</v>
      </c>
      <c r="J12077" s="635">
        <f t="shared" si="380"/>
        <v>0</v>
      </c>
    </row>
    <row r="12078" spans="6:12" ht="30" hidden="1">
      <c r="F12078" s="569">
        <v>4511</v>
      </c>
      <c r="G12078" s="268" t="s">
        <v>1690</v>
      </c>
      <c r="J12078" s="635">
        <f t="shared" si="380"/>
        <v>0</v>
      </c>
    </row>
    <row r="12079" spans="6:12" ht="19.5" hidden="1" customHeight="1">
      <c r="F12079" s="569">
        <v>4512</v>
      </c>
      <c r="G12079" s="268" t="s">
        <v>1699</v>
      </c>
      <c r="J12079" s="635">
        <f t="shared" si="380"/>
        <v>0</v>
      </c>
    </row>
    <row r="12080" spans="6:12" hidden="1">
      <c r="F12080" s="569">
        <v>452</v>
      </c>
      <c r="G12080" s="562" t="s">
        <v>4193</v>
      </c>
      <c r="J12080" s="635">
        <f t="shared" si="380"/>
        <v>0</v>
      </c>
    </row>
    <row r="12081" spans="5:10" hidden="1">
      <c r="F12081" s="569">
        <v>453</v>
      </c>
      <c r="G12081" s="562" t="s">
        <v>4194</v>
      </c>
      <c r="J12081" s="635">
        <f t="shared" si="380"/>
        <v>0</v>
      </c>
    </row>
    <row r="12082" spans="5:10" hidden="1">
      <c r="F12082" s="569">
        <v>454</v>
      </c>
      <c r="G12082" s="562" t="s">
        <v>3809</v>
      </c>
      <c r="J12082" s="635">
        <f t="shared" si="380"/>
        <v>0</v>
      </c>
    </row>
    <row r="12083" spans="5:10" hidden="1">
      <c r="F12083" s="569">
        <v>461</v>
      </c>
      <c r="G12083" s="562" t="s">
        <v>4175</v>
      </c>
      <c r="J12083" s="635">
        <f t="shared" si="380"/>
        <v>0</v>
      </c>
    </row>
    <row r="12084" spans="5:10" hidden="1">
      <c r="F12084" s="569">
        <v>462</v>
      </c>
      <c r="G12084" s="562" t="s">
        <v>3812</v>
      </c>
      <c r="J12084" s="635">
        <f t="shared" si="380"/>
        <v>0</v>
      </c>
    </row>
    <row r="12085" spans="5:10" hidden="1">
      <c r="F12085" s="569">
        <v>4631</v>
      </c>
      <c r="G12085" s="562" t="s">
        <v>3813</v>
      </c>
      <c r="J12085" s="635">
        <f t="shared" si="380"/>
        <v>0</v>
      </c>
    </row>
    <row r="12086" spans="5:10" hidden="1">
      <c r="F12086" s="569">
        <v>4632</v>
      </c>
      <c r="G12086" s="562" t="s">
        <v>3814</v>
      </c>
      <c r="J12086" s="635">
        <f t="shared" si="380"/>
        <v>0</v>
      </c>
    </row>
    <row r="12087" spans="5:10" hidden="1">
      <c r="F12087" s="569">
        <v>464</v>
      </c>
      <c r="G12087" s="562" t="s">
        <v>3815</v>
      </c>
      <c r="J12087" s="635">
        <f t="shared" si="380"/>
        <v>0</v>
      </c>
    </row>
    <row r="12088" spans="5:10">
      <c r="E12088" s="263">
        <v>118</v>
      </c>
      <c r="F12088" s="569">
        <v>465</v>
      </c>
      <c r="G12088" s="562" t="s">
        <v>4176</v>
      </c>
      <c r="H12088" s="634">
        <v>936000</v>
      </c>
      <c r="J12088" s="635">
        <f t="shared" si="380"/>
        <v>936000</v>
      </c>
    </row>
    <row r="12089" spans="5:10" hidden="1">
      <c r="F12089" s="569">
        <v>472</v>
      </c>
      <c r="G12089" s="562" t="s">
        <v>3819</v>
      </c>
      <c r="J12089" s="635">
        <f t="shared" si="380"/>
        <v>0</v>
      </c>
    </row>
    <row r="12090" spans="5:10" hidden="1">
      <c r="F12090" s="569">
        <v>481</v>
      </c>
      <c r="G12090" s="562" t="s">
        <v>4195</v>
      </c>
      <c r="J12090" s="635">
        <f t="shared" si="380"/>
        <v>0</v>
      </c>
    </row>
    <row r="12091" spans="5:10">
      <c r="F12091" s="569">
        <v>482</v>
      </c>
      <c r="G12091" s="562" t="s">
        <v>4196</v>
      </c>
      <c r="I12091" s="635">
        <v>8000</v>
      </c>
      <c r="J12091" s="635">
        <f t="shared" si="380"/>
        <v>8000</v>
      </c>
    </row>
    <row r="12092" spans="5:10">
      <c r="E12092" s="263">
        <v>119</v>
      </c>
      <c r="F12092" s="569">
        <v>483</v>
      </c>
      <c r="G12092" s="566" t="s">
        <v>4197</v>
      </c>
      <c r="H12092" s="634">
        <v>250000</v>
      </c>
      <c r="I12092" s="635">
        <v>1500</v>
      </c>
      <c r="J12092" s="635">
        <f t="shared" si="380"/>
        <v>251500</v>
      </c>
    </row>
    <row r="12093" spans="5:10" ht="30" hidden="1">
      <c r="F12093" s="569">
        <v>484</v>
      </c>
      <c r="G12093" s="562" t="s">
        <v>4198</v>
      </c>
      <c r="J12093" s="635">
        <f t="shared" si="380"/>
        <v>0</v>
      </c>
    </row>
    <row r="12094" spans="5:10" ht="30" hidden="1">
      <c r="F12094" s="569">
        <v>485</v>
      </c>
      <c r="G12094" s="562" t="s">
        <v>4199</v>
      </c>
      <c r="J12094" s="635">
        <f t="shared" si="380"/>
        <v>0</v>
      </c>
    </row>
    <row r="12095" spans="5:10" ht="30" hidden="1">
      <c r="F12095" s="569">
        <v>489</v>
      </c>
      <c r="G12095" s="562" t="s">
        <v>3827</v>
      </c>
      <c r="J12095" s="635">
        <f t="shared" si="380"/>
        <v>0</v>
      </c>
    </row>
    <row r="12096" spans="5:10" hidden="1">
      <c r="F12096" s="569">
        <v>494</v>
      </c>
      <c r="G12096" s="562" t="s">
        <v>4177</v>
      </c>
      <c r="J12096" s="635">
        <f t="shared" si="380"/>
        <v>0</v>
      </c>
    </row>
    <row r="12097" spans="6:10" ht="30" hidden="1">
      <c r="F12097" s="569">
        <v>495</v>
      </c>
      <c r="G12097" s="562" t="s">
        <v>4178</v>
      </c>
      <c r="J12097" s="635">
        <f t="shared" si="380"/>
        <v>0</v>
      </c>
    </row>
    <row r="12098" spans="6:10" ht="30" hidden="1">
      <c r="F12098" s="569">
        <v>496</v>
      </c>
      <c r="G12098" s="562" t="s">
        <v>4179</v>
      </c>
      <c r="J12098" s="635">
        <f t="shared" si="380"/>
        <v>0</v>
      </c>
    </row>
    <row r="12099" spans="6:10" hidden="1">
      <c r="F12099" s="569">
        <v>499</v>
      </c>
      <c r="G12099" s="562" t="s">
        <v>4180</v>
      </c>
      <c r="J12099" s="635">
        <f t="shared" si="380"/>
        <v>0</v>
      </c>
    </row>
    <row r="12100" spans="6:10" ht="16.5" customHeight="1">
      <c r="F12100" s="569">
        <v>511</v>
      </c>
      <c r="G12100" s="566" t="s">
        <v>4200</v>
      </c>
      <c r="I12100" s="635">
        <v>200000</v>
      </c>
      <c r="J12100" s="635">
        <f t="shared" si="380"/>
        <v>200000</v>
      </c>
    </row>
    <row r="12101" spans="6:10" ht="15.75" thickBot="1">
      <c r="F12101" s="569">
        <v>512</v>
      </c>
      <c r="G12101" s="566" t="s">
        <v>4201</v>
      </c>
      <c r="I12101" s="635">
        <v>1900000</v>
      </c>
      <c r="J12101" s="635">
        <f t="shared" si="380"/>
        <v>1900000</v>
      </c>
    </row>
    <row r="12102" spans="6:10" ht="15.75" hidden="1" thickBot="1">
      <c r="F12102" s="569">
        <v>513</v>
      </c>
      <c r="G12102" s="566" t="s">
        <v>4202</v>
      </c>
      <c r="J12102" s="635">
        <f t="shared" si="380"/>
        <v>0</v>
      </c>
    </row>
    <row r="12103" spans="6:10" ht="15.75" hidden="1" thickBot="1">
      <c r="F12103" s="569">
        <v>514</v>
      </c>
      <c r="G12103" s="562" t="s">
        <v>4203</v>
      </c>
      <c r="J12103" s="635">
        <f t="shared" si="380"/>
        <v>0</v>
      </c>
    </row>
    <row r="12104" spans="6:10" ht="15.75" hidden="1" thickBot="1">
      <c r="F12104" s="569">
        <v>515</v>
      </c>
      <c r="G12104" s="562" t="s">
        <v>3838</v>
      </c>
      <c r="J12104" s="635">
        <f t="shared" si="380"/>
        <v>0</v>
      </c>
    </row>
    <row r="12105" spans="6:10" ht="15.75" hidden="1" thickBot="1">
      <c r="F12105" s="569">
        <v>521</v>
      </c>
      <c r="G12105" s="562" t="s">
        <v>4204</v>
      </c>
      <c r="J12105" s="635">
        <f t="shared" si="380"/>
        <v>0</v>
      </c>
    </row>
    <row r="12106" spans="6:10" ht="15.75" hidden="1" thickBot="1">
      <c r="F12106" s="569">
        <v>522</v>
      </c>
      <c r="G12106" s="562" t="s">
        <v>4205</v>
      </c>
      <c r="J12106" s="635">
        <f t="shared" si="380"/>
        <v>0</v>
      </c>
    </row>
    <row r="12107" spans="6:10" ht="15.75" hidden="1" thickBot="1">
      <c r="F12107" s="569">
        <v>523</v>
      </c>
      <c r="G12107" s="562" t="s">
        <v>3843</v>
      </c>
      <c r="J12107" s="635">
        <f t="shared" si="380"/>
        <v>0</v>
      </c>
    </row>
    <row r="12108" spans="6:10" ht="15.75" hidden="1" thickBot="1">
      <c r="F12108" s="569">
        <v>531</v>
      </c>
      <c r="G12108" s="558" t="s">
        <v>4181</v>
      </c>
      <c r="J12108" s="635">
        <f t="shared" si="380"/>
        <v>0</v>
      </c>
    </row>
    <row r="12109" spans="6:10" ht="15.75" hidden="1" thickBot="1">
      <c r="F12109" s="569">
        <v>541</v>
      </c>
      <c r="G12109" s="562" t="s">
        <v>4206</v>
      </c>
      <c r="J12109" s="635">
        <f t="shared" si="380"/>
        <v>0</v>
      </c>
    </row>
    <row r="12110" spans="6:10" ht="15.75" hidden="1" thickBot="1">
      <c r="F12110" s="569">
        <v>542</v>
      </c>
      <c r="G12110" s="562" t="s">
        <v>4207</v>
      </c>
      <c r="J12110" s="635">
        <f t="shared" si="380"/>
        <v>0</v>
      </c>
    </row>
    <row r="12111" spans="6:10" ht="15.75" hidden="1" thickBot="1">
      <c r="F12111" s="569">
        <v>543</v>
      </c>
      <c r="G12111" s="562" t="s">
        <v>3848</v>
      </c>
      <c r="J12111" s="635">
        <f t="shared" si="380"/>
        <v>0</v>
      </c>
    </row>
    <row r="12112" spans="6:10" ht="30.75" hidden="1" thickBot="1">
      <c r="F12112" s="569">
        <v>551</v>
      </c>
      <c r="G12112" s="562" t="s">
        <v>4182</v>
      </c>
      <c r="J12112" s="635">
        <f t="shared" si="380"/>
        <v>0</v>
      </c>
    </row>
    <row r="12113" spans="5:13" ht="15.75" hidden="1" thickBot="1">
      <c r="F12113" s="570">
        <v>611</v>
      </c>
      <c r="G12113" s="568" t="s">
        <v>3854</v>
      </c>
      <c r="J12113" s="635">
        <f t="shared" si="380"/>
        <v>0</v>
      </c>
    </row>
    <row r="12114" spans="5:13" ht="15.75" hidden="1" thickBot="1">
      <c r="F12114" s="570">
        <v>620</v>
      </c>
      <c r="G12114" s="568" t="s">
        <v>88</v>
      </c>
      <c r="J12114" s="635">
        <f t="shared" si="380"/>
        <v>0</v>
      </c>
    </row>
    <row r="12115" spans="5:13">
      <c r="E12115" s="559"/>
      <c r="F12115" s="570"/>
      <c r="G12115" s="372" t="s">
        <v>4448</v>
      </c>
      <c r="H12115" s="636"/>
      <c r="I12115" s="662"/>
      <c r="J12115" s="637"/>
      <c r="M12115" s="775"/>
    </row>
    <row r="12116" spans="5:13">
      <c r="E12116" s="267"/>
      <c r="F12116" s="294" t="s">
        <v>234</v>
      </c>
      <c r="G12116" s="297" t="s">
        <v>235</v>
      </c>
      <c r="H12116" s="638">
        <f>SUM(H12055:H12101)</f>
        <v>16948611</v>
      </c>
      <c r="I12116" s="639"/>
      <c r="J12116" s="639">
        <f t="shared" ref="J12116:J12131" si="381">SUM(H12116:I12116)</f>
        <v>16948611</v>
      </c>
    </row>
    <row r="12117" spans="5:13" hidden="1">
      <c r="F12117" s="294" t="s">
        <v>236</v>
      </c>
      <c r="G12117" s="297" t="s">
        <v>237</v>
      </c>
      <c r="J12117" s="639">
        <f t="shared" si="381"/>
        <v>0</v>
      </c>
    </row>
    <row r="12118" spans="5:13" hidden="1">
      <c r="F12118" s="294" t="s">
        <v>238</v>
      </c>
      <c r="G12118" s="297" t="s">
        <v>239</v>
      </c>
      <c r="J12118" s="639">
        <f t="shared" si="381"/>
        <v>0</v>
      </c>
    </row>
    <row r="12119" spans="5:13">
      <c r="F12119" s="294" t="s">
        <v>240</v>
      </c>
      <c r="G12119" s="297" t="s">
        <v>241</v>
      </c>
      <c r="I12119" s="635">
        <v>6461666</v>
      </c>
      <c r="J12119" s="639">
        <f t="shared" si="381"/>
        <v>6461666</v>
      </c>
    </row>
    <row r="12120" spans="5:13" hidden="1">
      <c r="F12120" s="294" t="s">
        <v>242</v>
      </c>
      <c r="G12120" s="297" t="s">
        <v>243</v>
      </c>
      <c r="J12120" s="639">
        <f t="shared" si="381"/>
        <v>0</v>
      </c>
    </row>
    <row r="12121" spans="5:13" hidden="1">
      <c r="F12121" s="294" t="s">
        <v>244</v>
      </c>
      <c r="G12121" s="297" t="s">
        <v>245</v>
      </c>
      <c r="J12121" s="639">
        <f t="shared" si="381"/>
        <v>0</v>
      </c>
    </row>
    <row r="12122" spans="5:13" ht="15.75" thickBot="1">
      <c r="F12122" s="294" t="s">
        <v>246</v>
      </c>
      <c r="G12122" s="683" t="s">
        <v>5121</v>
      </c>
      <c r="I12122" s="635">
        <v>5155777</v>
      </c>
      <c r="J12122" s="639">
        <f t="shared" si="381"/>
        <v>5155777</v>
      </c>
    </row>
    <row r="12123" spans="5:13" hidden="1">
      <c r="F12123" s="294" t="s">
        <v>247</v>
      </c>
      <c r="G12123" s="683" t="s">
        <v>5120</v>
      </c>
      <c r="J12123" s="639">
        <f t="shared" si="381"/>
        <v>0</v>
      </c>
    </row>
    <row r="12124" spans="5:13" hidden="1">
      <c r="F12124" s="294" t="s">
        <v>248</v>
      </c>
      <c r="G12124" s="297" t="s">
        <v>57</v>
      </c>
      <c r="J12124" s="639">
        <f t="shared" si="381"/>
        <v>0</v>
      </c>
    </row>
    <row r="12125" spans="5:13" hidden="1">
      <c r="F12125" s="294" t="s">
        <v>249</v>
      </c>
      <c r="G12125" s="297" t="s">
        <v>250</v>
      </c>
      <c r="J12125" s="639">
        <f t="shared" si="381"/>
        <v>0</v>
      </c>
    </row>
    <row r="12126" spans="5:13" hidden="1">
      <c r="F12126" s="294" t="s">
        <v>251</v>
      </c>
      <c r="G12126" s="297" t="s">
        <v>252</v>
      </c>
      <c r="J12126" s="639">
        <f t="shared" si="381"/>
        <v>0</v>
      </c>
    </row>
    <row r="12127" spans="5:13" hidden="1">
      <c r="F12127" s="294" t="s">
        <v>253</v>
      </c>
      <c r="G12127" s="297" t="s">
        <v>254</v>
      </c>
      <c r="J12127" s="639">
        <f t="shared" si="381"/>
        <v>0</v>
      </c>
    </row>
    <row r="12128" spans="5:13" hidden="1">
      <c r="F12128" s="294" t="s">
        <v>255</v>
      </c>
      <c r="G12128" s="297" t="s">
        <v>256</v>
      </c>
      <c r="J12128" s="639">
        <f t="shared" si="381"/>
        <v>0</v>
      </c>
    </row>
    <row r="12129" spans="5:10" hidden="1">
      <c r="F12129" s="294" t="s">
        <v>257</v>
      </c>
      <c r="G12129" s="297" t="s">
        <v>258</v>
      </c>
      <c r="J12129" s="639">
        <f t="shared" si="381"/>
        <v>0</v>
      </c>
    </row>
    <row r="12130" spans="5:10" hidden="1">
      <c r="F12130" s="294" t="s">
        <v>259</v>
      </c>
      <c r="G12130" s="297" t="s">
        <v>260</v>
      </c>
      <c r="J12130" s="639">
        <f t="shared" si="381"/>
        <v>0</v>
      </c>
    </row>
    <row r="12131" spans="5:10" ht="15.75" hidden="1" thickBot="1">
      <c r="F12131" s="294" t="s">
        <v>261</v>
      </c>
      <c r="G12131" s="297" t="s">
        <v>262</v>
      </c>
      <c r="H12131" s="638"/>
      <c r="I12131" s="639"/>
      <c r="J12131" s="639">
        <f t="shared" si="381"/>
        <v>0</v>
      </c>
    </row>
    <row r="12132" spans="5:10" ht="15.75" thickBot="1">
      <c r="G12132" s="274" t="s">
        <v>4449</v>
      </c>
      <c r="H12132" s="640">
        <f>SUM(H12116:H12131)</f>
        <v>16948611</v>
      </c>
      <c r="I12132" s="641">
        <f>SUM(I12119:I12122)</f>
        <v>11617443</v>
      </c>
      <c r="J12132" s="641">
        <f>SUM(J12116:J12131)</f>
        <v>28566054</v>
      </c>
    </row>
    <row r="12133" spans="5:10" collapsed="1">
      <c r="E12133" s="559"/>
      <c r="F12133" s="570"/>
      <c r="G12133" s="276" t="s">
        <v>4472</v>
      </c>
      <c r="H12133" s="642"/>
      <c r="I12133" s="663"/>
      <c r="J12133" s="643"/>
    </row>
    <row r="12134" spans="5:10">
      <c r="E12134" s="267"/>
      <c r="F12134" s="294" t="s">
        <v>234</v>
      </c>
      <c r="G12134" s="297" t="s">
        <v>235</v>
      </c>
      <c r="H12134" s="638">
        <f>SUM(H12055:H12114)</f>
        <v>16948611</v>
      </c>
      <c r="I12134" s="639"/>
      <c r="J12134" s="639">
        <f>SUM(H12134:I12134)</f>
        <v>16948611</v>
      </c>
    </row>
    <row r="12135" spans="5:10" ht="15.75" hidden="1" thickBot="1">
      <c r="F12135" s="294" t="s">
        <v>236</v>
      </c>
      <c r="G12135" s="297" t="s">
        <v>237</v>
      </c>
      <c r="J12135" s="639">
        <f t="shared" ref="J12135:J12149" si="382">SUM(H12135:I12135)</f>
        <v>0</v>
      </c>
    </row>
    <row r="12136" spans="5:10" ht="15.75" hidden="1" thickBot="1">
      <c r="F12136" s="294" t="s">
        <v>238</v>
      </c>
      <c r="G12136" s="297" t="s">
        <v>239</v>
      </c>
      <c r="J12136" s="639">
        <f t="shared" si="382"/>
        <v>0</v>
      </c>
    </row>
    <row r="12137" spans="5:10" ht="15.75" hidden="1" thickBot="1">
      <c r="F12137" s="294" t="s">
        <v>240</v>
      </c>
      <c r="G12137" s="297" t="s">
        <v>241</v>
      </c>
      <c r="J12137" s="639">
        <f t="shared" si="382"/>
        <v>0</v>
      </c>
    </row>
    <row r="12138" spans="5:10" ht="15.75" hidden="1" thickBot="1">
      <c r="F12138" s="294" t="s">
        <v>242</v>
      </c>
      <c r="G12138" s="297" t="s">
        <v>243</v>
      </c>
      <c r="J12138" s="639">
        <f t="shared" si="382"/>
        <v>0</v>
      </c>
    </row>
    <row r="12139" spans="5:10" ht="15.75" hidden="1" thickBot="1">
      <c r="F12139" s="294" t="s">
        <v>244</v>
      </c>
      <c r="G12139" s="297" t="s">
        <v>245</v>
      </c>
      <c r="J12139" s="639">
        <f t="shared" si="382"/>
        <v>0</v>
      </c>
    </row>
    <row r="12140" spans="5:10" ht="15.75" hidden="1" thickBot="1">
      <c r="F12140" s="294" t="s">
        <v>246</v>
      </c>
      <c r="G12140" s="683" t="s">
        <v>5121</v>
      </c>
      <c r="J12140" s="639">
        <f t="shared" si="382"/>
        <v>0</v>
      </c>
    </row>
    <row r="12141" spans="5:10" ht="15.75" hidden="1" thickBot="1">
      <c r="F12141" s="294" t="s">
        <v>247</v>
      </c>
      <c r="G12141" s="683" t="s">
        <v>5120</v>
      </c>
      <c r="J12141" s="639">
        <f t="shared" si="382"/>
        <v>0</v>
      </c>
    </row>
    <row r="12142" spans="5:10" ht="15.75" hidden="1" thickBot="1">
      <c r="F12142" s="294" t="s">
        <v>248</v>
      </c>
      <c r="G12142" s="297" t="s">
        <v>57</v>
      </c>
      <c r="J12142" s="639">
        <f t="shared" si="382"/>
        <v>0</v>
      </c>
    </row>
    <row r="12143" spans="5:10" ht="15.75" hidden="1" thickBot="1">
      <c r="F12143" s="294" t="s">
        <v>249</v>
      </c>
      <c r="G12143" s="297" t="s">
        <v>250</v>
      </c>
      <c r="J12143" s="639">
        <f t="shared" si="382"/>
        <v>0</v>
      </c>
    </row>
    <row r="12144" spans="5:10" ht="15.75" hidden="1" thickBot="1">
      <c r="F12144" s="294" t="s">
        <v>251</v>
      </c>
      <c r="G12144" s="297" t="s">
        <v>252</v>
      </c>
      <c r="J12144" s="639">
        <f t="shared" si="382"/>
        <v>0</v>
      </c>
    </row>
    <row r="12145" spans="1:10" ht="15.75" hidden="1" thickBot="1">
      <c r="F12145" s="294" t="s">
        <v>253</v>
      </c>
      <c r="G12145" s="297" t="s">
        <v>254</v>
      </c>
      <c r="J12145" s="639">
        <f t="shared" si="382"/>
        <v>0</v>
      </c>
    </row>
    <row r="12146" spans="1:10" ht="15.75" hidden="1" thickBot="1">
      <c r="F12146" s="294" t="s">
        <v>255</v>
      </c>
      <c r="G12146" s="297" t="s">
        <v>256</v>
      </c>
      <c r="J12146" s="639">
        <f t="shared" si="382"/>
        <v>0</v>
      </c>
    </row>
    <row r="12147" spans="1:10" ht="15.75" hidden="1" thickBot="1">
      <c r="F12147" s="294" t="s">
        <v>257</v>
      </c>
      <c r="G12147" s="297" t="s">
        <v>258</v>
      </c>
      <c r="J12147" s="639">
        <f t="shared" si="382"/>
        <v>0</v>
      </c>
    </row>
    <row r="12148" spans="1:10" ht="13.5" customHeight="1">
      <c r="F12148" s="682" t="s">
        <v>240</v>
      </c>
      <c r="G12148" s="683" t="s">
        <v>241</v>
      </c>
      <c r="I12148" s="635">
        <f>SUM(I12119)</f>
        <v>6461666</v>
      </c>
      <c r="J12148" s="639">
        <f t="shared" si="382"/>
        <v>6461666</v>
      </c>
    </row>
    <row r="12149" spans="1:10" ht="15.75" customHeight="1" thickBot="1">
      <c r="F12149" s="682" t="s">
        <v>246</v>
      </c>
      <c r="G12149" s="683" t="s">
        <v>5121</v>
      </c>
      <c r="H12149" s="638"/>
      <c r="I12149" s="639">
        <f>SUM(I12122)</f>
        <v>5155777</v>
      </c>
      <c r="J12149" s="639">
        <f t="shared" si="382"/>
        <v>5155777</v>
      </c>
    </row>
    <row r="12150" spans="1:10" ht="15.75" collapsed="1" thickBot="1">
      <c r="G12150" s="274" t="s">
        <v>4473</v>
      </c>
      <c r="H12150" s="640">
        <f>SUM(H12134:H12149)</f>
        <v>16948611</v>
      </c>
      <c r="I12150" s="641">
        <f>SUM(I12135:I12149)</f>
        <v>11617443</v>
      </c>
      <c r="J12150" s="641">
        <f>SUM(J12134:J12149)</f>
        <v>28566054</v>
      </c>
    </row>
    <row r="12151" spans="1:10" ht="0.75" customHeight="1">
      <c r="A12151" s="311"/>
      <c r="B12151" s="311"/>
      <c r="C12151" s="557"/>
      <c r="D12151" s="311"/>
      <c r="E12151" s="311"/>
      <c r="F12151" s="311"/>
      <c r="G12151" s="567"/>
      <c r="H12151" s="659"/>
      <c r="I12151" s="650"/>
      <c r="J12151" s="650"/>
    </row>
    <row r="12152" spans="1:10">
      <c r="C12152" s="273" t="s">
        <v>4688</v>
      </c>
      <c r="D12152" s="264"/>
      <c r="G12152" s="563" t="s">
        <v>5253</v>
      </c>
    </row>
    <row r="12153" spans="1:10">
      <c r="C12153" s="273"/>
      <c r="D12153" s="357">
        <v>911</v>
      </c>
      <c r="E12153" s="357"/>
      <c r="F12153" s="357"/>
      <c r="G12153" s="358" t="s">
        <v>4339</v>
      </c>
    </row>
    <row r="12154" spans="1:10" hidden="1">
      <c r="F12154" s="569">
        <v>411</v>
      </c>
      <c r="G12154" s="562" t="s">
        <v>4173</v>
      </c>
      <c r="J12154" s="635">
        <f>SUM(H12154:I12154)</f>
        <v>0</v>
      </c>
    </row>
    <row r="12155" spans="1:10" hidden="1">
      <c r="F12155" s="569">
        <v>412</v>
      </c>
      <c r="G12155" s="558" t="s">
        <v>3770</v>
      </c>
      <c r="J12155" s="635">
        <f t="shared" ref="J12155:J12212" si="383">SUM(H12155:I12155)</f>
        <v>0</v>
      </c>
    </row>
    <row r="12156" spans="1:10" hidden="1">
      <c r="F12156" s="569">
        <v>413</v>
      </c>
      <c r="G12156" s="562" t="s">
        <v>4174</v>
      </c>
      <c r="J12156" s="635">
        <f t="shared" si="383"/>
        <v>0</v>
      </c>
    </row>
    <row r="12157" spans="1:10" hidden="1">
      <c r="F12157" s="569">
        <v>414</v>
      </c>
      <c r="G12157" s="562" t="s">
        <v>3773</v>
      </c>
      <c r="J12157" s="635">
        <f t="shared" si="383"/>
        <v>0</v>
      </c>
    </row>
    <row r="12158" spans="1:10" hidden="1">
      <c r="F12158" s="569">
        <v>415</v>
      </c>
      <c r="G12158" s="562" t="s">
        <v>4183</v>
      </c>
      <c r="J12158" s="635">
        <f t="shared" si="383"/>
        <v>0</v>
      </c>
    </row>
    <row r="12159" spans="1:10" hidden="1">
      <c r="F12159" s="569">
        <v>416</v>
      </c>
      <c r="G12159" s="562" t="s">
        <v>4184</v>
      </c>
      <c r="J12159" s="635">
        <f t="shared" si="383"/>
        <v>0</v>
      </c>
    </row>
    <row r="12160" spans="1:10" hidden="1">
      <c r="F12160" s="569">
        <v>417</v>
      </c>
      <c r="G12160" s="562" t="s">
        <v>4185</v>
      </c>
      <c r="J12160" s="635">
        <f t="shared" si="383"/>
        <v>0</v>
      </c>
    </row>
    <row r="12161" spans="6:10" hidden="1">
      <c r="F12161" s="569">
        <v>418</v>
      </c>
      <c r="G12161" s="562" t="s">
        <v>3779</v>
      </c>
      <c r="J12161" s="635">
        <f t="shared" si="383"/>
        <v>0</v>
      </c>
    </row>
    <row r="12162" spans="6:10" hidden="1">
      <c r="F12162" s="569">
        <v>421</v>
      </c>
      <c r="G12162" s="562" t="s">
        <v>3783</v>
      </c>
      <c r="J12162" s="635">
        <f t="shared" si="383"/>
        <v>0</v>
      </c>
    </row>
    <row r="12163" spans="6:10" hidden="1">
      <c r="F12163" s="569">
        <v>422</v>
      </c>
      <c r="G12163" s="562" t="s">
        <v>3784</v>
      </c>
      <c r="J12163" s="635">
        <f t="shared" si="383"/>
        <v>0</v>
      </c>
    </row>
    <row r="12164" spans="6:10" hidden="1">
      <c r="F12164" s="569">
        <v>423</v>
      </c>
      <c r="G12164" s="562" t="s">
        <v>3785</v>
      </c>
      <c r="J12164" s="635">
        <f t="shared" si="383"/>
        <v>0</v>
      </c>
    </row>
    <row r="12165" spans="6:10" hidden="1">
      <c r="F12165" s="569">
        <v>424</v>
      </c>
      <c r="G12165" s="562" t="s">
        <v>3787</v>
      </c>
      <c r="J12165" s="635">
        <f t="shared" si="383"/>
        <v>0</v>
      </c>
    </row>
    <row r="12166" spans="6:10" hidden="1">
      <c r="F12166" s="569">
        <v>425</v>
      </c>
      <c r="G12166" s="562" t="s">
        <v>4186</v>
      </c>
      <c r="J12166" s="635">
        <f t="shared" si="383"/>
        <v>0</v>
      </c>
    </row>
    <row r="12167" spans="6:10" hidden="1">
      <c r="F12167" s="569">
        <v>426</v>
      </c>
      <c r="G12167" s="562" t="s">
        <v>3791</v>
      </c>
      <c r="J12167" s="635">
        <f t="shared" si="383"/>
        <v>0</v>
      </c>
    </row>
    <row r="12168" spans="6:10" hidden="1">
      <c r="F12168" s="569">
        <v>431</v>
      </c>
      <c r="G12168" s="562" t="s">
        <v>4187</v>
      </c>
      <c r="J12168" s="635">
        <f t="shared" si="383"/>
        <v>0</v>
      </c>
    </row>
    <row r="12169" spans="6:10" hidden="1">
      <c r="F12169" s="569">
        <v>432</v>
      </c>
      <c r="G12169" s="562" t="s">
        <v>4188</v>
      </c>
      <c r="J12169" s="635">
        <f t="shared" si="383"/>
        <v>0</v>
      </c>
    </row>
    <row r="12170" spans="6:10" hidden="1">
      <c r="F12170" s="569">
        <v>433</v>
      </c>
      <c r="G12170" s="562" t="s">
        <v>4189</v>
      </c>
      <c r="J12170" s="635">
        <f t="shared" si="383"/>
        <v>0</v>
      </c>
    </row>
    <row r="12171" spans="6:10" hidden="1">
      <c r="F12171" s="569">
        <v>434</v>
      </c>
      <c r="G12171" s="562" t="s">
        <v>4190</v>
      </c>
      <c r="J12171" s="635">
        <f t="shared" si="383"/>
        <v>0</v>
      </c>
    </row>
    <row r="12172" spans="6:10" hidden="1">
      <c r="F12172" s="569">
        <v>435</v>
      </c>
      <c r="G12172" s="562" t="s">
        <v>3798</v>
      </c>
      <c r="J12172" s="635">
        <f t="shared" si="383"/>
        <v>0</v>
      </c>
    </row>
    <row r="12173" spans="6:10" hidden="1">
      <c r="F12173" s="569">
        <v>441</v>
      </c>
      <c r="G12173" s="562" t="s">
        <v>4191</v>
      </c>
      <c r="J12173" s="635">
        <f t="shared" si="383"/>
        <v>0</v>
      </c>
    </row>
    <row r="12174" spans="6:10" hidden="1">
      <c r="F12174" s="569">
        <v>442</v>
      </c>
      <c r="G12174" s="562" t="s">
        <v>4192</v>
      </c>
      <c r="J12174" s="635">
        <f t="shared" si="383"/>
        <v>0</v>
      </c>
    </row>
    <row r="12175" spans="6:10" hidden="1">
      <c r="F12175" s="569">
        <v>443</v>
      </c>
      <c r="G12175" s="562" t="s">
        <v>3803</v>
      </c>
      <c r="J12175" s="635">
        <f t="shared" si="383"/>
        <v>0</v>
      </c>
    </row>
    <row r="12176" spans="6:10" hidden="1">
      <c r="F12176" s="569">
        <v>444</v>
      </c>
      <c r="G12176" s="562" t="s">
        <v>3804</v>
      </c>
      <c r="J12176" s="635">
        <f t="shared" si="383"/>
        <v>0</v>
      </c>
    </row>
    <row r="12177" spans="6:10" ht="30" hidden="1">
      <c r="F12177" s="569">
        <v>4511</v>
      </c>
      <c r="G12177" s="268" t="s">
        <v>1690</v>
      </c>
      <c r="J12177" s="635">
        <f t="shared" si="383"/>
        <v>0</v>
      </c>
    </row>
    <row r="12178" spans="6:10" ht="30" hidden="1">
      <c r="F12178" s="569">
        <v>4512</v>
      </c>
      <c r="G12178" s="268" t="s">
        <v>1699</v>
      </c>
      <c r="J12178" s="635">
        <f t="shared" si="383"/>
        <v>0</v>
      </c>
    </row>
    <row r="12179" spans="6:10" hidden="1">
      <c r="F12179" s="569">
        <v>452</v>
      </c>
      <c r="G12179" s="562" t="s">
        <v>4193</v>
      </c>
      <c r="J12179" s="635">
        <f t="shared" si="383"/>
        <v>0</v>
      </c>
    </row>
    <row r="12180" spans="6:10" hidden="1">
      <c r="F12180" s="569">
        <v>453</v>
      </c>
      <c r="G12180" s="562" t="s">
        <v>4194</v>
      </c>
      <c r="J12180" s="635">
        <f t="shared" si="383"/>
        <v>0</v>
      </c>
    </row>
    <row r="12181" spans="6:10" hidden="1">
      <c r="F12181" s="569">
        <v>454</v>
      </c>
      <c r="G12181" s="562" t="s">
        <v>3809</v>
      </c>
      <c r="J12181" s="635">
        <f t="shared" si="383"/>
        <v>0</v>
      </c>
    </row>
    <row r="12182" spans="6:10" hidden="1">
      <c r="F12182" s="569">
        <v>461</v>
      </c>
      <c r="G12182" s="562" t="s">
        <v>4175</v>
      </c>
      <c r="J12182" s="635">
        <f t="shared" si="383"/>
        <v>0</v>
      </c>
    </row>
    <row r="12183" spans="6:10" hidden="1">
      <c r="F12183" s="569">
        <v>462</v>
      </c>
      <c r="G12183" s="562" t="s">
        <v>3812</v>
      </c>
      <c r="J12183" s="635">
        <f t="shared" si="383"/>
        <v>0</v>
      </c>
    </row>
    <row r="12184" spans="6:10" hidden="1">
      <c r="F12184" s="569">
        <v>4631</v>
      </c>
      <c r="G12184" s="562" t="s">
        <v>3813</v>
      </c>
      <c r="J12184" s="635">
        <f t="shared" si="383"/>
        <v>0</v>
      </c>
    </row>
    <row r="12185" spans="6:10" hidden="1">
      <c r="F12185" s="569">
        <v>4632</v>
      </c>
      <c r="G12185" s="562" t="s">
        <v>3814</v>
      </c>
      <c r="J12185" s="635">
        <f t="shared" si="383"/>
        <v>0</v>
      </c>
    </row>
    <row r="12186" spans="6:10" hidden="1">
      <c r="F12186" s="569">
        <v>464</v>
      </c>
      <c r="G12186" s="562" t="s">
        <v>3815</v>
      </c>
      <c r="J12186" s="635">
        <f t="shared" si="383"/>
        <v>0</v>
      </c>
    </row>
    <row r="12187" spans="6:10" hidden="1">
      <c r="F12187" s="569">
        <v>465</v>
      </c>
      <c r="G12187" s="562" t="s">
        <v>4176</v>
      </c>
      <c r="J12187" s="635">
        <f t="shared" si="383"/>
        <v>0</v>
      </c>
    </row>
    <row r="12188" spans="6:10" hidden="1">
      <c r="F12188" s="569">
        <v>472</v>
      </c>
      <c r="G12188" s="562" t="s">
        <v>3819</v>
      </c>
      <c r="J12188" s="635">
        <f t="shared" si="383"/>
        <v>0</v>
      </c>
    </row>
    <row r="12189" spans="6:10" hidden="1">
      <c r="F12189" s="569">
        <v>481</v>
      </c>
      <c r="G12189" s="562" t="s">
        <v>4195</v>
      </c>
      <c r="J12189" s="635">
        <f t="shared" si="383"/>
        <v>0</v>
      </c>
    </row>
    <row r="12190" spans="6:10" hidden="1">
      <c r="F12190" s="569">
        <v>482</v>
      </c>
      <c r="G12190" s="562" t="s">
        <v>4196</v>
      </c>
      <c r="J12190" s="635">
        <f t="shared" si="383"/>
        <v>0</v>
      </c>
    </row>
    <row r="12191" spans="6:10" hidden="1">
      <c r="F12191" s="569">
        <v>483</v>
      </c>
      <c r="G12191" s="566" t="s">
        <v>4197</v>
      </c>
      <c r="J12191" s="635">
        <f t="shared" si="383"/>
        <v>0</v>
      </c>
    </row>
    <row r="12192" spans="6:10" ht="30" hidden="1">
      <c r="F12192" s="569">
        <v>484</v>
      </c>
      <c r="G12192" s="562" t="s">
        <v>4198</v>
      </c>
      <c r="J12192" s="635">
        <f t="shared" si="383"/>
        <v>0</v>
      </c>
    </row>
    <row r="12193" spans="5:14" ht="30" hidden="1">
      <c r="F12193" s="569">
        <v>485</v>
      </c>
      <c r="G12193" s="562" t="s">
        <v>4199</v>
      </c>
      <c r="J12193" s="635">
        <f t="shared" si="383"/>
        <v>0</v>
      </c>
    </row>
    <row r="12194" spans="5:14" ht="30" hidden="1">
      <c r="F12194" s="569">
        <v>489</v>
      </c>
      <c r="G12194" s="562" t="s">
        <v>3827</v>
      </c>
      <c r="J12194" s="635">
        <f t="shared" si="383"/>
        <v>0</v>
      </c>
    </row>
    <row r="12195" spans="5:14" hidden="1">
      <c r="F12195" s="569">
        <v>494</v>
      </c>
      <c r="G12195" s="562" t="s">
        <v>4177</v>
      </c>
      <c r="J12195" s="635">
        <f t="shared" si="383"/>
        <v>0</v>
      </c>
    </row>
    <row r="12196" spans="5:14" ht="30" hidden="1">
      <c r="F12196" s="569">
        <v>495</v>
      </c>
      <c r="G12196" s="562" t="s">
        <v>4178</v>
      </c>
      <c r="J12196" s="635">
        <f t="shared" si="383"/>
        <v>0</v>
      </c>
    </row>
    <row r="12197" spans="5:14" ht="30" hidden="1">
      <c r="F12197" s="569">
        <v>496</v>
      </c>
      <c r="G12197" s="562" t="s">
        <v>4179</v>
      </c>
      <c r="J12197" s="635">
        <f t="shared" si="383"/>
        <v>0</v>
      </c>
    </row>
    <row r="12198" spans="5:14" hidden="1">
      <c r="F12198" s="569">
        <v>499</v>
      </c>
      <c r="G12198" s="562" t="s">
        <v>4180</v>
      </c>
      <c r="J12198" s="635">
        <f t="shared" si="383"/>
        <v>0</v>
      </c>
    </row>
    <row r="12199" spans="5:14" ht="15.75" thickBot="1">
      <c r="E12199" s="263">
        <v>120</v>
      </c>
      <c r="F12199" s="569">
        <v>511</v>
      </c>
      <c r="G12199" s="566" t="s">
        <v>4200</v>
      </c>
      <c r="H12199" s="634">
        <v>1108596</v>
      </c>
      <c r="I12199" s="635">
        <v>136568</v>
      </c>
      <c r="J12199" s="635">
        <f t="shared" si="383"/>
        <v>1245164</v>
      </c>
      <c r="N12199" s="775"/>
    </row>
    <row r="12200" spans="5:14" ht="15.75" hidden="1" thickBot="1">
      <c r="F12200" s="569">
        <v>512</v>
      </c>
      <c r="G12200" s="566" t="s">
        <v>4201</v>
      </c>
      <c r="J12200" s="635">
        <f t="shared" si="383"/>
        <v>0</v>
      </c>
    </row>
    <row r="12201" spans="5:14" ht="15.75" hidden="1" thickBot="1">
      <c r="F12201" s="569">
        <v>513</v>
      </c>
      <c r="G12201" s="566" t="s">
        <v>4202</v>
      </c>
      <c r="J12201" s="635">
        <f t="shared" si="383"/>
        <v>0</v>
      </c>
    </row>
    <row r="12202" spans="5:14" ht="15.75" hidden="1" thickBot="1">
      <c r="F12202" s="569">
        <v>514</v>
      </c>
      <c r="G12202" s="562" t="s">
        <v>4203</v>
      </c>
      <c r="J12202" s="635">
        <f t="shared" si="383"/>
        <v>0</v>
      </c>
    </row>
    <row r="12203" spans="5:14" ht="15.75" hidden="1" thickBot="1">
      <c r="F12203" s="569">
        <v>515</v>
      </c>
      <c r="G12203" s="562" t="s">
        <v>3838</v>
      </c>
      <c r="J12203" s="635">
        <f t="shared" si="383"/>
        <v>0</v>
      </c>
    </row>
    <row r="12204" spans="5:14" ht="15.75" hidden="1" thickBot="1">
      <c r="F12204" s="569">
        <v>521</v>
      </c>
      <c r="G12204" s="562" t="s">
        <v>4204</v>
      </c>
      <c r="J12204" s="635">
        <f t="shared" si="383"/>
        <v>0</v>
      </c>
    </row>
    <row r="12205" spans="5:14" ht="15.75" hidden="1" thickBot="1">
      <c r="F12205" s="569">
        <v>522</v>
      </c>
      <c r="G12205" s="562" t="s">
        <v>4205</v>
      </c>
      <c r="J12205" s="635">
        <f t="shared" si="383"/>
        <v>0</v>
      </c>
    </row>
    <row r="12206" spans="5:14" ht="15.75" hidden="1" thickBot="1">
      <c r="F12206" s="569">
        <v>523</v>
      </c>
      <c r="G12206" s="562" t="s">
        <v>3843</v>
      </c>
      <c r="J12206" s="635">
        <f t="shared" si="383"/>
        <v>0</v>
      </c>
    </row>
    <row r="12207" spans="5:14" ht="15.75" hidden="1" thickBot="1">
      <c r="F12207" s="569">
        <v>531</v>
      </c>
      <c r="G12207" s="558" t="s">
        <v>4181</v>
      </c>
      <c r="J12207" s="635">
        <f t="shared" si="383"/>
        <v>0</v>
      </c>
    </row>
    <row r="12208" spans="5:14" ht="15.75" hidden="1" thickBot="1">
      <c r="F12208" s="569">
        <v>541</v>
      </c>
      <c r="G12208" s="562" t="s">
        <v>4206</v>
      </c>
      <c r="J12208" s="635">
        <f t="shared" si="383"/>
        <v>0</v>
      </c>
    </row>
    <row r="12209" spans="5:10" ht="15.75" hidden="1" thickBot="1">
      <c r="F12209" s="569">
        <v>542</v>
      </c>
      <c r="G12209" s="562" t="s">
        <v>4207</v>
      </c>
      <c r="J12209" s="635">
        <f t="shared" si="383"/>
        <v>0</v>
      </c>
    </row>
    <row r="12210" spans="5:10" ht="15.75" hidden="1" thickBot="1">
      <c r="F12210" s="569">
        <v>543</v>
      </c>
      <c r="G12210" s="562" t="s">
        <v>3848</v>
      </c>
      <c r="J12210" s="635">
        <f t="shared" si="383"/>
        <v>0</v>
      </c>
    </row>
    <row r="12211" spans="5:10" ht="30.75" hidden="1" thickBot="1">
      <c r="F12211" s="569">
        <v>551</v>
      </c>
      <c r="G12211" s="562" t="s">
        <v>4182</v>
      </c>
      <c r="J12211" s="635">
        <f t="shared" si="383"/>
        <v>0</v>
      </c>
    </row>
    <row r="12212" spans="5:10" ht="15.75" hidden="1" thickBot="1">
      <c r="F12212" s="570">
        <v>611</v>
      </c>
      <c r="G12212" s="568" t="s">
        <v>3854</v>
      </c>
      <c r="J12212" s="635">
        <f t="shared" si="383"/>
        <v>0</v>
      </c>
    </row>
    <row r="12213" spans="5:10" ht="15.75" hidden="1" thickBot="1">
      <c r="F12213" s="570">
        <v>620</v>
      </c>
      <c r="G12213" s="568" t="s">
        <v>88</v>
      </c>
      <c r="J12213" s="635">
        <f>SUM(H12213:I12213)</f>
        <v>0</v>
      </c>
    </row>
    <row r="12214" spans="5:10">
      <c r="E12214" s="559"/>
      <c r="F12214" s="570"/>
      <c r="G12214" s="371" t="s">
        <v>4448</v>
      </c>
      <c r="H12214" s="636"/>
      <c r="I12214" s="662"/>
      <c r="J12214" s="637"/>
    </row>
    <row r="12215" spans="5:10">
      <c r="E12215" s="267"/>
      <c r="F12215" s="294" t="s">
        <v>234</v>
      </c>
      <c r="G12215" s="297" t="s">
        <v>235</v>
      </c>
      <c r="H12215" s="638">
        <f>SUM(H12154:H12213)</f>
        <v>1108596</v>
      </c>
      <c r="I12215" s="639"/>
      <c r="J12215" s="639">
        <f>SUM(H12215:I12215)</f>
        <v>1108596</v>
      </c>
    </row>
    <row r="12216" spans="5:10" ht="15.75" hidden="1" thickBot="1">
      <c r="F12216" s="294" t="s">
        <v>236</v>
      </c>
      <c r="G12216" s="297" t="s">
        <v>237</v>
      </c>
      <c r="J12216" s="639">
        <f t="shared" ref="J12216:J12230" si="384">SUM(H12216:I12216)</f>
        <v>0</v>
      </c>
    </row>
    <row r="12217" spans="5:10" ht="15.75" hidden="1" thickBot="1">
      <c r="F12217" s="294" t="s">
        <v>238</v>
      </c>
      <c r="G12217" s="297" t="s">
        <v>239</v>
      </c>
      <c r="J12217" s="639">
        <f t="shared" si="384"/>
        <v>0</v>
      </c>
    </row>
    <row r="12218" spans="5:10" ht="15.75" hidden="1" thickBot="1">
      <c r="F12218" s="294" t="s">
        <v>240</v>
      </c>
      <c r="G12218" s="297" t="s">
        <v>241</v>
      </c>
      <c r="J12218" s="639">
        <f t="shared" si="384"/>
        <v>0</v>
      </c>
    </row>
    <row r="12219" spans="5:10" ht="15.75" hidden="1" thickBot="1">
      <c r="F12219" s="294" t="s">
        <v>242</v>
      </c>
      <c r="G12219" s="297" t="s">
        <v>243</v>
      </c>
      <c r="J12219" s="639">
        <f t="shared" si="384"/>
        <v>0</v>
      </c>
    </row>
    <row r="12220" spans="5:10" ht="15.75" hidden="1" thickBot="1">
      <c r="F12220" s="294" t="s">
        <v>244</v>
      </c>
      <c r="G12220" s="297" t="s">
        <v>245</v>
      </c>
      <c r="J12220" s="639">
        <f t="shared" si="384"/>
        <v>0</v>
      </c>
    </row>
    <row r="12221" spans="5:10" ht="15.75" hidden="1" thickBot="1">
      <c r="F12221" s="294" t="s">
        <v>246</v>
      </c>
      <c r="G12221" s="683" t="s">
        <v>5121</v>
      </c>
      <c r="J12221" s="639">
        <f t="shared" si="384"/>
        <v>0</v>
      </c>
    </row>
    <row r="12222" spans="5:10" ht="15.75" hidden="1" thickBot="1">
      <c r="F12222" s="294" t="s">
        <v>247</v>
      </c>
      <c r="G12222" s="683" t="s">
        <v>5120</v>
      </c>
      <c r="J12222" s="639">
        <f t="shared" si="384"/>
        <v>0</v>
      </c>
    </row>
    <row r="12223" spans="5:10" ht="15.75" hidden="1" thickBot="1">
      <c r="F12223" s="294" t="s">
        <v>248</v>
      </c>
      <c r="G12223" s="297" t="s">
        <v>57</v>
      </c>
      <c r="J12223" s="639">
        <f t="shared" si="384"/>
        <v>0</v>
      </c>
    </row>
    <row r="12224" spans="5:10" ht="15.75" hidden="1" thickBot="1">
      <c r="F12224" s="294" t="s">
        <v>249</v>
      </c>
      <c r="G12224" s="297" t="s">
        <v>250</v>
      </c>
      <c r="J12224" s="639">
        <f t="shared" si="384"/>
        <v>0</v>
      </c>
    </row>
    <row r="12225" spans="5:10" ht="15.75" hidden="1" thickBot="1">
      <c r="F12225" s="294" t="s">
        <v>251</v>
      </c>
      <c r="G12225" s="297" t="s">
        <v>252</v>
      </c>
      <c r="J12225" s="639">
        <f t="shared" si="384"/>
        <v>0</v>
      </c>
    </row>
    <row r="12226" spans="5:10" ht="15.75" hidden="1" thickBot="1">
      <c r="F12226" s="294" t="s">
        <v>253</v>
      </c>
      <c r="G12226" s="297" t="s">
        <v>254</v>
      </c>
      <c r="J12226" s="639">
        <f t="shared" si="384"/>
        <v>0</v>
      </c>
    </row>
    <row r="12227" spans="5:10" ht="15.75" hidden="1" thickBot="1">
      <c r="F12227" s="294" t="s">
        <v>255</v>
      </c>
      <c r="G12227" s="297" t="s">
        <v>256</v>
      </c>
      <c r="J12227" s="639">
        <f t="shared" si="384"/>
        <v>0</v>
      </c>
    </row>
    <row r="12228" spans="5:10" ht="15.75" hidden="1" thickBot="1">
      <c r="F12228" s="294" t="s">
        <v>257</v>
      </c>
      <c r="G12228" s="297" t="s">
        <v>258</v>
      </c>
      <c r="J12228" s="639">
        <f t="shared" si="384"/>
        <v>0</v>
      </c>
    </row>
    <row r="12229" spans="5:10" ht="15.75" hidden="1" thickBot="1">
      <c r="F12229" s="294" t="s">
        <v>259</v>
      </c>
      <c r="G12229" s="297" t="s">
        <v>260</v>
      </c>
      <c r="J12229" s="639">
        <f t="shared" si="384"/>
        <v>0</v>
      </c>
    </row>
    <row r="12230" spans="5:10" ht="18" customHeight="1" thickBot="1">
      <c r="F12230" s="771" t="s">
        <v>246</v>
      </c>
      <c r="G12230" s="683" t="s">
        <v>5121</v>
      </c>
      <c r="H12230" s="638"/>
      <c r="I12230" s="639">
        <f>SUM(I12199)</f>
        <v>136568</v>
      </c>
      <c r="J12230" s="639">
        <f t="shared" si="384"/>
        <v>136568</v>
      </c>
    </row>
    <row r="12231" spans="5:10" ht="15.75" thickBot="1">
      <c r="G12231" s="274" t="s">
        <v>4449</v>
      </c>
      <c r="H12231" s="640">
        <f>SUM(H12215:H12230)</f>
        <v>1108596</v>
      </c>
      <c r="I12231" s="641">
        <f>SUM(I12230)</f>
        <v>136568</v>
      </c>
      <c r="J12231" s="641">
        <f>SUM(J12215:J12230)</f>
        <v>1245164</v>
      </c>
    </row>
    <row r="12232" spans="5:10" collapsed="1">
      <c r="E12232" s="559"/>
      <c r="F12232" s="570"/>
      <c r="G12232" s="276" t="s">
        <v>5042</v>
      </c>
      <c r="H12232" s="642"/>
      <c r="I12232" s="663"/>
      <c r="J12232" s="643"/>
    </row>
    <row r="12233" spans="5:10">
      <c r="E12233" s="267"/>
      <c r="F12233" s="294" t="s">
        <v>234</v>
      </c>
      <c r="G12233" s="297" t="s">
        <v>235</v>
      </c>
      <c r="H12233" s="638">
        <f>SUM(H12154:H12213)</f>
        <v>1108596</v>
      </c>
      <c r="I12233" s="639"/>
      <c r="J12233" s="639">
        <f>SUM(H12233:I12233)</f>
        <v>1108596</v>
      </c>
    </row>
    <row r="12234" spans="5:10" ht="15.75" hidden="1" thickBot="1">
      <c r="F12234" s="294" t="s">
        <v>236</v>
      </c>
      <c r="G12234" s="297" t="s">
        <v>237</v>
      </c>
      <c r="J12234" s="639">
        <f t="shared" ref="J12234:J12248" si="385">SUM(H12234:I12234)</f>
        <v>0</v>
      </c>
    </row>
    <row r="12235" spans="5:10" ht="15.75" hidden="1" thickBot="1">
      <c r="F12235" s="294" t="s">
        <v>238</v>
      </c>
      <c r="G12235" s="297" t="s">
        <v>239</v>
      </c>
      <c r="J12235" s="639">
        <f t="shared" si="385"/>
        <v>0</v>
      </c>
    </row>
    <row r="12236" spans="5:10" ht="15.75" hidden="1" thickBot="1">
      <c r="F12236" s="294" t="s">
        <v>240</v>
      </c>
      <c r="G12236" s="297" t="s">
        <v>241</v>
      </c>
      <c r="J12236" s="639">
        <f t="shared" si="385"/>
        <v>0</v>
      </c>
    </row>
    <row r="12237" spans="5:10" ht="15.75" hidden="1" thickBot="1">
      <c r="F12237" s="294" t="s">
        <v>242</v>
      </c>
      <c r="G12237" s="297" t="s">
        <v>243</v>
      </c>
      <c r="J12237" s="639">
        <f t="shared" si="385"/>
        <v>0</v>
      </c>
    </row>
    <row r="12238" spans="5:10" ht="15.75" hidden="1" thickBot="1">
      <c r="F12238" s="294" t="s">
        <v>244</v>
      </c>
      <c r="G12238" s="297" t="s">
        <v>245</v>
      </c>
      <c r="J12238" s="639">
        <f t="shared" si="385"/>
        <v>0</v>
      </c>
    </row>
    <row r="12239" spans="5:10" ht="15.75" hidden="1" thickBot="1">
      <c r="F12239" s="294" t="s">
        <v>246</v>
      </c>
      <c r="G12239" s="683" t="s">
        <v>5121</v>
      </c>
      <c r="J12239" s="639">
        <f t="shared" si="385"/>
        <v>0</v>
      </c>
    </row>
    <row r="12240" spans="5:10" ht="15.75" hidden="1" thickBot="1">
      <c r="F12240" s="294" t="s">
        <v>247</v>
      </c>
      <c r="G12240" s="683" t="s">
        <v>5120</v>
      </c>
      <c r="J12240" s="639">
        <f t="shared" si="385"/>
        <v>0</v>
      </c>
    </row>
    <row r="12241" spans="3:10" ht="15.75" hidden="1" thickBot="1">
      <c r="F12241" s="294" t="s">
        <v>248</v>
      </c>
      <c r="G12241" s="297" t="s">
        <v>57</v>
      </c>
      <c r="J12241" s="639">
        <f t="shared" si="385"/>
        <v>0</v>
      </c>
    </row>
    <row r="12242" spans="3:10" ht="15.75" hidden="1" thickBot="1">
      <c r="F12242" s="294" t="s">
        <v>249</v>
      </c>
      <c r="G12242" s="297" t="s">
        <v>250</v>
      </c>
      <c r="J12242" s="639">
        <f t="shared" si="385"/>
        <v>0</v>
      </c>
    </row>
    <row r="12243" spans="3:10" ht="15.75" hidden="1" thickBot="1">
      <c r="F12243" s="294" t="s">
        <v>251</v>
      </c>
      <c r="G12243" s="297" t="s">
        <v>252</v>
      </c>
      <c r="J12243" s="639">
        <f t="shared" si="385"/>
        <v>0</v>
      </c>
    </row>
    <row r="12244" spans="3:10" ht="15.75" hidden="1" thickBot="1">
      <c r="F12244" s="294" t="s">
        <v>253</v>
      </c>
      <c r="G12244" s="297" t="s">
        <v>254</v>
      </c>
      <c r="J12244" s="639">
        <f t="shared" si="385"/>
        <v>0</v>
      </c>
    </row>
    <row r="12245" spans="3:10" ht="15.75" hidden="1" thickBot="1">
      <c r="F12245" s="294" t="s">
        <v>255</v>
      </c>
      <c r="G12245" s="297" t="s">
        <v>256</v>
      </c>
      <c r="J12245" s="639">
        <f t="shared" si="385"/>
        <v>0</v>
      </c>
    </row>
    <row r="12246" spans="3:10" ht="15.75" hidden="1" thickBot="1">
      <c r="F12246" s="294" t="s">
        <v>257</v>
      </c>
      <c r="G12246" s="297" t="s">
        <v>258</v>
      </c>
      <c r="J12246" s="639">
        <f t="shared" si="385"/>
        <v>0</v>
      </c>
    </row>
    <row r="12247" spans="3:10" ht="15.75" hidden="1" thickBot="1">
      <c r="F12247" s="294" t="s">
        <v>259</v>
      </c>
      <c r="G12247" s="297" t="s">
        <v>260</v>
      </c>
      <c r="J12247" s="639">
        <f t="shared" si="385"/>
        <v>0</v>
      </c>
    </row>
    <row r="12248" spans="3:10" ht="16.5" customHeight="1" thickBot="1">
      <c r="F12248" s="771" t="s">
        <v>246</v>
      </c>
      <c r="G12248" s="683" t="s">
        <v>5121</v>
      </c>
      <c r="H12248" s="638"/>
      <c r="I12248" s="639">
        <f>SUM(I12231)</f>
        <v>136568</v>
      </c>
      <c r="J12248" s="639">
        <f t="shared" si="385"/>
        <v>136568</v>
      </c>
    </row>
    <row r="12249" spans="3:10" ht="15.75" thickBot="1">
      <c r="G12249" s="274" t="s">
        <v>5043</v>
      </c>
      <c r="H12249" s="640">
        <f>SUM(H12233:H12248)</f>
        <v>1108596</v>
      </c>
      <c r="I12249" s="641">
        <f>SUM(I12248)</f>
        <v>136568</v>
      </c>
      <c r="J12249" s="641">
        <f>SUM(J12233:J12248)</f>
        <v>1245164</v>
      </c>
    </row>
    <row r="12250" spans="3:10" hidden="1">
      <c r="G12250" s="331"/>
      <c r="H12250" s="644"/>
      <c r="I12250" s="645"/>
      <c r="J12250" s="645"/>
    </row>
    <row r="12251" spans="3:10" hidden="1">
      <c r="C12251" s="273" t="s">
        <v>4689</v>
      </c>
      <c r="D12251" s="264"/>
      <c r="G12251" s="563" t="s">
        <v>5254</v>
      </c>
    </row>
    <row r="12252" spans="3:10" hidden="1">
      <c r="C12252" s="273"/>
      <c r="D12252" s="357">
        <v>911</v>
      </c>
      <c r="E12252" s="357"/>
      <c r="F12252" s="357"/>
      <c r="G12252" s="358" t="s">
        <v>4339</v>
      </c>
    </row>
    <row r="12253" spans="3:10" ht="15.75" hidden="1" thickBot="1">
      <c r="F12253" s="569">
        <v>511</v>
      </c>
      <c r="G12253" s="566" t="s">
        <v>4200</v>
      </c>
      <c r="J12253" s="773">
        <f t="shared" ref="J12253:J12259" si="386">SUM(H12253:I12253)</f>
        <v>0</v>
      </c>
    </row>
    <row r="12254" spans="3:10" hidden="1">
      <c r="G12254" s="371" t="s">
        <v>4448</v>
      </c>
      <c r="H12254" s="636"/>
      <c r="I12254" s="662"/>
      <c r="J12254" s="635">
        <f t="shared" si="386"/>
        <v>0</v>
      </c>
    </row>
    <row r="12255" spans="3:10" ht="15.75" hidden="1" thickBot="1">
      <c r="F12255" s="771" t="s">
        <v>246</v>
      </c>
      <c r="G12255" s="683" t="s">
        <v>5121</v>
      </c>
      <c r="H12255" s="638">
        <f>SUM(H12253)</f>
        <v>0</v>
      </c>
      <c r="I12255" s="639">
        <f>SUM(I12253)</f>
        <v>0</v>
      </c>
      <c r="J12255" s="635">
        <f t="shared" si="386"/>
        <v>0</v>
      </c>
    </row>
    <row r="12256" spans="3:10" ht="15.75" hidden="1" thickBot="1">
      <c r="G12256" s="274" t="s">
        <v>4449</v>
      </c>
      <c r="H12256" s="640">
        <f>SUM(H12255)</f>
        <v>0</v>
      </c>
      <c r="I12256" s="641">
        <f>SUM(I12255)</f>
        <v>0</v>
      </c>
      <c r="J12256" s="774">
        <f t="shared" si="386"/>
        <v>0</v>
      </c>
    </row>
    <row r="12257" spans="3:10" hidden="1">
      <c r="G12257" s="276" t="s">
        <v>5250</v>
      </c>
      <c r="H12257" s="642"/>
      <c r="I12257" s="663"/>
      <c r="J12257" s="635">
        <f t="shared" si="386"/>
        <v>0</v>
      </c>
    </row>
    <row r="12258" spans="3:10" ht="15.75" hidden="1" thickBot="1">
      <c r="F12258" s="771" t="s">
        <v>246</v>
      </c>
      <c r="G12258" s="683" t="s">
        <v>5121</v>
      </c>
      <c r="H12258" s="638">
        <f>SUM(H12256)</f>
        <v>0</v>
      </c>
      <c r="I12258" s="639">
        <f>SUM(I12256)</f>
        <v>0</v>
      </c>
      <c r="J12258" s="635">
        <f t="shared" si="386"/>
        <v>0</v>
      </c>
    </row>
    <row r="12259" spans="3:10" ht="15.75" hidden="1" thickBot="1">
      <c r="G12259" s="274" t="s">
        <v>5251</v>
      </c>
      <c r="H12259" s="640">
        <f>SUM(H12258)</f>
        <v>0</v>
      </c>
      <c r="I12259" s="641">
        <f>SUM(I12258)</f>
        <v>0</v>
      </c>
      <c r="J12259" s="774">
        <f t="shared" si="386"/>
        <v>0</v>
      </c>
    </row>
    <row r="12260" spans="3:10" hidden="1">
      <c r="G12260" s="331"/>
      <c r="H12260" s="644"/>
      <c r="I12260" s="645"/>
      <c r="J12260" s="645"/>
    </row>
    <row r="12261" spans="3:10" hidden="1">
      <c r="C12261" s="273" t="s">
        <v>4690</v>
      </c>
      <c r="D12261" s="264"/>
      <c r="G12261" s="563" t="s">
        <v>5255</v>
      </c>
    </row>
    <row r="12262" spans="3:10" hidden="1">
      <c r="C12262" s="273"/>
      <c r="D12262" s="357">
        <v>911</v>
      </c>
      <c r="E12262" s="357"/>
      <c r="F12262" s="357"/>
      <c r="G12262" s="358" t="s">
        <v>4339</v>
      </c>
    </row>
    <row r="12263" spans="3:10" ht="15.75" hidden="1" thickBot="1">
      <c r="F12263" s="569">
        <v>511</v>
      </c>
      <c r="G12263" s="566" t="s">
        <v>4200</v>
      </c>
      <c r="H12263" s="634">
        <v>0</v>
      </c>
      <c r="J12263" s="635">
        <f t="shared" ref="J12263" si="387">SUM(H12263:I12263)</f>
        <v>0</v>
      </c>
    </row>
    <row r="12264" spans="3:10" hidden="1">
      <c r="G12264" s="371" t="s">
        <v>4448</v>
      </c>
      <c r="H12264" s="636"/>
      <c r="I12264" s="662"/>
      <c r="J12264" s="637"/>
    </row>
    <row r="12265" spans="3:10" ht="15.75" hidden="1" thickBot="1">
      <c r="F12265" s="771" t="s">
        <v>244</v>
      </c>
      <c r="G12265" s="683" t="s">
        <v>245</v>
      </c>
      <c r="H12265" s="638"/>
      <c r="I12265" s="639">
        <f>SUM(I12263)</f>
        <v>0</v>
      </c>
      <c r="J12265" s="639">
        <f>SUM(H12265:I12265)</f>
        <v>0</v>
      </c>
    </row>
    <row r="12266" spans="3:10" ht="15.75" hidden="1" thickBot="1">
      <c r="G12266" s="274" t="s">
        <v>4449</v>
      </c>
      <c r="H12266" s="640"/>
      <c r="I12266" s="641">
        <f>SUM(I12265)</f>
        <v>0</v>
      </c>
      <c r="J12266" s="772">
        <f t="shared" ref="J12266:J12269" si="388">SUM(H12266:I12266)</f>
        <v>0</v>
      </c>
    </row>
    <row r="12267" spans="3:10" hidden="1">
      <c r="G12267" s="276" t="s">
        <v>5252</v>
      </c>
      <c r="H12267" s="642"/>
      <c r="I12267" s="663"/>
      <c r="J12267" s="639">
        <f t="shared" si="388"/>
        <v>0</v>
      </c>
    </row>
    <row r="12268" spans="3:10" ht="15.75" hidden="1" thickBot="1">
      <c r="F12268" s="771" t="s">
        <v>246</v>
      </c>
      <c r="G12268" s="683" t="s">
        <v>5121</v>
      </c>
      <c r="H12268" s="638"/>
      <c r="I12268" s="639">
        <f>SUM(I12266)</f>
        <v>0</v>
      </c>
      <c r="J12268" s="639">
        <f t="shared" si="388"/>
        <v>0</v>
      </c>
    </row>
    <row r="12269" spans="3:10" ht="15.75" hidden="1" thickBot="1">
      <c r="G12269" s="274" t="s">
        <v>5251</v>
      </c>
      <c r="H12269" s="640"/>
      <c r="I12269" s="641">
        <f>SUM(I12268)</f>
        <v>0</v>
      </c>
      <c r="J12269" s="772">
        <f t="shared" si="388"/>
        <v>0</v>
      </c>
    </row>
    <row r="12270" spans="3:10" hidden="1">
      <c r="G12270" s="331"/>
      <c r="H12270" s="644"/>
      <c r="I12270" s="645"/>
      <c r="J12270" s="645"/>
    </row>
    <row r="12271" spans="3:10" hidden="1">
      <c r="G12271" s="331"/>
      <c r="H12271" s="644"/>
      <c r="I12271" s="645"/>
      <c r="J12271" s="645"/>
    </row>
    <row r="12272" spans="3:10" hidden="1">
      <c r="G12272" s="331"/>
      <c r="H12272" s="644"/>
      <c r="I12272" s="645"/>
      <c r="J12272" s="645"/>
    </row>
    <row r="12273" spans="7:10" hidden="1">
      <c r="G12273" s="331"/>
      <c r="H12273" s="644"/>
      <c r="I12273" s="645"/>
      <c r="J12273" s="645"/>
    </row>
    <row r="12274" spans="7:10" hidden="1">
      <c r="G12274" s="331"/>
      <c r="H12274" s="644"/>
      <c r="I12274" s="645"/>
      <c r="J12274" s="645"/>
    </row>
    <row r="12275" spans="7:10" hidden="1">
      <c r="G12275" s="331"/>
      <c r="H12275" s="644"/>
      <c r="I12275" s="645"/>
      <c r="J12275" s="645"/>
    </row>
    <row r="12276" spans="7:10" hidden="1">
      <c r="G12276" s="331"/>
      <c r="H12276" s="644"/>
      <c r="I12276" s="645"/>
      <c r="J12276" s="645"/>
    </row>
    <row r="12277" spans="7:10" hidden="1">
      <c r="G12277" s="331"/>
      <c r="H12277" s="644"/>
      <c r="I12277" s="645"/>
      <c r="J12277" s="645"/>
    </row>
    <row r="12278" spans="7:10" hidden="1">
      <c r="G12278" s="331"/>
      <c r="H12278" s="644"/>
      <c r="I12278" s="645"/>
      <c r="J12278" s="645"/>
    </row>
    <row r="12279" spans="7:10" hidden="1">
      <c r="G12279" s="331"/>
      <c r="H12279" s="644"/>
      <c r="I12279" s="645"/>
      <c r="J12279" s="645"/>
    </row>
    <row r="12280" spans="7:10" hidden="1">
      <c r="G12280" s="331"/>
      <c r="H12280" s="644"/>
      <c r="I12280" s="645"/>
      <c r="J12280" s="645"/>
    </row>
    <row r="12281" spans="7:10" hidden="1">
      <c r="G12281" s="331"/>
      <c r="H12281" s="644"/>
      <c r="I12281" s="645"/>
      <c r="J12281" s="645"/>
    </row>
    <row r="12282" spans="7:10" hidden="1">
      <c r="G12282" s="331"/>
      <c r="H12282" s="644"/>
      <c r="I12282" s="645"/>
      <c r="J12282" s="645"/>
    </row>
    <row r="12283" spans="7:10" hidden="1">
      <c r="G12283" s="331"/>
      <c r="H12283" s="644"/>
      <c r="I12283" s="645"/>
      <c r="J12283" s="645"/>
    </row>
    <row r="12284" spans="7:10" hidden="1">
      <c r="G12284" s="331"/>
      <c r="H12284" s="644"/>
      <c r="I12284" s="645"/>
      <c r="J12284" s="645"/>
    </row>
    <row r="12285" spans="7:10" hidden="1">
      <c r="G12285" s="331"/>
      <c r="H12285" s="644"/>
      <c r="I12285" s="645"/>
      <c r="J12285" s="645"/>
    </row>
    <row r="12286" spans="7:10" hidden="1">
      <c r="G12286" s="331"/>
      <c r="H12286" s="644"/>
      <c r="I12286" s="645"/>
      <c r="J12286" s="645"/>
    </row>
    <row r="12287" spans="7:10" hidden="1">
      <c r="G12287" s="331"/>
      <c r="H12287" s="644"/>
      <c r="I12287" s="645"/>
      <c r="J12287" s="645"/>
    </row>
    <row r="12288" spans="7:10" hidden="1">
      <c r="G12288" s="331"/>
      <c r="H12288" s="644"/>
      <c r="I12288" s="645"/>
      <c r="J12288" s="645"/>
    </row>
    <row r="12289" spans="1:10" hidden="1">
      <c r="G12289" s="331"/>
      <c r="H12289" s="644"/>
      <c r="I12289" s="645"/>
      <c r="J12289" s="645"/>
    </row>
    <row r="12290" spans="1:10" hidden="1">
      <c r="G12290" s="331"/>
      <c r="H12290" s="644"/>
      <c r="I12290" s="645"/>
      <c r="J12290" s="645"/>
    </row>
    <row r="12291" spans="1:10" hidden="1">
      <c r="G12291" s="331"/>
      <c r="H12291" s="644"/>
      <c r="I12291" s="645"/>
      <c r="J12291" s="645"/>
    </row>
    <row r="12292" spans="1:10" hidden="1">
      <c r="G12292" s="331"/>
      <c r="H12292" s="644"/>
      <c r="I12292" s="645"/>
      <c r="J12292" s="645"/>
    </row>
    <row r="12293" spans="1:10" ht="0.75" hidden="1" customHeight="1">
      <c r="A12293" s="311"/>
      <c r="B12293" s="311"/>
      <c r="C12293" s="557"/>
      <c r="D12293" s="311"/>
      <c r="E12293" s="311"/>
      <c r="F12293" s="311"/>
      <c r="G12293" s="567"/>
      <c r="H12293" s="659"/>
      <c r="I12293" s="650"/>
      <c r="J12293" s="650"/>
    </row>
    <row r="12294" spans="1:10">
      <c r="E12294" s="559"/>
      <c r="F12294" s="570"/>
      <c r="G12294" s="295" t="s">
        <v>4329</v>
      </c>
      <c r="H12294" s="646"/>
      <c r="I12294" s="664"/>
      <c r="J12294" s="647"/>
    </row>
    <row r="12295" spans="1:10">
      <c r="E12295" s="267"/>
      <c r="F12295" s="294" t="s">
        <v>234</v>
      </c>
      <c r="G12295" s="297" t="s">
        <v>235</v>
      </c>
      <c r="H12295" s="638">
        <f>SUM(H12233,H12134)</f>
        <v>18057207</v>
      </c>
      <c r="I12295" s="639"/>
      <c r="J12295" s="639">
        <f>SUM(H12295:I12295)</f>
        <v>18057207</v>
      </c>
    </row>
    <row r="12296" spans="1:10" hidden="1">
      <c r="F12296" s="294" t="s">
        <v>236</v>
      </c>
      <c r="G12296" s="297" t="s">
        <v>237</v>
      </c>
      <c r="J12296" s="639">
        <f t="shared" ref="J12296:J12310" si="389">SUM(H12296:I12296)</f>
        <v>0</v>
      </c>
    </row>
    <row r="12297" spans="1:10" hidden="1">
      <c r="F12297" s="294" t="s">
        <v>238</v>
      </c>
      <c r="G12297" s="297" t="s">
        <v>239</v>
      </c>
      <c r="J12297" s="639">
        <f t="shared" si="389"/>
        <v>0</v>
      </c>
    </row>
    <row r="12298" spans="1:10">
      <c r="F12298" s="294" t="s">
        <v>240</v>
      </c>
      <c r="G12298" s="297" t="s">
        <v>241</v>
      </c>
      <c r="I12298" s="635">
        <f>SUM(I12119)</f>
        <v>6461666</v>
      </c>
      <c r="J12298" s="639">
        <f t="shared" si="389"/>
        <v>6461666</v>
      </c>
    </row>
    <row r="12299" spans="1:10" hidden="1">
      <c r="F12299" s="294" t="s">
        <v>242</v>
      </c>
      <c r="G12299" s="297" t="s">
        <v>243</v>
      </c>
      <c r="J12299" s="639">
        <f t="shared" si="389"/>
        <v>0</v>
      </c>
    </row>
    <row r="12300" spans="1:10" ht="17.25" customHeight="1">
      <c r="F12300" s="294" t="s">
        <v>244</v>
      </c>
      <c r="G12300" s="297" t="s">
        <v>245</v>
      </c>
      <c r="J12300" s="639">
        <f t="shared" si="389"/>
        <v>0</v>
      </c>
    </row>
    <row r="12301" spans="1:10" ht="15.75" thickBot="1">
      <c r="F12301" s="294" t="s">
        <v>246</v>
      </c>
      <c r="G12301" s="683" t="s">
        <v>5121</v>
      </c>
      <c r="I12301" s="635">
        <f>SUM(I12248,I12122)</f>
        <v>5292345</v>
      </c>
      <c r="J12301" s="639">
        <f t="shared" si="389"/>
        <v>5292345</v>
      </c>
    </row>
    <row r="12302" spans="1:10" hidden="1">
      <c r="F12302" s="294" t="s">
        <v>247</v>
      </c>
      <c r="G12302" s="683" t="s">
        <v>5120</v>
      </c>
      <c r="J12302" s="639">
        <f t="shared" si="389"/>
        <v>0</v>
      </c>
    </row>
    <row r="12303" spans="1:10" hidden="1">
      <c r="F12303" s="294" t="s">
        <v>248</v>
      </c>
      <c r="G12303" s="297" t="s">
        <v>57</v>
      </c>
      <c r="J12303" s="639">
        <f t="shared" si="389"/>
        <v>0</v>
      </c>
    </row>
    <row r="12304" spans="1:10" hidden="1">
      <c r="F12304" s="294" t="s">
        <v>249</v>
      </c>
      <c r="G12304" s="297" t="s">
        <v>250</v>
      </c>
      <c r="J12304" s="639">
        <f t="shared" si="389"/>
        <v>0</v>
      </c>
    </row>
    <row r="12305" spans="5:10" hidden="1">
      <c r="F12305" s="294" t="s">
        <v>251</v>
      </c>
      <c r="G12305" s="297" t="s">
        <v>252</v>
      </c>
      <c r="J12305" s="639">
        <f t="shared" si="389"/>
        <v>0</v>
      </c>
    </row>
    <row r="12306" spans="5:10" hidden="1">
      <c r="F12306" s="294" t="s">
        <v>253</v>
      </c>
      <c r="G12306" s="297" t="s">
        <v>254</v>
      </c>
      <c r="J12306" s="639">
        <f t="shared" si="389"/>
        <v>0</v>
      </c>
    </row>
    <row r="12307" spans="5:10" hidden="1">
      <c r="F12307" s="294" t="s">
        <v>255</v>
      </c>
      <c r="G12307" s="297" t="s">
        <v>256</v>
      </c>
      <c r="J12307" s="639">
        <f t="shared" si="389"/>
        <v>0</v>
      </c>
    </row>
    <row r="12308" spans="5:10" hidden="1">
      <c r="F12308" s="294" t="s">
        <v>257</v>
      </c>
      <c r="G12308" s="297" t="s">
        <v>258</v>
      </c>
      <c r="J12308" s="639">
        <f t="shared" si="389"/>
        <v>0</v>
      </c>
    </row>
    <row r="12309" spans="5:10" hidden="1">
      <c r="F12309" s="294" t="s">
        <v>259</v>
      </c>
      <c r="G12309" s="297" t="s">
        <v>260</v>
      </c>
      <c r="J12309" s="639">
        <f t="shared" si="389"/>
        <v>0</v>
      </c>
    </row>
    <row r="12310" spans="5:10" ht="15.75" hidden="1" thickBot="1">
      <c r="F12310" s="294" t="s">
        <v>261</v>
      </c>
      <c r="G12310" s="297" t="s">
        <v>262</v>
      </c>
      <c r="H12310" s="638"/>
      <c r="I12310" s="639"/>
      <c r="J12310" s="639">
        <f t="shared" si="389"/>
        <v>0</v>
      </c>
    </row>
    <row r="12311" spans="5:10" ht="14.25" customHeight="1" thickBot="1">
      <c r="G12311" s="274" t="s">
        <v>4330</v>
      </c>
      <c r="H12311" s="640">
        <f>SUM(H12295:H12310)</f>
        <v>18057207</v>
      </c>
      <c r="I12311" s="641">
        <f>SUM(I12295:I12301)</f>
        <v>11754011</v>
      </c>
      <c r="J12311" s="641">
        <f>SUM(J12295:J12310)</f>
        <v>29811218</v>
      </c>
    </row>
    <row r="12312" spans="5:10" hidden="1"/>
    <row r="12313" spans="5:10">
      <c r="E12313" s="559"/>
      <c r="F12313" s="570"/>
      <c r="G12313" s="295" t="s">
        <v>4436</v>
      </c>
      <c r="H12313" s="646"/>
      <c r="I12313" s="664"/>
      <c r="J12313" s="647"/>
    </row>
    <row r="12314" spans="5:10">
      <c r="E12314" s="267"/>
      <c r="F12314" s="294" t="s">
        <v>234</v>
      </c>
      <c r="G12314" s="297" t="s">
        <v>235</v>
      </c>
      <c r="H12314" s="638">
        <f>SUM(H12295)</f>
        <v>18057207</v>
      </c>
      <c r="I12314" s="639"/>
      <c r="J12314" s="639">
        <f>SUM(H12314:I12314)</f>
        <v>18057207</v>
      </c>
    </row>
    <row r="12315" spans="5:10" hidden="1">
      <c r="F12315" s="294" t="s">
        <v>236</v>
      </c>
      <c r="G12315" s="297" t="s">
        <v>237</v>
      </c>
      <c r="J12315" s="639">
        <f t="shared" ref="J12315:J12329" si="390">SUM(H12315:I12315)</f>
        <v>0</v>
      </c>
    </row>
    <row r="12316" spans="5:10" ht="13.5" hidden="1" customHeight="1">
      <c r="F12316" s="294" t="s">
        <v>238</v>
      </c>
      <c r="G12316" s="297" t="s">
        <v>239</v>
      </c>
      <c r="J12316" s="639">
        <f t="shared" si="390"/>
        <v>0</v>
      </c>
    </row>
    <row r="12317" spans="5:10">
      <c r="F12317" s="294" t="s">
        <v>240</v>
      </c>
      <c r="G12317" s="297" t="s">
        <v>241</v>
      </c>
      <c r="I12317" s="635">
        <f>SUM(I12298)</f>
        <v>6461666</v>
      </c>
      <c r="J12317" s="639">
        <f t="shared" si="390"/>
        <v>6461666</v>
      </c>
    </row>
    <row r="12318" spans="5:10" hidden="1">
      <c r="F12318" s="294" t="s">
        <v>242</v>
      </c>
      <c r="G12318" s="297" t="s">
        <v>243</v>
      </c>
      <c r="J12318" s="639">
        <f t="shared" si="390"/>
        <v>0</v>
      </c>
    </row>
    <row r="12319" spans="5:10" ht="14.25" customHeight="1">
      <c r="F12319" s="294" t="s">
        <v>244</v>
      </c>
      <c r="G12319" s="297" t="s">
        <v>245</v>
      </c>
      <c r="J12319" s="639">
        <f t="shared" si="390"/>
        <v>0</v>
      </c>
    </row>
    <row r="12320" spans="5:10" ht="15.75" thickBot="1">
      <c r="F12320" s="294" t="s">
        <v>246</v>
      </c>
      <c r="G12320" s="683" t="s">
        <v>5121</v>
      </c>
      <c r="I12320" s="635">
        <f>SUM(I12301)</f>
        <v>5292345</v>
      </c>
      <c r="J12320" s="639">
        <f t="shared" si="390"/>
        <v>5292345</v>
      </c>
    </row>
    <row r="12321" spans="1:10" hidden="1">
      <c r="F12321" s="294" t="s">
        <v>247</v>
      </c>
      <c r="G12321" s="683" t="s">
        <v>5120</v>
      </c>
      <c r="J12321" s="639">
        <f t="shared" si="390"/>
        <v>0</v>
      </c>
    </row>
    <row r="12322" spans="1:10" hidden="1">
      <c r="F12322" s="294" t="s">
        <v>248</v>
      </c>
      <c r="G12322" s="297" t="s">
        <v>57</v>
      </c>
      <c r="J12322" s="639">
        <f t="shared" si="390"/>
        <v>0</v>
      </c>
    </row>
    <row r="12323" spans="1:10" hidden="1">
      <c r="F12323" s="294" t="s">
        <v>249</v>
      </c>
      <c r="G12323" s="297" t="s">
        <v>250</v>
      </c>
      <c r="J12323" s="639">
        <f t="shared" si="390"/>
        <v>0</v>
      </c>
    </row>
    <row r="12324" spans="1:10" hidden="1">
      <c r="F12324" s="294" t="s">
        <v>251</v>
      </c>
      <c r="G12324" s="297" t="s">
        <v>252</v>
      </c>
      <c r="J12324" s="639">
        <f t="shared" si="390"/>
        <v>0</v>
      </c>
    </row>
    <row r="12325" spans="1:10" hidden="1">
      <c r="F12325" s="294" t="s">
        <v>253</v>
      </c>
      <c r="G12325" s="297" t="s">
        <v>254</v>
      </c>
      <c r="J12325" s="639">
        <f t="shared" si="390"/>
        <v>0</v>
      </c>
    </row>
    <row r="12326" spans="1:10" hidden="1">
      <c r="F12326" s="294" t="s">
        <v>255</v>
      </c>
      <c r="G12326" s="297" t="s">
        <v>256</v>
      </c>
      <c r="J12326" s="639">
        <f t="shared" si="390"/>
        <v>0</v>
      </c>
    </row>
    <row r="12327" spans="1:10" hidden="1">
      <c r="F12327" s="294" t="s">
        <v>257</v>
      </c>
      <c r="G12327" s="297" t="s">
        <v>258</v>
      </c>
      <c r="J12327" s="639">
        <f t="shared" si="390"/>
        <v>0</v>
      </c>
    </row>
    <row r="12328" spans="1:10" hidden="1">
      <c r="F12328" s="294" t="s">
        <v>259</v>
      </c>
      <c r="G12328" s="297" t="s">
        <v>260</v>
      </c>
      <c r="J12328" s="639">
        <f t="shared" si="390"/>
        <v>0</v>
      </c>
    </row>
    <row r="12329" spans="1:10" ht="15.75" hidden="1" thickBot="1">
      <c r="F12329" s="294" t="s">
        <v>261</v>
      </c>
      <c r="G12329" s="297" t="s">
        <v>262</v>
      </c>
      <c r="H12329" s="638"/>
      <c r="I12329" s="639"/>
      <c r="J12329" s="639">
        <f t="shared" si="390"/>
        <v>0</v>
      </c>
    </row>
    <row r="12330" spans="1:10" ht="15" customHeight="1" thickBot="1">
      <c r="G12330" s="274" t="s">
        <v>4437</v>
      </c>
      <c r="H12330" s="640">
        <f>SUM(H12314:H12329)</f>
        <v>18057207</v>
      </c>
      <c r="I12330" s="641">
        <f>SUM(I12317:I12320)</f>
        <v>11754011</v>
      </c>
      <c r="J12330" s="641">
        <f>SUM(J12314:J12329)</f>
        <v>29811218</v>
      </c>
    </row>
    <row r="12331" spans="1:10" hidden="1">
      <c r="A12331" s="311"/>
      <c r="B12331" s="311"/>
      <c r="C12331" s="557"/>
      <c r="D12331" s="311"/>
      <c r="E12331" s="311"/>
      <c r="F12331" s="311"/>
      <c r="G12331" s="567"/>
      <c r="H12331" s="659"/>
      <c r="I12331" s="650"/>
      <c r="J12331" s="650"/>
    </row>
    <row r="12332" spans="1:10">
      <c r="A12332" s="289"/>
      <c r="B12332" s="289">
        <v>8</v>
      </c>
      <c r="C12332" s="265"/>
      <c r="D12332" s="261"/>
      <c r="E12332" s="261"/>
      <c r="F12332" s="261"/>
      <c r="G12332" s="329" t="s">
        <v>5226</v>
      </c>
      <c r="H12332" s="632"/>
      <c r="I12332" s="633"/>
      <c r="J12332" s="633"/>
    </row>
    <row r="12333" spans="1:10">
      <c r="C12333" s="273" t="s">
        <v>3576</v>
      </c>
      <c r="G12333" s="560" t="s">
        <v>4312</v>
      </c>
    </row>
    <row r="12334" spans="1:10">
      <c r="C12334" s="273" t="s">
        <v>4155</v>
      </c>
      <c r="D12334" s="264"/>
      <c r="G12334" s="560" t="s">
        <v>4108</v>
      </c>
    </row>
    <row r="12335" spans="1:10">
      <c r="C12335" s="273"/>
      <c r="D12335" s="357">
        <v>360</v>
      </c>
      <c r="E12335" s="357"/>
      <c r="F12335" s="357"/>
      <c r="G12335" s="358" t="s">
        <v>3929</v>
      </c>
    </row>
    <row r="12336" spans="1:10" hidden="1">
      <c r="F12336" s="569">
        <v>411</v>
      </c>
      <c r="G12336" s="562" t="s">
        <v>4173</v>
      </c>
      <c r="J12336" s="635">
        <f>SUM(H12336:I12336)</f>
        <v>0</v>
      </c>
    </row>
    <row r="12337" spans="5:10" hidden="1">
      <c r="F12337" s="569">
        <v>412</v>
      </c>
      <c r="G12337" s="558" t="s">
        <v>3770</v>
      </c>
      <c r="J12337" s="635">
        <f t="shared" ref="J12337:J12382" si="391">SUM(H12337:I12337)</f>
        <v>0</v>
      </c>
    </row>
    <row r="12338" spans="5:10" hidden="1">
      <c r="F12338" s="569">
        <v>413</v>
      </c>
      <c r="G12338" s="562" t="s">
        <v>4174</v>
      </c>
      <c r="J12338" s="635">
        <f t="shared" si="391"/>
        <v>0</v>
      </c>
    </row>
    <row r="12339" spans="5:10" hidden="1">
      <c r="F12339" s="569">
        <v>414</v>
      </c>
      <c r="G12339" s="562" t="s">
        <v>3773</v>
      </c>
      <c r="J12339" s="635">
        <f t="shared" si="391"/>
        <v>0</v>
      </c>
    </row>
    <row r="12340" spans="5:10" hidden="1">
      <c r="F12340" s="569">
        <v>415</v>
      </c>
      <c r="G12340" s="562" t="s">
        <v>4183</v>
      </c>
      <c r="J12340" s="635">
        <f t="shared" si="391"/>
        <v>0</v>
      </c>
    </row>
    <row r="12341" spans="5:10" hidden="1">
      <c r="F12341" s="569">
        <v>416</v>
      </c>
      <c r="G12341" s="562" t="s">
        <v>4184</v>
      </c>
      <c r="J12341" s="635">
        <f t="shared" si="391"/>
        <v>0</v>
      </c>
    </row>
    <row r="12342" spans="5:10" hidden="1">
      <c r="F12342" s="569">
        <v>417</v>
      </c>
      <c r="G12342" s="562" t="s">
        <v>4185</v>
      </c>
      <c r="J12342" s="635">
        <f t="shared" si="391"/>
        <v>0</v>
      </c>
    </row>
    <row r="12343" spans="5:10" hidden="1">
      <c r="F12343" s="569">
        <v>418</v>
      </c>
      <c r="G12343" s="562" t="s">
        <v>3779</v>
      </c>
      <c r="J12343" s="635">
        <f t="shared" si="391"/>
        <v>0</v>
      </c>
    </row>
    <row r="12344" spans="5:10">
      <c r="E12344" s="263">
        <v>121</v>
      </c>
      <c r="F12344" s="569">
        <v>421</v>
      </c>
      <c r="G12344" s="562" t="s">
        <v>3783</v>
      </c>
      <c r="H12344" s="634">
        <v>20000</v>
      </c>
      <c r="J12344" s="635">
        <f t="shared" si="391"/>
        <v>20000</v>
      </c>
    </row>
    <row r="12345" spans="5:10">
      <c r="E12345" s="263">
        <v>122</v>
      </c>
      <c r="F12345" s="569">
        <v>422</v>
      </c>
      <c r="G12345" s="562" t="s">
        <v>3784</v>
      </c>
      <c r="H12345" s="634">
        <v>50000</v>
      </c>
      <c r="J12345" s="635">
        <f t="shared" si="391"/>
        <v>50000</v>
      </c>
    </row>
    <row r="12346" spans="5:10">
      <c r="E12346" s="263">
        <v>123</v>
      </c>
      <c r="F12346" s="569">
        <v>423</v>
      </c>
      <c r="G12346" s="562" t="s">
        <v>3785</v>
      </c>
      <c r="H12346" s="634">
        <v>300000</v>
      </c>
      <c r="J12346" s="635">
        <f t="shared" si="391"/>
        <v>300000</v>
      </c>
    </row>
    <row r="12347" spans="5:10" hidden="1">
      <c r="F12347" s="569">
        <v>424</v>
      </c>
      <c r="G12347" s="562" t="s">
        <v>3787</v>
      </c>
      <c r="J12347" s="635">
        <f t="shared" si="391"/>
        <v>0</v>
      </c>
    </row>
    <row r="12348" spans="5:10" hidden="1">
      <c r="F12348" s="569">
        <v>425</v>
      </c>
      <c r="G12348" s="562" t="s">
        <v>4186</v>
      </c>
      <c r="J12348" s="635">
        <f t="shared" si="391"/>
        <v>0</v>
      </c>
    </row>
    <row r="12349" spans="5:10">
      <c r="E12349" s="263">
        <v>124</v>
      </c>
      <c r="F12349" s="569">
        <v>426</v>
      </c>
      <c r="G12349" s="562" t="s">
        <v>3791</v>
      </c>
      <c r="H12349" s="634">
        <v>230000</v>
      </c>
      <c r="J12349" s="635">
        <f t="shared" si="391"/>
        <v>230000</v>
      </c>
    </row>
    <row r="12350" spans="5:10" hidden="1">
      <c r="F12350" s="569">
        <v>431</v>
      </c>
      <c r="G12350" s="562" t="s">
        <v>4187</v>
      </c>
      <c r="J12350" s="635">
        <f t="shared" si="391"/>
        <v>0</v>
      </c>
    </row>
    <row r="12351" spans="5:10" hidden="1">
      <c r="F12351" s="569">
        <v>432</v>
      </c>
      <c r="G12351" s="562" t="s">
        <v>4188</v>
      </c>
      <c r="J12351" s="635">
        <f t="shared" si="391"/>
        <v>0</v>
      </c>
    </row>
    <row r="12352" spans="5:10" ht="16.5" hidden="1" customHeight="1">
      <c r="F12352" s="569">
        <v>433</v>
      </c>
      <c r="G12352" s="562" t="s">
        <v>4189</v>
      </c>
      <c r="J12352" s="635">
        <f t="shared" si="391"/>
        <v>0</v>
      </c>
    </row>
    <row r="12353" spans="6:10" hidden="1">
      <c r="F12353" s="569">
        <v>434</v>
      </c>
      <c r="G12353" s="562" t="s">
        <v>4190</v>
      </c>
      <c r="J12353" s="635">
        <f t="shared" si="391"/>
        <v>0</v>
      </c>
    </row>
    <row r="12354" spans="6:10" hidden="1">
      <c r="F12354" s="569">
        <v>435</v>
      </c>
      <c r="G12354" s="562" t="s">
        <v>3798</v>
      </c>
      <c r="J12354" s="635">
        <f t="shared" si="391"/>
        <v>0</v>
      </c>
    </row>
    <row r="12355" spans="6:10" hidden="1">
      <c r="F12355" s="569">
        <v>441</v>
      </c>
      <c r="G12355" s="562" t="s">
        <v>4191</v>
      </c>
      <c r="J12355" s="635">
        <f t="shared" si="391"/>
        <v>0</v>
      </c>
    </row>
    <row r="12356" spans="6:10" hidden="1">
      <c r="F12356" s="569">
        <v>442</v>
      </c>
      <c r="G12356" s="562" t="s">
        <v>4192</v>
      </c>
      <c r="J12356" s="635">
        <f t="shared" si="391"/>
        <v>0</v>
      </c>
    </row>
    <row r="12357" spans="6:10" hidden="1">
      <c r="F12357" s="569">
        <v>443</v>
      </c>
      <c r="G12357" s="562" t="s">
        <v>3803</v>
      </c>
      <c r="J12357" s="635">
        <f t="shared" si="391"/>
        <v>0</v>
      </c>
    </row>
    <row r="12358" spans="6:10" hidden="1">
      <c r="F12358" s="569">
        <v>444</v>
      </c>
      <c r="G12358" s="562" t="s">
        <v>3804</v>
      </c>
      <c r="J12358" s="635">
        <f t="shared" si="391"/>
        <v>0</v>
      </c>
    </row>
    <row r="12359" spans="6:10" ht="30" hidden="1">
      <c r="F12359" s="569">
        <v>4511</v>
      </c>
      <c r="G12359" s="268" t="s">
        <v>1690</v>
      </c>
      <c r="J12359" s="635">
        <f t="shared" si="391"/>
        <v>0</v>
      </c>
    </row>
    <row r="12360" spans="6:10" ht="30" hidden="1">
      <c r="F12360" s="569">
        <v>4512</v>
      </c>
      <c r="G12360" s="268" t="s">
        <v>1699</v>
      </c>
      <c r="J12360" s="635">
        <f t="shared" si="391"/>
        <v>0</v>
      </c>
    </row>
    <row r="12361" spans="6:10" hidden="1">
      <c r="F12361" s="569">
        <v>452</v>
      </c>
      <c r="G12361" s="562" t="s">
        <v>4193</v>
      </c>
      <c r="J12361" s="635">
        <f t="shared" si="391"/>
        <v>0</v>
      </c>
    </row>
    <row r="12362" spans="6:10" hidden="1">
      <c r="F12362" s="569">
        <v>453</v>
      </c>
      <c r="G12362" s="562" t="s">
        <v>4194</v>
      </c>
      <c r="J12362" s="635">
        <f t="shared" si="391"/>
        <v>0</v>
      </c>
    </row>
    <row r="12363" spans="6:10" hidden="1">
      <c r="F12363" s="569">
        <v>454</v>
      </c>
      <c r="G12363" s="562" t="s">
        <v>3809</v>
      </c>
      <c r="J12363" s="635">
        <f t="shared" si="391"/>
        <v>0</v>
      </c>
    </row>
    <row r="12364" spans="6:10" hidden="1">
      <c r="F12364" s="569">
        <v>461</v>
      </c>
      <c r="G12364" s="562" t="s">
        <v>4175</v>
      </c>
      <c r="J12364" s="635">
        <f t="shared" si="391"/>
        <v>0</v>
      </c>
    </row>
    <row r="12365" spans="6:10" hidden="1">
      <c r="F12365" s="569">
        <v>462</v>
      </c>
      <c r="G12365" s="562" t="s">
        <v>3812</v>
      </c>
      <c r="J12365" s="635">
        <f t="shared" si="391"/>
        <v>0</v>
      </c>
    </row>
    <row r="12366" spans="6:10" hidden="1">
      <c r="F12366" s="569">
        <v>4631</v>
      </c>
      <c r="G12366" s="562" t="s">
        <v>3813</v>
      </c>
      <c r="J12366" s="635">
        <f t="shared" si="391"/>
        <v>0</v>
      </c>
    </row>
    <row r="12367" spans="6:10" hidden="1">
      <c r="F12367" s="569">
        <v>4632</v>
      </c>
      <c r="G12367" s="562" t="s">
        <v>3814</v>
      </c>
      <c r="J12367" s="635">
        <f t="shared" si="391"/>
        <v>0</v>
      </c>
    </row>
    <row r="12368" spans="6:10" hidden="1">
      <c r="F12368" s="569">
        <v>464</v>
      </c>
      <c r="G12368" s="562" t="s">
        <v>3815</v>
      </c>
      <c r="J12368" s="635">
        <f t="shared" si="391"/>
        <v>0</v>
      </c>
    </row>
    <row r="12369" spans="5:10" hidden="1">
      <c r="F12369" s="569">
        <v>465</v>
      </c>
      <c r="G12369" s="562" t="s">
        <v>4176</v>
      </c>
      <c r="J12369" s="635">
        <f t="shared" si="391"/>
        <v>0</v>
      </c>
    </row>
    <row r="12370" spans="5:10" hidden="1">
      <c r="F12370" s="569">
        <v>472</v>
      </c>
      <c r="G12370" s="562" t="s">
        <v>3819</v>
      </c>
      <c r="J12370" s="635">
        <f t="shared" si="391"/>
        <v>0</v>
      </c>
    </row>
    <row r="12371" spans="5:10" hidden="1">
      <c r="F12371" s="569">
        <v>481</v>
      </c>
      <c r="G12371" s="562" t="s">
        <v>4195</v>
      </c>
      <c r="J12371" s="635">
        <f t="shared" si="391"/>
        <v>0</v>
      </c>
    </row>
    <row r="12372" spans="5:10" hidden="1">
      <c r="F12372" s="569">
        <v>482</v>
      </c>
      <c r="G12372" s="562" t="s">
        <v>4196</v>
      </c>
      <c r="J12372" s="635">
        <f t="shared" si="391"/>
        <v>0</v>
      </c>
    </row>
    <row r="12373" spans="5:10" hidden="1">
      <c r="F12373" s="569">
        <v>483</v>
      </c>
      <c r="G12373" s="566" t="s">
        <v>4197</v>
      </c>
      <c r="J12373" s="635">
        <f t="shared" si="391"/>
        <v>0</v>
      </c>
    </row>
    <row r="12374" spans="5:10" ht="30" hidden="1">
      <c r="F12374" s="569">
        <v>484</v>
      </c>
      <c r="G12374" s="562" t="s">
        <v>4198</v>
      </c>
      <c r="J12374" s="635">
        <f t="shared" si="391"/>
        <v>0</v>
      </c>
    </row>
    <row r="12375" spans="5:10" ht="30" hidden="1">
      <c r="F12375" s="569">
        <v>485</v>
      </c>
      <c r="G12375" s="562" t="s">
        <v>4199</v>
      </c>
      <c r="J12375" s="635">
        <f t="shared" si="391"/>
        <v>0</v>
      </c>
    </row>
    <row r="12376" spans="5:10" ht="30" hidden="1">
      <c r="F12376" s="569">
        <v>489</v>
      </c>
      <c r="G12376" s="562" t="s">
        <v>3827</v>
      </c>
      <c r="J12376" s="635">
        <f t="shared" si="391"/>
        <v>0</v>
      </c>
    </row>
    <row r="12377" spans="5:10" hidden="1">
      <c r="F12377" s="569">
        <v>494</v>
      </c>
      <c r="G12377" s="562" t="s">
        <v>4177</v>
      </c>
      <c r="J12377" s="635">
        <f t="shared" si="391"/>
        <v>0</v>
      </c>
    </row>
    <row r="12378" spans="5:10" ht="30" hidden="1">
      <c r="F12378" s="569">
        <v>495</v>
      </c>
      <c r="G12378" s="562" t="s">
        <v>4178</v>
      </c>
      <c r="J12378" s="635">
        <f t="shared" si="391"/>
        <v>0</v>
      </c>
    </row>
    <row r="12379" spans="5:10" ht="19.5" hidden="1" customHeight="1">
      <c r="F12379" s="569">
        <v>496</v>
      </c>
      <c r="G12379" s="562" t="s">
        <v>4179</v>
      </c>
      <c r="J12379" s="635">
        <f t="shared" si="391"/>
        <v>0</v>
      </c>
    </row>
    <row r="12380" spans="5:10" hidden="1">
      <c r="F12380" s="569">
        <v>499</v>
      </c>
      <c r="G12380" s="562" t="s">
        <v>4180</v>
      </c>
      <c r="J12380" s="635">
        <f t="shared" si="391"/>
        <v>0</v>
      </c>
    </row>
    <row r="12381" spans="5:10" hidden="1">
      <c r="F12381" s="569">
        <v>511</v>
      </c>
      <c r="G12381" s="566" t="s">
        <v>4200</v>
      </c>
      <c r="J12381" s="635">
        <f t="shared" si="391"/>
        <v>0</v>
      </c>
    </row>
    <row r="12382" spans="5:10" ht="15.75" thickBot="1">
      <c r="E12382" s="263">
        <v>125</v>
      </c>
      <c r="F12382" s="569">
        <v>512</v>
      </c>
      <c r="G12382" s="566" t="s">
        <v>4201</v>
      </c>
      <c r="H12382" s="634">
        <v>1600000</v>
      </c>
      <c r="J12382" s="635">
        <f t="shared" si="391"/>
        <v>1600000</v>
      </c>
    </row>
    <row r="12383" spans="5:10">
      <c r="E12383" s="559"/>
      <c r="F12383" s="570"/>
      <c r="G12383" s="372" t="s">
        <v>5167</v>
      </c>
      <c r="H12383" s="636"/>
      <c r="I12383" s="662"/>
      <c r="J12383" s="637"/>
    </row>
    <row r="12384" spans="5:10" ht="15.75" thickBot="1">
      <c r="E12384" s="267"/>
      <c r="F12384" s="682" t="s">
        <v>234</v>
      </c>
      <c r="G12384" s="683" t="s">
        <v>235</v>
      </c>
      <c r="H12384" s="638">
        <f>SUM(H12344:H12382)</f>
        <v>2200000</v>
      </c>
      <c r="I12384" s="639"/>
      <c r="J12384" s="639">
        <f t="shared" ref="J12384:J12399" si="392">SUM(H12384:I12384)</f>
        <v>2200000</v>
      </c>
    </row>
    <row r="12385" spans="6:10" hidden="1">
      <c r="F12385" s="682" t="s">
        <v>236</v>
      </c>
      <c r="G12385" s="683" t="s">
        <v>237</v>
      </c>
      <c r="J12385" s="639">
        <f t="shared" si="392"/>
        <v>0</v>
      </c>
    </row>
    <row r="12386" spans="6:10" hidden="1">
      <c r="F12386" s="682" t="s">
        <v>238</v>
      </c>
      <c r="G12386" s="683" t="s">
        <v>239</v>
      </c>
      <c r="J12386" s="639">
        <f t="shared" si="392"/>
        <v>0</v>
      </c>
    </row>
    <row r="12387" spans="6:10" hidden="1">
      <c r="F12387" s="682" t="s">
        <v>240</v>
      </c>
      <c r="G12387" s="683" t="s">
        <v>241</v>
      </c>
      <c r="J12387" s="639">
        <f t="shared" si="392"/>
        <v>0</v>
      </c>
    </row>
    <row r="12388" spans="6:10" hidden="1">
      <c r="F12388" s="682" t="s">
        <v>242</v>
      </c>
      <c r="G12388" s="683" t="s">
        <v>243</v>
      </c>
      <c r="J12388" s="639">
        <f t="shared" si="392"/>
        <v>0</v>
      </c>
    </row>
    <row r="12389" spans="6:10" hidden="1">
      <c r="F12389" s="682" t="s">
        <v>244</v>
      </c>
      <c r="G12389" s="683" t="s">
        <v>245</v>
      </c>
      <c r="J12389" s="639">
        <f t="shared" si="392"/>
        <v>0</v>
      </c>
    </row>
    <row r="12390" spans="6:10" hidden="1">
      <c r="F12390" s="682" t="s">
        <v>246</v>
      </c>
      <c r="G12390" s="683" t="s">
        <v>5121</v>
      </c>
      <c r="J12390" s="639">
        <f t="shared" si="392"/>
        <v>0</v>
      </c>
    </row>
    <row r="12391" spans="6:10" hidden="1">
      <c r="F12391" s="682" t="s">
        <v>247</v>
      </c>
      <c r="G12391" s="683" t="s">
        <v>5120</v>
      </c>
      <c r="J12391" s="639">
        <f t="shared" si="392"/>
        <v>0</v>
      </c>
    </row>
    <row r="12392" spans="6:10" hidden="1">
      <c r="F12392" s="682" t="s">
        <v>248</v>
      </c>
      <c r="G12392" s="683" t="s">
        <v>57</v>
      </c>
      <c r="J12392" s="639">
        <f t="shared" si="392"/>
        <v>0</v>
      </c>
    </row>
    <row r="12393" spans="6:10" hidden="1">
      <c r="F12393" s="682" t="s">
        <v>249</v>
      </c>
      <c r="G12393" s="683" t="s">
        <v>250</v>
      </c>
      <c r="J12393" s="639">
        <f t="shared" si="392"/>
        <v>0</v>
      </c>
    </row>
    <row r="12394" spans="6:10" hidden="1">
      <c r="F12394" s="682" t="s">
        <v>251</v>
      </c>
      <c r="G12394" s="683" t="s">
        <v>252</v>
      </c>
      <c r="J12394" s="639">
        <f t="shared" si="392"/>
        <v>0</v>
      </c>
    </row>
    <row r="12395" spans="6:10" hidden="1">
      <c r="F12395" s="682" t="s">
        <v>253</v>
      </c>
      <c r="G12395" s="683" t="s">
        <v>254</v>
      </c>
      <c r="J12395" s="639">
        <f t="shared" si="392"/>
        <v>0</v>
      </c>
    </row>
    <row r="12396" spans="6:10" hidden="1">
      <c r="F12396" s="682" t="s">
        <v>255</v>
      </c>
      <c r="G12396" s="683" t="s">
        <v>256</v>
      </c>
      <c r="J12396" s="639">
        <f t="shared" si="392"/>
        <v>0</v>
      </c>
    </row>
    <row r="12397" spans="6:10" hidden="1">
      <c r="F12397" s="682" t="s">
        <v>257</v>
      </c>
      <c r="G12397" s="683" t="s">
        <v>258</v>
      </c>
      <c r="J12397" s="639">
        <f t="shared" si="392"/>
        <v>0</v>
      </c>
    </row>
    <row r="12398" spans="6:10" hidden="1">
      <c r="F12398" s="682" t="s">
        <v>259</v>
      </c>
      <c r="G12398" s="683" t="s">
        <v>260</v>
      </c>
      <c r="J12398" s="639">
        <f t="shared" si="392"/>
        <v>0</v>
      </c>
    </row>
    <row r="12399" spans="6:10" ht="15.75" hidden="1" thickBot="1">
      <c r="F12399" s="682" t="s">
        <v>261</v>
      </c>
      <c r="G12399" s="683" t="s">
        <v>262</v>
      </c>
      <c r="H12399" s="638"/>
      <c r="I12399" s="639"/>
      <c r="J12399" s="639">
        <f t="shared" si="392"/>
        <v>0</v>
      </c>
    </row>
    <row r="12400" spans="6:10" ht="15.75" thickBot="1">
      <c r="G12400" s="274" t="s">
        <v>5168</v>
      </c>
      <c r="H12400" s="640">
        <f>SUM(H12384)</f>
        <v>2200000</v>
      </c>
      <c r="I12400" s="641">
        <f>SUM(I12385:I12399)</f>
        <v>0</v>
      </c>
      <c r="J12400" s="641">
        <f>SUM(J12384:J12399)</f>
        <v>2200000</v>
      </c>
    </row>
    <row r="12401" spans="5:10">
      <c r="E12401" s="559"/>
      <c r="F12401" s="570"/>
      <c r="G12401" s="276" t="s">
        <v>4434</v>
      </c>
      <c r="H12401" s="642"/>
      <c r="I12401" s="663"/>
      <c r="J12401" s="643"/>
    </row>
    <row r="12402" spans="5:10" ht="15.75" thickBot="1">
      <c r="E12402" s="267"/>
      <c r="F12402" s="682" t="s">
        <v>234</v>
      </c>
      <c r="G12402" s="683" t="s">
        <v>235</v>
      </c>
      <c r="H12402" s="638">
        <f>SUM(H12400)</f>
        <v>2200000</v>
      </c>
      <c r="I12402" s="639"/>
      <c r="J12402" s="639">
        <f>SUM(H12402:I12402)</f>
        <v>2200000</v>
      </c>
    </row>
    <row r="12403" spans="5:10" hidden="1">
      <c r="F12403" s="682" t="s">
        <v>236</v>
      </c>
      <c r="G12403" s="683" t="s">
        <v>237</v>
      </c>
      <c r="J12403" s="639">
        <f t="shared" ref="J12403:J12417" si="393">SUM(H12403:I12403)</f>
        <v>0</v>
      </c>
    </row>
    <row r="12404" spans="5:10" hidden="1">
      <c r="F12404" s="682" t="s">
        <v>238</v>
      </c>
      <c r="G12404" s="683" t="s">
        <v>239</v>
      </c>
      <c r="J12404" s="639">
        <f t="shared" si="393"/>
        <v>0</v>
      </c>
    </row>
    <row r="12405" spans="5:10" hidden="1">
      <c r="F12405" s="682" t="s">
        <v>240</v>
      </c>
      <c r="G12405" s="683" t="s">
        <v>241</v>
      </c>
      <c r="J12405" s="639">
        <f t="shared" si="393"/>
        <v>0</v>
      </c>
    </row>
    <row r="12406" spans="5:10" hidden="1">
      <c r="F12406" s="682" t="s">
        <v>242</v>
      </c>
      <c r="G12406" s="683" t="s">
        <v>243</v>
      </c>
      <c r="J12406" s="639">
        <f t="shared" si="393"/>
        <v>0</v>
      </c>
    </row>
    <row r="12407" spans="5:10" hidden="1">
      <c r="F12407" s="682" t="s">
        <v>244</v>
      </c>
      <c r="G12407" s="683" t="s">
        <v>245</v>
      </c>
      <c r="J12407" s="639">
        <f t="shared" si="393"/>
        <v>0</v>
      </c>
    </row>
    <row r="12408" spans="5:10" hidden="1">
      <c r="F12408" s="682" t="s">
        <v>246</v>
      </c>
      <c r="G12408" s="683" t="s">
        <v>5121</v>
      </c>
      <c r="J12408" s="639">
        <f t="shared" si="393"/>
        <v>0</v>
      </c>
    </row>
    <row r="12409" spans="5:10" hidden="1">
      <c r="F12409" s="682" t="s">
        <v>247</v>
      </c>
      <c r="G12409" s="683" t="s">
        <v>5120</v>
      </c>
      <c r="J12409" s="639">
        <f t="shared" si="393"/>
        <v>0</v>
      </c>
    </row>
    <row r="12410" spans="5:10" hidden="1">
      <c r="F12410" s="682" t="s">
        <v>248</v>
      </c>
      <c r="G12410" s="683" t="s">
        <v>57</v>
      </c>
      <c r="J12410" s="639">
        <f t="shared" si="393"/>
        <v>0</v>
      </c>
    </row>
    <row r="12411" spans="5:10" hidden="1">
      <c r="F12411" s="682" t="s">
        <v>249</v>
      </c>
      <c r="G12411" s="683" t="s">
        <v>250</v>
      </c>
      <c r="J12411" s="639">
        <f t="shared" si="393"/>
        <v>0</v>
      </c>
    </row>
    <row r="12412" spans="5:10" hidden="1">
      <c r="F12412" s="682" t="s">
        <v>251</v>
      </c>
      <c r="G12412" s="683" t="s">
        <v>252</v>
      </c>
      <c r="J12412" s="639">
        <f t="shared" si="393"/>
        <v>0</v>
      </c>
    </row>
    <row r="12413" spans="5:10" hidden="1">
      <c r="F12413" s="682" t="s">
        <v>253</v>
      </c>
      <c r="G12413" s="683" t="s">
        <v>254</v>
      </c>
      <c r="J12413" s="639">
        <f t="shared" si="393"/>
        <v>0</v>
      </c>
    </row>
    <row r="12414" spans="5:10" hidden="1">
      <c r="F12414" s="682" t="s">
        <v>255</v>
      </c>
      <c r="G12414" s="683" t="s">
        <v>256</v>
      </c>
      <c r="J12414" s="639">
        <f t="shared" si="393"/>
        <v>0</v>
      </c>
    </row>
    <row r="12415" spans="5:10" hidden="1">
      <c r="F12415" s="682" t="s">
        <v>257</v>
      </c>
      <c r="G12415" s="683" t="s">
        <v>258</v>
      </c>
      <c r="J12415" s="639">
        <f t="shared" si="393"/>
        <v>0</v>
      </c>
    </row>
    <row r="12416" spans="5:10" hidden="1">
      <c r="F12416" s="682" t="s">
        <v>259</v>
      </c>
      <c r="G12416" s="683" t="s">
        <v>260</v>
      </c>
      <c r="J12416" s="639">
        <f t="shared" si="393"/>
        <v>0</v>
      </c>
    </row>
    <row r="12417" spans="1:10" ht="15.75" hidden="1" thickBot="1">
      <c r="F12417" s="682" t="s">
        <v>261</v>
      </c>
      <c r="G12417" s="683" t="s">
        <v>262</v>
      </c>
      <c r="H12417" s="638"/>
      <c r="I12417" s="639"/>
      <c r="J12417" s="639">
        <f t="shared" si="393"/>
        <v>0</v>
      </c>
    </row>
    <row r="12418" spans="1:10" ht="15.75" thickBot="1">
      <c r="G12418" s="274" t="s">
        <v>4435</v>
      </c>
      <c r="H12418" s="640">
        <f>SUM(H12402)</f>
        <v>2200000</v>
      </c>
      <c r="I12418" s="641">
        <f>SUM(I12403:I12417)</f>
        <v>0</v>
      </c>
      <c r="J12418" s="641">
        <f>SUM(J12402:J12417)</f>
        <v>2200000</v>
      </c>
    </row>
    <row r="12419" spans="1:10">
      <c r="E12419" s="559"/>
      <c r="F12419" s="570"/>
      <c r="G12419" s="295" t="s">
        <v>4255</v>
      </c>
      <c r="H12419" s="646"/>
      <c r="I12419" s="664"/>
      <c r="J12419" s="647"/>
    </row>
    <row r="12420" spans="1:10" ht="15.75" thickBot="1">
      <c r="E12420" s="267"/>
      <c r="F12420" s="682" t="s">
        <v>234</v>
      </c>
      <c r="G12420" s="683" t="s">
        <v>235</v>
      </c>
      <c r="H12420" s="638">
        <f>SUM(H12418)</f>
        <v>2200000</v>
      </c>
      <c r="I12420" s="639"/>
      <c r="J12420" s="639">
        <f>SUM(H12420:I12420)</f>
        <v>2200000</v>
      </c>
    </row>
    <row r="12421" spans="1:10" ht="15.75" thickBot="1">
      <c r="G12421" s="274" t="s">
        <v>4256</v>
      </c>
      <c r="H12421" s="640">
        <f>SUM(H12420)</f>
        <v>2200000</v>
      </c>
      <c r="I12421" s="641">
        <f>SUM(I12406:I12420)</f>
        <v>0</v>
      </c>
      <c r="J12421" s="641">
        <f>SUM(H12421)</f>
        <v>2200000</v>
      </c>
    </row>
    <row r="12422" spans="1:10">
      <c r="E12422" s="559"/>
      <c r="F12422" s="570"/>
      <c r="G12422" s="295" t="s">
        <v>5214</v>
      </c>
      <c r="H12422" s="646"/>
      <c r="I12422" s="664"/>
      <c r="J12422" s="647"/>
    </row>
    <row r="12423" spans="1:10" ht="15.75" thickBot="1">
      <c r="E12423" s="267"/>
      <c r="F12423" s="682" t="s">
        <v>234</v>
      </c>
      <c r="G12423" s="683" t="s">
        <v>235</v>
      </c>
      <c r="H12423" s="638">
        <f>SUM(H12421)</f>
        <v>2200000</v>
      </c>
      <c r="I12423" s="639"/>
      <c r="J12423" s="639">
        <f>SUM(H12423:I12423)</f>
        <v>2200000</v>
      </c>
    </row>
    <row r="12424" spans="1:10" ht="13.5" customHeight="1" thickBot="1">
      <c r="G12424" s="274" t="s">
        <v>5215</v>
      </c>
      <c r="H12424" s="640">
        <f>SUM(H12423)</f>
        <v>2200000</v>
      </c>
      <c r="I12424" s="641">
        <f>SUM(I12409:I12423)</f>
        <v>0</v>
      </c>
      <c r="J12424" s="641">
        <f>SUM(H12424)</f>
        <v>2200000</v>
      </c>
    </row>
    <row r="12425" spans="1:10" hidden="1">
      <c r="A12425" s="84"/>
      <c r="B12425" s="84"/>
      <c r="C12425" s="84"/>
      <c r="D12425" s="84"/>
      <c r="E12425" s="84"/>
      <c r="F12425" s="84"/>
      <c r="G12425" s="84"/>
      <c r="H12425" s="84"/>
      <c r="I12425" s="84"/>
      <c r="J12425" s="84"/>
    </row>
    <row r="12426" spans="1:10" hidden="1">
      <c r="A12426" s="84"/>
      <c r="B12426" s="84"/>
      <c r="C12426" s="84"/>
      <c r="D12426" s="84"/>
      <c r="E12426" s="84"/>
      <c r="F12426" s="84"/>
      <c r="G12426" s="84"/>
      <c r="H12426" s="84"/>
      <c r="I12426" s="84"/>
      <c r="J12426" s="84"/>
    </row>
    <row r="12427" spans="1:10" hidden="1">
      <c r="A12427" s="84"/>
      <c r="B12427" s="84"/>
      <c r="C12427" s="84"/>
      <c r="D12427" s="84"/>
      <c r="E12427" s="84"/>
      <c r="F12427" s="84"/>
      <c r="G12427" s="84"/>
      <c r="H12427" s="84"/>
      <c r="I12427" s="84"/>
      <c r="J12427" s="84"/>
    </row>
    <row r="12428" spans="1:10" hidden="1">
      <c r="A12428" s="84"/>
      <c r="B12428" s="84"/>
      <c r="C12428" s="84"/>
      <c r="D12428" s="84"/>
      <c r="E12428" s="84"/>
      <c r="F12428" s="84"/>
      <c r="G12428" s="84"/>
      <c r="H12428" s="84"/>
      <c r="I12428" s="84"/>
      <c r="J12428" s="84"/>
    </row>
    <row r="12429" spans="1:10" hidden="1">
      <c r="A12429" s="84"/>
      <c r="B12429" s="84"/>
      <c r="C12429" s="84"/>
      <c r="D12429" s="84"/>
      <c r="E12429" s="84"/>
      <c r="F12429" s="84"/>
      <c r="G12429" s="84"/>
      <c r="H12429" s="84"/>
      <c r="I12429" s="84"/>
      <c r="J12429" s="84"/>
    </row>
    <row r="12430" spans="1:10" hidden="1">
      <c r="A12430" s="84"/>
      <c r="B12430" s="84"/>
      <c r="C12430" s="84"/>
      <c r="D12430" s="84"/>
      <c r="E12430" s="84"/>
      <c r="F12430" s="84"/>
      <c r="G12430" s="84"/>
      <c r="H12430" s="84"/>
      <c r="I12430" s="84"/>
      <c r="J12430" s="84"/>
    </row>
    <row r="12431" spans="1:10" hidden="1">
      <c r="A12431" s="84"/>
      <c r="B12431" s="84"/>
      <c r="C12431" s="84"/>
      <c r="D12431" s="84"/>
      <c r="E12431" s="84"/>
      <c r="F12431" s="84"/>
      <c r="G12431" s="84"/>
      <c r="H12431" s="84"/>
      <c r="I12431" s="84"/>
      <c r="J12431" s="84"/>
    </row>
    <row r="12432" spans="1:10" hidden="1">
      <c r="A12432" s="84"/>
      <c r="B12432" s="84"/>
      <c r="C12432" s="84"/>
      <c r="D12432" s="84"/>
      <c r="E12432" s="84"/>
      <c r="F12432" s="84"/>
      <c r="G12432" s="84"/>
      <c r="H12432" s="84"/>
      <c r="I12432" s="84"/>
      <c r="J12432" s="84"/>
    </row>
    <row r="12433" spans="1:10" hidden="1" collapsed="1">
      <c r="A12433" s="84"/>
      <c r="B12433" s="84"/>
      <c r="C12433" s="84"/>
      <c r="D12433" s="84"/>
      <c r="E12433" s="84"/>
      <c r="F12433" s="84"/>
      <c r="G12433" s="84"/>
      <c r="H12433" s="84"/>
      <c r="I12433" s="84"/>
      <c r="J12433" s="84"/>
    </row>
    <row r="12434" spans="1:10" hidden="1">
      <c r="A12434" s="84"/>
      <c r="B12434" s="84"/>
      <c r="C12434" s="84"/>
      <c r="D12434" s="84"/>
      <c r="E12434" s="84"/>
      <c r="F12434" s="84"/>
      <c r="G12434" s="84"/>
      <c r="H12434" s="84"/>
      <c r="I12434" s="84"/>
      <c r="J12434" s="84"/>
    </row>
    <row r="12435" spans="1:10" hidden="1">
      <c r="A12435" s="84"/>
      <c r="B12435" s="84"/>
      <c r="C12435" s="84"/>
      <c r="D12435" s="84"/>
      <c r="E12435" s="84"/>
      <c r="F12435" s="84"/>
      <c r="G12435" s="84"/>
      <c r="H12435" s="84"/>
      <c r="I12435" s="84"/>
      <c r="J12435" s="84"/>
    </row>
    <row r="12436" spans="1:10" hidden="1">
      <c r="A12436" s="84"/>
      <c r="B12436" s="84"/>
      <c r="C12436" s="84"/>
      <c r="D12436" s="84"/>
      <c r="E12436" s="84"/>
      <c r="F12436" s="84"/>
      <c r="G12436" s="84"/>
      <c r="H12436" s="84"/>
      <c r="I12436" s="84"/>
      <c r="J12436" s="84"/>
    </row>
    <row r="12437" spans="1:10" hidden="1">
      <c r="A12437" s="84"/>
      <c r="B12437" s="84"/>
      <c r="C12437" s="84"/>
      <c r="D12437" s="84"/>
      <c r="E12437" s="84"/>
      <c r="F12437" s="84"/>
      <c r="G12437" s="84"/>
      <c r="H12437" s="84"/>
      <c r="I12437" s="84"/>
      <c r="J12437" s="84"/>
    </row>
    <row r="12438" spans="1:10" hidden="1">
      <c r="A12438" s="84"/>
      <c r="B12438" s="84"/>
      <c r="C12438" s="84"/>
      <c r="D12438" s="84"/>
      <c r="E12438" s="84"/>
      <c r="F12438" s="84"/>
      <c r="G12438" s="84"/>
      <c r="H12438" s="84"/>
      <c r="I12438" s="84"/>
      <c r="J12438" s="84"/>
    </row>
    <row r="12439" spans="1:10" hidden="1">
      <c r="A12439" s="84"/>
      <c r="B12439" s="84"/>
      <c r="C12439" s="84"/>
      <c r="D12439" s="84"/>
      <c r="E12439" s="84"/>
      <c r="F12439" s="84"/>
      <c r="G12439" s="84"/>
      <c r="H12439" s="84"/>
      <c r="I12439" s="84"/>
      <c r="J12439" s="84"/>
    </row>
    <row r="12440" spans="1:10" hidden="1">
      <c r="A12440" s="84"/>
      <c r="B12440" s="84"/>
      <c r="C12440" s="84"/>
      <c r="D12440" s="84"/>
      <c r="E12440" s="84"/>
      <c r="F12440" s="84"/>
      <c r="G12440" s="84"/>
      <c r="H12440" s="84"/>
      <c r="I12440" s="84"/>
      <c r="J12440" s="84"/>
    </row>
    <row r="12441" spans="1:10" hidden="1">
      <c r="A12441" s="84"/>
      <c r="B12441" s="84"/>
      <c r="C12441" s="84"/>
      <c r="D12441" s="84"/>
      <c r="E12441" s="84"/>
      <c r="F12441" s="84"/>
      <c r="G12441" s="84"/>
      <c r="H12441" s="84"/>
      <c r="I12441" s="84"/>
      <c r="J12441" s="84"/>
    </row>
    <row r="12442" spans="1:10" hidden="1">
      <c r="A12442" s="84"/>
      <c r="B12442" s="84"/>
      <c r="C12442" s="84"/>
      <c r="D12442" s="84"/>
      <c r="E12442" s="84"/>
      <c r="F12442" s="84"/>
      <c r="G12442" s="84"/>
      <c r="H12442" s="84"/>
      <c r="I12442" s="84"/>
      <c r="J12442" s="84"/>
    </row>
    <row r="12443" spans="1:10" hidden="1">
      <c r="A12443" s="84"/>
      <c r="B12443" s="84"/>
      <c r="C12443" s="84"/>
      <c r="D12443" s="84"/>
      <c r="E12443" s="84"/>
      <c r="F12443" s="84"/>
      <c r="G12443" s="84"/>
      <c r="H12443" s="84"/>
      <c r="I12443" s="84"/>
      <c r="J12443" s="84"/>
    </row>
    <row r="12444" spans="1:10" hidden="1">
      <c r="A12444" s="84"/>
      <c r="B12444" s="84"/>
      <c r="C12444" s="84"/>
      <c r="D12444" s="84"/>
      <c r="E12444" s="84"/>
      <c r="F12444" s="84"/>
      <c r="G12444" s="84"/>
      <c r="H12444" s="84"/>
      <c r="I12444" s="84"/>
      <c r="J12444" s="84"/>
    </row>
    <row r="12445" spans="1:10" hidden="1">
      <c r="A12445" s="84"/>
      <c r="B12445" s="84"/>
      <c r="C12445" s="84"/>
      <c r="D12445" s="84"/>
      <c r="E12445" s="84"/>
      <c r="F12445" s="84"/>
      <c r="G12445" s="84"/>
      <c r="H12445" s="84"/>
      <c r="I12445" s="84"/>
      <c r="J12445" s="84"/>
    </row>
    <row r="12446" spans="1:10" hidden="1">
      <c r="A12446" s="84"/>
      <c r="B12446" s="84"/>
      <c r="C12446" s="84"/>
      <c r="D12446" s="84"/>
      <c r="E12446" s="84"/>
      <c r="F12446" s="84"/>
      <c r="G12446" s="84"/>
      <c r="H12446" s="84"/>
      <c r="I12446" s="84"/>
      <c r="J12446" s="84"/>
    </row>
    <row r="12447" spans="1:10" hidden="1">
      <c r="A12447" s="84"/>
      <c r="B12447" s="84"/>
      <c r="C12447" s="84"/>
      <c r="D12447" s="84"/>
      <c r="E12447" s="84"/>
      <c r="F12447" s="84"/>
      <c r="G12447" s="84"/>
      <c r="H12447" s="84"/>
      <c r="I12447" s="84"/>
      <c r="J12447" s="84"/>
    </row>
    <row r="12448" spans="1:10" hidden="1">
      <c r="A12448" s="84"/>
      <c r="B12448" s="84"/>
      <c r="C12448" s="84"/>
      <c r="D12448" s="84"/>
      <c r="E12448" s="84"/>
      <c r="F12448" s="84"/>
      <c r="G12448" s="84"/>
      <c r="H12448" s="84"/>
      <c r="I12448" s="84"/>
      <c r="J12448" s="84"/>
    </row>
    <row r="12449" spans="1:10" hidden="1">
      <c r="A12449" s="84"/>
      <c r="B12449" s="84"/>
      <c r="C12449" s="84"/>
      <c r="D12449" s="84"/>
      <c r="E12449" s="84"/>
      <c r="F12449" s="84"/>
      <c r="G12449" s="84"/>
      <c r="H12449" s="84"/>
      <c r="I12449" s="84"/>
      <c r="J12449" s="84"/>
    </row>
    <row r="12450" spans="1:10" hidden="1" collapsed="1">
      <c r="A12450" s="84"/>
      <c r="B12450" s="84"/>
      <c r="C12450" s="84"/>
      <c r="D12450" s="84"/>
      <c r="E12450" s="84"/>
      <c r="F12450" s="84"/>
      <c r="G12450" s="84"/>
      <c r="H12450" s="84"/>
      <c r="I12450" s="84"/>
      <c r="J12450" s="84"/>
    </row>
    <row r="12451" spans="1:10" hidden="1"/>
    <row r="12452" spans="1:10" hidden="1">
      <c r="C12452" s="273" t="s">
        <v>4717</v>
      </c>
      <c r="D12452" s="264"/>
      <c r="G12452" s="563" t="s">
        <v>5091</v>
      </c>
    </row>
    <row r="12453" spans="1:10" hidden="1">
      <c r="C12453" s="273"/>
      <c r="D12453" s="357">
        <v>912</v>
      </c>
      <c r="E12453" s="357"/>
      <c r="F12453" s="357"/>
      <c r="G12453" s="358" t="s">
        <v>215</v>
      </c>
    </row>
    <row r="12454" spans="1:10" hidden="1">
      <c r="F12454" s="569">
        <v>411</v>
      </c>
      <c r="G12454" s="562" t="s">
        <v>4173</v>
      </c>
      <c r="J12454" s="635">
        <f>SUM(H12454:I12454)</f>
        <v>0</v>
      </c>
    </row>
    <row r="12455" spans="1:10" hidden="1">
      <c r="F12455" s="569">
        <v>412</v>
      </c>
      <c r="G12455" s="558" t="s">
        <v>3770</v>
      </c>
      <c r="J12455" s="635">
        <f t="shared" ref="J12455:J12513" si="394">SUM(H12455:I12455)</f>
        <v>0</v>
      </c>
    </row>
    <row r="12456" spans="1:10" hidden="1">
      <c r="F12456" s="569">
        <v>413</v>
      </c>
      <c r="G12456" s="562" t="s">
        <v>4174</v>
      </c>
      <c r="J12456" s="635">
        <f t="shared" si="394"/>
        <v>0</v>
      </c>
    </row>
    <row r="12457" spans="1:10" hidden="1">
      <c r="F12457" s="569">
        <v>414</v>
      </c>
      <c r="G12457" s="562" t="s">
        <v>3773</v>
      </c>
      <c r="J12457" s="635">
        <f t="shared" si="394"/>
        <v>0</v>
      </c>
    </row>
    <row r="12458" spans="1:10" hidden="1">
      <c r="F12458" s="569">
        <v>415</v>
      </c>
      <c r="G12458" s="562" t="s">
        <v>4183</v>
      </c>
      <c r="J12458" s="635">
        <f t="shared" si="394"/>
        <v>0</v>
      </c>
    </row>
    <row r="12459" spans="1:10" hidden="1">
      <c r="F12459" s="569">
        <v>416</v>
      </c>
      <c r="G12459" s="562" t="s">
        <v>4184</v>
      </c>
      <c r="J12459" s="635">
        <f t="shared" si="394"/>
        <v>0</v>
      </c>
    </row>
    <row r="12460" spans="1:10" hidden="1">
      <c r="F12460" s="569">
        <v>417</v>
      </c>
      <c r="G12460" s="562" t="s">
        <v>4185</v>
      </c>
      <c r="J12460" s="635">
        <f t="shared" si="394"/>
        <v>0</v>
      </c>
    </row>
    <row r="12461" spans="1:10" hidden="1">
      <c r="F12461" s="569">
        <v>418</v>
      </c>
      <c r="G12461" s="562" t="s">
        <v>3779</v>
      </c>
      <c r="J12461" s="635">
        <f t="shared" si="394"/>
        <v>0</v>
      </c>
    </row>
    <row r="12462" spans="1:10" hidden="1">
      <c r="F12462" s="569">
        <v>421</v>
      </c>
      <c r="G12462" s="562" t="s">
        <v>3783</v>
      </c>
      <c r="J12462" s="635">
        <f t="shared" si="394"/>
        <v>0</v>
      </c>
    </row>
    <row r="12463" spans="1:10" hidden="1">
      <c r="F12463" s="569">
        <v>422</v>
      </c>
      <c r="G12463" s="562" t="s">
        <v>3784</v>
      </c>
      <c r="J12463" s="635">
        <f t="shared" si="394"/>
        <v>0</v>
      </c>
    </row>
    <row r="12464" spans="1:10" hidden="1">
      <c r="F12464" s="569">
        <v>423</v>
      </c>
      <c r="G12464" s="562" t="s">
        <v>3785</v>
      </c>
      <c r="J12464" s="635">
        <f t="shared" si="394"/>
        <v>0</v>
      </c>
    </row>
    <row r="12465" spans="6:10" hidden="1">
      <c r="F12465" s="569">
        <v>424</v>
      </c>
      <c r="G12465" s="562" t="s">
        <v>3787</v>
      </c>
      <c r="J12465" s="635">
        <f t="shared" si="394"/>
        <v>0</v>
      </c>
    </row>
    <row r="12466" spans="6:10" hidden="1">
      <c r="F12466" s="569">
        <v>425</v>
      </c>
      <c r="G12466" s="562" t="s">
        <v>4186</v>
      </c>
      <c r="J12466" s="635">
        <f t="shared" si="394"/>
        <v>0</v>
      </c>
    </row>
    <row r="12467" spans="6:10" hidden="1">
      <c r="F12467" s="569">
        <v>426</v>
      </c>
      <c r="G12467" s="562" t="s">
        <v>3791</v>
      </c>
      <c r="J12467" s="635">
        <f t="shared" si="394"/>
        <v>0</v>
      </c>
    </row>
    <row r="12468" spans="6:10" hidden="1">
      <c r="F12468" s="569">
        <v>431</v>
      </c>
      <c r="G12468" s="562" t="s">
        <v>4187</v>
      </c>
      <c r="J12468" s="635">
        <f t="shared" si="394"/>
        <v>0</v>
      </c>
    </row>
    <row r="12469" spans="6:10" hidden="1">
      <c r="F12469" s="569">
        <v>432</v>
      </c>
      <c r="G12469" s="562" t="s">
        <v>4188</v>
      </c>
      <c r="J12469" s="635">
        <f t="shared" si="394"/>
        <v>0</v>
      </c>
    </row>
    <row r="12470" spans="6:10" hidden="1">
      <c r="F12470" s="569">
        <v>433</v>
      </c>
      <c r="G12470" s="562" t="s">
        <v>4189</v>
      </c>
      <c r="J12470" s="635">
        <f t="shared" si="394"/>
        <v>0</v>
      </c>
    </row>
    <row r="12471" spans="6:10" hidden="1">
      <c r="F12471" s="569">
        <v>434</v>
      </c>
      <c r="G12471" s="562" t="s">
        <v>4190</v>
      </c>
      <c r="J12471" s="635">
        <f t="shared" si="394"/>
        <v>0</v>
      </c>
    </row>
    <row r="12472" spans="6:10" hidden="1">
      <c r="F12472" s="569">
        <v>435</v>
      </c>
      <c r="G12472" s="562" t="s">
        <v>3798</v>
      </c>
      <c r="J12472" s="635">
        <f t="shared" si="394"/>
        <v>0</v>
      </c>
    </row>
    <row r="12473" spans="6:10" hidden="1">
      <c r="F12473" s="569">
        <v>441</v>
      </c>
      <c r="G12473" s="562" t="s">
        <v>4191</v>
      </c>
      <c r="J12473" s="635">
        <f t="shared" si="394"/>
        <v>0</v>
      </c>
    </row>
    <row r="12474" spans="6:10" hidden="1">
      <c r="F12474" s="569">
        <v>442</v>
      </c>
      <c r="G12474" s="562" t="s">
        <v>4192</v>
      </c>
      <c r="J12474" s="635">
        <f t="shared" si="394"/>
        <v>0</v>
      </c>
    </row>
    <row r="12475" spans="6:10" hidden="1">
      <c r="F12475" s="569">
        <v>443</v>
      </c>
      <c r="G12475" s="562" t="s">
        <v>3803</v>
      </c>
      <c r="J12475" s="635">
        <f t="shared" si="394"/>
        <v>0</v>
      </c>
    </row>
    <row r="12476" spans="6:10" hidden="1">
      <c r="F12476" s="569">
        <v>444</v>
      </c>
      <c r="G12476" s="562" t="s">
        <v>3804</v>
      </c>
      <c r="J12476" s="635">
        <f t="shared" si="394"/>
        <v>0</v>
      </c>
    </row>
    <row r="12477" spans="6:10" ht="30" hidden="1">
      <c r="F12477" s="569">
        <v>4511</v>
      </c>
      <c r="G12477" s="268" t="s">
        <v>1690</v>
      </c>
      <c r="J12477" s="635">
        <f t="shared" si="394"/>
        <v>0</v>
      </c>
    </row>
    <row r="12478" spans="6:10" ht="30" hidden="1">
      <c r="F12478" s="569">
        <v>4512</v>
      </c>
      <c r="G12478" s="268" t="s">
        <v>1699</v>
      </c>
      <c r="J12478" s="635">
        <f t="shared" si="394"/>
        <v>0</v>
      </c>
    </row>
    <row r="12479" spans="6:10" hidden="1">
      <c r="F12479" s="569">
        <v>452</v>
      </c>
      <c r="G12479" s="562" t="s">
        <v>4193</v>
      </c>
      <c r="J12479" s="635">
        <f t="shared" si="394"/>
        <v>0</v>
      </c>
    </row>
    <row r="12480" spans="6:10" hidden="1">
      <c r="F12480" s="569">
        <v>453</v>
      </c>
      <c r="G12480" s="562" t="s">
        <v>4194</v>
      </c>
      <c r="J12480" s="635">
        <f t="shared" si="394"/>
        <v>0</v>
      </c>
    </row>
    <row r="12481" spans="6:10" hidden="1">
      <c r="F12481" s="569">
        <v>454</v>
      </c>
      <c r="G12481" s="562" t="s">
        <v>3809</v>
      </c>
      <c r="J12481" s="635">
        <f t="shared" si="394"/>
        <v>0</v>
      </c>
    </row>
    <row r="12482" spans="6:10" hidden="1">
      <c r="F12482" s="569">
        <v>461</v>
      </c>
      <c r="G12482" s="562" t="s">
        <v>4175</v>
      </c>
      <c r="J12482" s="635">
        <f t="shared" si="394"/>
        <v>0</v>
      </c>
    </row>
    <row r="12483" spans="6:10" hidden="1">
      <c r="F12483" s="569">
        <v>462</v>
      </c>
      <c r="G12483" s="562" t="s">
        <v>3812</v>
      </c>
      <c r="J12483" s="635">
        <f t="shared" si="394"/>
        <v>0</v>
      </c>
    </row>
    <row r="12484" spans="6:10" hidden="1">
      <c r="F12484" s="569">
        <v>4631</v>
      </c>
      <c r="G12484" s="562" t="s">
        <v>3813</v>
      </c>
      <c r="J12484" s="635">
        <f t="shared" si="394"/>
        <v>0</v>
      </c>
    </row>
    <row r="12485" spans="6:10" hidden="1">
      <c r="F12485" s="569">
        <v>4632</v>
      </c>
      <c r="G12485" s="562" t="s">
        <v>3814</v>
      </c>
      <c r="J12485" s="635">
        <f t="shared" si="394"/>
        <v>0</v>
      </c>
    </row>
    <row r="12486" spans="6:10" hidden="1">
      <c r="F12486" s="569">
        <v>464</v>
      </c>
      <c r="G12486" s="562" t="s">
        <v>3815</v>
      </c>
      <c r="J12486" s="635">
        <f t="shared" si="394"/>
        <v>0</v>
      </c>
    </row>
    <row r="12487" spans="6:10" hidden="1">
      <c r="F12487" s="569">
        <v>465</v>
      </c>
      <c r="G12487" s="562" t="s">
        <v>4176</v>
      </c>
      <c r="J12487" s="635">
        <f t="shared" si="394"/>
        <v>0</v>
      </c>
    </row>
    <row r="12488" spans="6:10" hidden="1">
      <c r="F12488" s="569">
        <v>472</v>
      </c>
      <c r="G12488" s="562" t="s">
        <v>3819</v>
      </c>
      <c r="J12488" s="635">
        <f t="shared" si="394"/>
        <v>0</v>
      </c>
    </row>
    <row r="12489" spans="6:10" hidden="1">
      <c r="F12489" s="569">
        <v>481</v>
      </c>
      <c r="G12489" s="562" t="s">
        <v>4195</v>
      </c>
      <c r="J12489" s="635">
        <f t="shared" si="394"/>
        <v>0</v>
      </c>
    </row>
    <row r="12490" spans="6:10" hidden="1">
      <c r="F12490" s="569">
        <v>482</v>
      </c>
      <c r="G12490" s="562" t="s">
        <v>4196</v>
      </c>
      <c r="J12490" s="635">
        <f t="shared" si="394"/>
        <v>0</v>
      </c>
    </row>
    <row r="12491" spans="6:10" hidden="1">
      <c r="F12491" s="569">
        <v>483</v>
      </c>
      <c r="G12491" s="566" t="s">
        <v>4197</v>
      </c>
      <c r="J12491" s="635">
        <f t="shared" si="394"/>
        <v>0</v>
      </c>
    </row>
    <row r="12492" spans="6:10" ht="30" hidden="1">
      <c r="F12492" s="569">
        <v>484</v>
      </c>
      <c r="G12492" s="562" t="s">
        <v>4198</v>
      </c>
      <c r="J12492" s="635">
        <f t="shared" si="394"/>
        <v>0</v>
      </c>
    </row>
    <row r="12493" spans="6:10" ht="30" hidden="1">
      <c r="F12493" s="569">
        <v>485</v>
      </c>
      <c r="G12493" s="562" t="s">
        <v>4199</v>
      </c>
      <c r="J12493" s="635">
        <f t="shared" si="394"/>
        <v>0</v>
      </c>
    </row>
    <row r="12494" spans="6:10" ht="30" hidden="1">
      <c r="F12494" s="569">
        <v>489</v>
      </c>
      <c r="G12494" s="562" t="s">
        <v>3827</v>
      </c>
      <c r="J12494" s="635">
        <f t="shared" si="394"/>
        <v>0</v>
      </c>
    </row>
    <row r="12495" spans="6:10" hidden="1">
      <c r="F12495" s="569">
        <v>494</v>
      </c>
      <c r="G12495" s="562" t="s">
        <v>4177</v>
      </c>
      <c r="J12495" s="635">
        <f t="shared" si="394"/>
        <v>0</v>
      </c>
    </row>
    <row r="12496" spans="6:10" ht="30" hidden="1">
      <c r="F12496" s="569">
        <v>495</v>
      </c>
      <c r="G12496" s="562" t="s">
        <v>4178</v>
      </c>
      <c r="J12496" s="635">
        <f t="shared" si="394"/>
        <v>0</v>
      </c>
    </row>
    <row r="12497" spans="6:10" ht="30" hidden="1">
      <c r="F12497" s="569">
        <v>496</v>
      </c>
      <c r="G12497" s="562" t="s">
        <v>4179</v>
      </c>
      <c r="J12497" s="635">
        <f t="shared" si="394"/>
        <v>0</v>
      </c>
    </row>
    <row r="12498" spans="6:10" hidden="1">
      <c r="F12498" s="569">
        <v>499</v>
      </c>
      <c r="G12498" s="562" t="s">
        <v>4180</v>
      </c>
      <c r="J12498" s="635">
        <f t="shared" si="394"/>
        <v>0</v>
      </c>
    </row>
    <row r="12499" spans="6:10" hidden="1">
      <c r="F12499" s="569">
        <v>511</v>
      </c>
      <c r="G12499" s="566" t="s">
        <v>4200</v>
      </c>
      <c r="J12499" s="635">
        <f t="shared" si="394"/>
        <v>0</v>
      </c>
    </row>
    <row r="12500" spans="6:10" hidden="1">
      <c r="F12500" s="569">
        <v>512</v>
      </c>
      <c r="G12500" s="566" t="s">
        <v>4201</v>
      </c>
      <c r="J12500" s="635">
        <f t="shared" si="394"/>
        <v>0</v>
      </c>
    </row>
    <row r="12501" spans="6:10" hidden="1">
      <c r="F12501" s="569">
        <v>513</v>
      </c>
      <c r="G12501" s="566" t="s">
        <v>4202</v>
      </c>
      <c r="J12501" s="635">
        <f t="shared" si="394"/>
        <v>0</v>
      </c>
    </row>
    <row r="12502" spans="6:10" hidden="1">
      <c r="F12502" s="569">
        <v>514</v>
      </c>
      <c r="G12502" s="562" t="s">
        <v>4203</v>
      </c>
      <c r="J12502" s="635">
        <f t="shared" si="394"/>
        <v>0</v>
      </c>
    </row>
    <row r="12503" spans="6:10" hidden="1">
      <c r="F12503" s="569">
        <v>515</v>
      </c>
      <c r="G12503" s="562" t="s">
        <v>3838</v>
      </c>
      <c r="J12503" s="635">
        <f t="shared" si="394"/>
        <v>0</v>
      </c>
    </row>
    <row r="12504" spans="6:10" hidden="1">
      <c r="F12504" s="569">
        <v>521</v>
      </c>
      <c r="G12504" s="562" t="s">
        <v>4204</v>
      </c>
      <c r="J12504" s="635">
        <f t="shared" si="394"/>
        <v>0</v>
      </c>
    </row>
    <row r="12505" spans="6:10" hidden="1">
      <c r="F12505" s="569">
        <v>522</v>
      </c>
      <c r="G12505" s="562" t="s">
        <v>4205</v>
      </c>
      <c r="J12505" s="635">
        <f t="shared" si="394"/>
        <v>0</v>
      </c>
    </row>
    <row r="12506" spans="6:10" hidden="1">
      <c r="F12506" s="569">
        <v>523</v>
      </c>
      <c r="G12506" s="562" t="s">
        <v>3843</v>
      </c>
      <c r="J12506" s="635">
        <f t="shared" si="394"/>
        <v>0</v>
      </c>
    </row>
    <row r="12507" spans="6:10" hidden="1">
      <c r="F12507" s="569">
        <v>531</v>
      </c>
      <c r="G12507" s="558" t="s">
        <v>4181</v>
      </c>
      <c r="J12507" s="635">
        <f t="shared" si="394"/>
        <v>0</v>
      </c>
    </row>
    <row r="12508" spans="6:10" hidden="1">
      <c r="F12508" s="569">
        <v>541</v>
      </c>
      <c r="G12508" s="562" t="s">
        <v>4206</v>
      </c>
      <c r="J12508" s="635">
        <f t="shared" si="394"/>
        <v>0</v>
      </c>
    </row>
    <row r="12509" spans="6:10" hidden="1">
      <c r="F12509" s="569">
        <v>542</v>
      </c>
      <c r="G12509" s="562" t="s">
        <v>4207</v>
      </c>
      <c r="J12509" s="635">
        <f t="shared" si="394"/>
        <v>0</v>
      </c>
    </row>
    <row r="12510" spans="6:10" hidden="1">
      <c r="F12510" s="569">
        <v>543</v>
      </c>
      <c r="G12510" s="562" t="s">
        <v>3848</v>
      </c>
      <c r="J12510" s="635">
        <f t="shared" si="394"/>
        <v>0</v>
      </c>
    </row>
    <row r="12511" spans="6:10" ht="30" hidden="1">
      <c r="F12511" s="569">
        <v>551</v>
      </c>
      <c r="G12511" s="562" t="s">
        <v>4182</v>
      </c>
      <c r="J12511" s="635">
        <f t="shared" si="394"/>
        <v>0</v>
      </c>
    </row>
    <row r="12512" spans="6:10" hidden="1">
      <c r="F12512" s="570">
        <v>611</v>
      </c>
      <c r="G12512" s="568" t="s">
        <v>3854</v>
      </c>
      <c r="J12512" s="635">
        <f t="shared" si="394"/>
        <v>0</v>
      </c>
    </row>
    <row r="12513" spans="5:10" ht="15.75" hidden="1" thickBot="1">
      <c r="F12513" s="570">
        <v>620</v>
      </c>
      <c r="G12513" s="568" t="s">
        <v>88</v>
      </c>
      <c r="J12513" s="635">
        <f t="shared" si="394"/>
        <v>0</v>
      </c>
    </row>
    <row r="12514" spans="5:10" hidden="1">
      <c r="E12514" s="559"/>
      <c r="F12514" s="570"/>
      <c r="G12514" s="371" t="s">
        <v>4450</v>
      </c>
      <c r="H12514" s="636"/>
      <c r="I12514" s="662"/>
      <c r="J12514" s="637"/>
    </row>
    <row r="12515" spans="5:10" hidden="1">
      <c r="E12515" s="267"/>
      <c r="F12515" s="294" t="s">
        <v>234</v>
      </c>
      <c r="G12515" s="297" t="s">
        <v>235</v>
      </c>
      <c r="H12515" s="638">
        <f>SUM(H12454:H12513)</f>
        <v>0</v>
      </c>
      <c r="I12515" s="639"/>
      <c r="J12515" s="639">
        <f>SUM(H12515:I12515)</f>
        <v>0</v>
      </c>
    </row>
    <row r="12516" spans="5:10" hidden="1">
      <c r="F12516" s="294" t="s">
        <v>236</v>
      </c>
      <c r="G12516" s="297" t="s">
        <v>237</v>
      </c>
      <c r="J12516" s="639">
        <f t="shared" ref="J12516:J12530" si="395">SUM(H12516:I12516)</f>
        <v>0</v>
      </c>
    </row>
    <row r="12517" spans="5:10" hidden="1">
      <c r="F12517" s="294" t="s">
        <v>238</v>
      </c>
      <c r="G12517" s="297" t="s">
        <v>239</v>
      </c>
      <c r="J12517" s="639">
        <f t="shared" si="395"/>
        <v>0</v>
      </c>
    </row>
    <row r="12518" spans="5:10" hidden="1">
      <c r="F12518" s="294" t="s">
        <v>240</v>
      </c>
      <c r="G12518" s="297" t="s">
        <v>241</v>
      </c>
      <c r="J12518" s="639">
        <f t="shared" si="395"/>
        <v>0</v>
      </c>
    </row>
    <row r="12519" spans="5:10" hidden="1">
      <c r="F12519" s="294" t="s">
        <v>242</v>
      </c>
      <c r="G12519" s="297" t="s">
        <v>243</v>
      </c>
      <c r="J12519" s="639">
        <f t="shared" si="395"/>
        <v>0</v>
      </c>
    </row>
    <row r="12520" spans="5:10" hidden="1">
      <c r="F12520" s="294" t="s">
        <v>244</v>
      </c>
      <c r="G12520" s="297" t="s">
        <v>245</v>
      </c>
      <c r="J12520" s="639">
        <f t="shared" si="395"/>
        <v>0</v>
      </c>
    </row>
    <row r="12521" spans="5:10" hidden="1">
      <c r="F12521" s="294" t="s">
        <v>246</v>
      </c>
      <c r="G12521" s="683" t="s">
        <v>5121</v>
      </c>
      <c r="J12521" s="639">
        <f t="shared" si="395"/>
        <v>0</v>
      </c>
    </row>
    <row r="12522" spans="5:10" hidden="1">
      <c r="F12522" s="294" t="s">
        <v>247</v>
      </c>
      <c r="G12522" s="683" t="s">
        <v>5120</v>
      </c>
      <c r="J12522" s="639">
        <f t="shared" si="395"/>
        <v>0</v>
      </c>
    </row>
    <row r="12523" spans="5:10" hidden="1">
      <c r="F12523" s="294" t="s">
        <v>248</v>
      </c>
      <c r="G12523" s="297" t="s">
        <v>57</v>
      </c>
      <c r="J12523" s="639">
        <f t="shared" si="395"/>
        <v>0</v>
      </c>
    </row>
    <row r="12524" spans="5:10" hidden="1">
      <c r="F12524" s="294" t="s">
        <v>249</v>
      </c>
      <c r="G12524" s="297" t="s">
        <v>250</v>
      </c>
      <c r="J12524" s="639">
        <f t="shared" si="395"/>
        <v>0</v>
      </c>
    </row>
    <row r="12525" spans="5:10" hidden="1">
      <c r="F12525" s="294" t="s">
        <v>251</v>
      </c>
      <c r="G12525" s="297" t="s">
        <v>252</v>
      </c>
      <c r="J12525" s="639">
        <f t="shared" si="395"/>
        <v>0</v>
      </c>
    </row>
    <row r="12526" spans="5:10" hidden="1">
      <c r="F12526" s="294" t="s">
        <v>253</v>
      </c>
      <c r="G12526" s="297" t="s">
        <v>254</v>
      </c>
      <c r="J12526" s="639">
        <f t="shared" si="395"/>
        <v>0</v>
      </c>
    </row>
    <row r="12527" spans="5:10" hidden="1">
      <c r="F12527" s="294" t="s">
        <v>255</v>
      </c>
      <c r="G12527" s="297" t="s">
        <v>256</v>
      </c>
      <c r="J12527" s="639">
        <f t="shared" si="395"/>
        <v>0</v>
      </c>
    </row>
    <row r="12528" spans="5:10" hidden="1">
      <c r="F12528" s="294" t="s">
        <v>257</v>
      </c>
      <c r="G12528" s="297" t="s">
        <v>258</v>
      </c>
      <c r="J12528" s="639">
        <f t="shared" si="395"/>
        <v>0</v>
      </c>
    </row>
    <row r="12529" spans="5:10" hidden="1">
      <c r="F12529" s="294" t="s">
        <v>259</v>
      </c>
      <c r="G12529" s="297" t="s">
        <v>260</v>
      </c>
      <c r="J12529" s="639">
        <f t="shared" si="395"/>
        <v>0</v>
      </c>
    </row>
    <row r="12530" spans="5:10" ht="15.75" hidden="1" thickBot="1">
      <c r="F12530" s="294" t="s">
        <v>261</v>
      </c>
      <c r="G12530" s="297" t="s">
        <v>262</v>
      </c>
      <c r="H12530" s="638"/>
      <c r="I12530" s="639"/>
      <c r="J12530" s="639">
        <f t="shared" si="395"/>
        <v>0</v>
      </c>
    </row>
    <row r="12531" spans="5:10" ht="15.75" hidden="1" thickBot="1">
      <c r="G12531" s="274" t="s">
        <v>4451</v>
      </c>
      <c r="H12531" s="640">
        <f>SUM(H12515:H12530)</f>
        <v>0</v>
      </c>
      <c r="I12531" s="641">
        <f>SUM(I12516:I12530)</f>
        <v>0</v>
      </c>
      <c r="J12531" s="641">
        <f>SUM(J12515:J12530)</f>
        <v>0</v>
      </c>
    </row>
    <row r="12532" spans="5:10" hidden="1" collapsed="1">
      <c r="E12532" s="559"/>
      <c r="F12532" s="570"/>
      <c r="G12532" s="276" t="s">
        <v>5042</v>
      </c>
      <c r="H12532" s="642"/>
      <c r="I12532" s="663"/>
      <c r="J12532" s="643"/>
    </row>
    <row r="12533" spans="5:10" hidden="1">
      <c r="E12533" s="267"/>
      <c r="F12533" s="294" t="s">
        <v>234</v>
      </c>
      <c r="G12533" s="297" t="s">
        <v>235</v>
      </c>
      <c r="H12533" s="638">
        <f>SUM(H12454:H12513)</f>
        <v>0</v>
      </c>
      <c r="I12533" s="639"/>
      <c r="J12533" s="639">
        <f>SUM(H12533:I12533)</f>
        <v>0</v>
      </c>
    </row>
    <row r="12534" spans="5:10" hidden="1">
      <c r="F12534" s="294" t="s">
        <v>236</v>
      </c>
      <c r="G12534" s="297" t="s">
        <v>237</v>
      </c>
      <c r="J12534" s="639">
        <f t="shared" ref="J12534:J12548" si="396">SUM(H12534:I12534)</f>
        <v>0</v>
      </c>
    </row>
    <row r="12535" spans="5:10" hidden="1">
      <c r="F12535" s="294" t="s">
        <v>238</v>
      </c>
      <c r="G12535" s="297" t="s">
        <v>239</v>
      </c>
      <c r="J12535" s="639">
        <f t="shared" si="396"/>
        <v>0</v>
      </c>
    </row>
    <row r="12536" spans="5:10" hidden="1">
      <c r="F12536" s="294" t="s">
        <v>240</v>
      </c>
      <c r="G12536" s="297" t="s">
        <v>241</v>
      </c>
      <c r="J12536" s="639">
        <f t="shared" si="396"/>
        <v>0</v>
      </c>
    </row>
    <row r="12537" spans="5:10" hidden="1">
      <c r="F12537" s="294" t="s">
        <v>242</v>
      </c>
      <c r="G12537" s="297" t="s">
        <v>243</v>
      </c>
      <c r="J12537" s="639">
        <f t="shared" si="396"/>
        <v>0</v>
      </c>
    </row>
    <row r="12538" spans="5:10" hidden="1">
      <c r="F12538" s="294" t="s">
        <v>244</v>
      </c>
      <c r="G12538" s="297" t="s">
        <v>245</v>
      </c>
      <c r="J12538" s="639">
        <f t="shared" si="396"/>
        <v>0</v>
      </c>
    </row>
    <row r="12539" spans="5:10" hidden="1">
      <c r="F12539" s="294" t="s">
        <v>246</v>
      </c>
      <c r="G12539" s="683" t="s">
        <v>5121</v>
      </c>
      <c r="J12539" s="639">
        <f t="shared" si="396"/>
        <v>0</v>
      </c>
    </row>
    <row r="12540" spans="5:10" hidden="1">
      <c r="F12540" s="294" t="s">
        <v>247</v>
      </c>
      <c r="G12540" s="683" t="s">
        <v>5120</v>
      </c>
      <c r="J12540" s="639">
        <f t="shared" si="396"/>
        <v>0</v>
      </c>
    </row>
    <row r="12541" spans="5:10" hidden="1">
      <c r="F12541" s="294" t="s">
        <v>248</v>
      </c>
      <c r="G12541" s="297" t="s">
        <v>57</v>
      </c>
      <c r="J12541" s="639">
        <f t="shared" si="396"/>
        <v>0</v>
      </c>
    </row>
    <row r="12542" spans="5:10" hidden="1">
      <c r="F12542" s="294" t="s">
        <v>249</v>
      </c>
      <c r="G12542" s="297" t="s">
        <v>250</v>
      </c>
      <c r="J12542" s="639">
        <f t="shared" si="396"/>
        <v>0</v>
      </c>
    </row>
    <row r="12543" spans="5:10" hidden="1">
      <c r="F12543" s="294" t="s">
        <v>251</v>
      </c>
      <c r="G12543" s="297" t="s">
        <v>252</v>
      </c>
      <c r="J12543" s="639">
        <f t="shared" si="396"/>
        <v>0</v>
      </c>
    </row>
    <row r="12544" spans="5:10" hidden="1">
      <c r="F12544" s="294" t="s">
        <v>253</v>
      </c>
      <c r="G12544" s="297" t="s">
        <v>254</v>
      </c>
      <c r="J12544" s="639">
        <f t="shared" si="396"/>
        <v>0</v>
      </c>
    </row>
    <row r="12545" spans="3:10" hidden="1">
      <c r="F12545" s="294" t="s">
        <v>255</v>
      </c>
      <c r="G12545" s="297" t="s">
        <v>256</v>
      </c>
      <c r="J12545" s="639">
        <f t="shared" si="396"/>
        <v>0</v>
      </c>
    </row>
    <row r="12546" spans="3:10" hidden="1">
      <c r="F12546" s="294" t="s">
        <v>257</v>
      </c>
      <c r="G12546" s="297" t="s">
        <v>258</v>
      </c>
      <c r="J12546" s="639">
        <f t="shared" si="396"/>
        <v>0</v>
      </c>
    </row>
    <row r="12547" spans="3:10" hidden="1">
      <c r="F12547" s="294" t="s">
        <v>259</v>
      </c>
      <c r="G12547" s="297" t="s">
        <v>260</v>
      </c>
      <c r="J12547" s="639">
        <f t="shared" si="396"/>
        <v>0</v>
      </c>
    </row>
    <row r="12548" spans="3:10" ht="15.75" hidden="1" thickBot="1">
      <c r="F12548" s="294" t="s">
        <v>261</v>
      </c>
      <c r="G12548" s="297" t="s">
        <v>262</v>
      </c>
      <c r="H12548" s="638"/>
      <c r="I12548" s="639"/>
      <c r="J12548" s="639">
        <f t="shared" si="396"/>
        <v>0</v>
      </c>
    </row>
    <row r="12549" spans="3:10" ht="15.75" hidden="1" thickBot="1">
      <c r="G12549" s="274" t="s">
        <v>5029</v>
      </c>
      <c r="H12549" s="640">
        <f>SUM(H12533:H12548)</f>
        <v>0</v>
      </c>
      <c r="I12549" s="641">
        <f>SUM(I12534:I12548)</f>
        <v>0</v>
      </c>
      <c r="J12549" s="641">
        <f>SUM(J12533:J12548)</f>
        <v>0</v>
      </c>
    </row>
    <row r="12550" spans="3:10" hidden="1"/>
    <row r="12551" spans="3:10" hidden="1">
      <c r="C12551" s="273" t="s">
        <v>4718</v>
      </c>
      <c r="D12551" s="264"/>
      <c r="G12551" s="563" t="s">
        <v>5092</v>
      </c>
    </row>
    <row r="12552" spans="3:10" hidden="1">
      <c r="C12552" s="273"/>
      <c r="D12552" s="357">
        <v>912</v>
      </c>
      <c r="E12552" s="357"/>
      <c r="F12552" s="357"/>
      <c r="G12552" s="358" t="s">
        <v>215</v>
      </c>
    </row>
    <row r="12553" spans="3:10" hidden="1">
      <c r="F12553" s="569">
        <v>411</v>
      </c>
      <c r="G12553" s="562" t="s">
        <v>4173</v>
      </c>
      <c r="J12553" s="635">
        <f>SUM(H12553:I12553)</f>
        <v>0</v>
      </c>
    </row>
    <row r="12554" spans="3:10" hidden="1">
      <c r="F12554" s="569">
        <v>412</v>
      </c>
      <c r="G12554" s="558" t="s">
        <v>3770</v>
      </c>
      <c r="J12554" s="635">
        <f t="shared" ref="J12554:J12612" si="397">SUM(H12554:I12554)</f>
        <v>0</v>
      </c>
    </row>
    <row r="12555" spans="3:10" hidden="1">
      <c r="F12555" s="569">
        <v>413</v>
      </c>
      <c r="G12555" s="562" t="s">
        <v>4174</v>
      </c>
      <c r="J12555" s="635">
        <f t="shared" si="397"/>
        <v>0</v>
      </c>
    </row>
    <row r="12556" spans="3:10" hidden="1">
      <c r="F12556" s="569">
        <v>414</v>
      </c>
      <c r="G12556" s="562" t="s">
        <v>3773</v>
      </c>
      <c r="J12556" s="635">
        <f t="shared" si="397"/>
        <v>0</v>
      </c>
    </row>
    <row r="12557" spans="3:10" hidden="1">
      <c r="F12557" s="569">
        <v>415</v>
      </c>
      <c r="G12557" s="562" t="s">
        <v>4183</v>
      </c>
      <c r="J12557" s="635">
        <f t="shared" si="397"/>
        <v>0</v>
      </c>
    </row>
    <row r="12558" spans="3:10" hidden="1">
      <c r="F12558" s="569">
        <v>416</v>
      </c>
      <c r="G12558" s="562" t="s">
        <v>4184</v>
      </c>
      <c r="J12558" s="635">
        <f t="shared" si="397"/>
        <v>0</v>
      </c>
    </row>
    <row r="12559" spans="3:10" hidden="1">
      <c r="F12559" s="569">
        <v>417</v>
      </c>
      <c r="G12559" s="562" t="s">
        <v>4185</v>
      </c>
      <c r="J12559" s="635">
        <f t="shared" si="397"/>
        <v>0</v>
      </c>
    </row>
    <row r="12560" spans="3:10" hidden="1">
      <c r="F12560" s="569">
        <v>418</v>
      </c>
      <c r="G12560" s="562" t="s">
        <v>3779</v>
      </c>
      <c r="J12560" s="635">
        <f t="shared" si="397"/>
        <v>0</v>
      </c>
    </row>
    <row r="12561" spans="6:10" hidden="1">
      <c r="F12561" s="569">
        <v>421</v>
      </c>
      <c r="G12561" s="562" t="s">
        <v>3783</v>
      </c>
      <c r="J12561" s="635">
        <f t="shared" si="397"/>
        <v>0</v>
      </c>
    </row>
    <row r="12562" spans="6:10" hidden="1">
      <c r="F12562" s="569">
        <v>422</v>
      </c>
      <c r="G12562" s="562" t="s">
        <v>3784</v>
      </c>
      <c r="J12562" s="635">
        <f t="shared" si="397"/>
        <v>0</v>
      </c>
    </row>
    <row r="12563" spans="6:10" hidden="1">
      <c r="F12563" s="569">
        <v>423</v>
      </c>
      <c r="G12563" s="562" t="s">
        <v>3785</v>
      </c>
      <c r="J12563" s="635">
        <f t="shared" si="397"/>
        <v>0</v>
      </c>
    </row>
    <row r="12564" spans="6:10" hidden="1">
      <c r="F12564" s="569">
        <v>424</v>
      </c>
      <c r="G12564" s="562" t="s">
        <v>3787</v>
      </c>
      <c r="J12564" s="635">
        <f t="shared" si="397"/>
        <v>0</v>
      </c>
    </row>
    <row r="12565" spans="6:10" hidden="1">
      <c r="F12565" s="569">
        <v>425</v>
      </c>
      <c r="G12565" s="562" t="s">
        <v>4186</v>
      </c>
      <c r="J12565" s="635">
        <f t="shared" si="397"/>
        <v>0</v>
      </c>
    </row>
    <row r="12566" spans="6:10" hidden="1">
      <c r="F12566" s="569">
        <v>426</v>
      </c>
      <c r="G12566" s="562" t="s">
        <v>3791</v>
      </c>
      <c r="J12566" s="635">
        <f t="shared" si="397"/>
        <v>0</v>
      </c>
    </row>
    <row r="12567" spans="6:10" hidden="1">
      <c r="F12567" s="569">
        <v>431</v>
      </c>
      <c r="G12567" s="562" t="s">
        <v>4187</v>
      </c>
      <c r="J12567" s="635">
        <f t="shared" si="397"/>
        <v>0</v>
      </c>
    </row>
    <row r="12568" spans="6:10" hidden="1">
      <c r="F12568" s="569">
        <v>432</v>
      </c>
      <c r="G12568" s="562" t="s">
        <v>4188</v>
      </c>
      <c r="J12568" s="635">
        <f t="shared" si="397"/>
        <v>0</v>
      </c>
    </row>
    <row r="12569" spans="6:10" hidden="1">
      <c r="F12569" s="569">
        <v>433</v>
      </c>
      <c r="G12569" s="562" t="s">
        <v>4189</v>
      </c>
      <c r="J12569" s="635">
        <f t="shared" si="397"/>
        <v>0</v>
      </c>
    </row>
    <row r="12570" spans="6:10" hidden="1">
      <c r="F12570" s="569">
        <v>434</v>
      </c>
      <c r="G12570" s="562" t="s">
        <v>4190</v>
      </c>
      <c r="J12570" s="635">
        <f t="shared" si="397"/>
        <v>0</v>
      </c>
    </row>
    <row r="12571" spans="6:10" hidden="1">
      <c r="F12571" s="569">
        <v>435</v>
      </c>
      <c r="G12571" s="562" t="s">
        <v>3798</v>
      </c>
      <c r="J12571" s="635">
        <f t="shared" si="397"/>
        <v>0</v>
      </c>
    </row>
    <row r="12572" spans="6:10" hidden="1">
      <c r="F12572" s="569">
        <v>441</v>
      </c>
      <c r="G12572" s="562" t="s">
        <v>4191</v>
      </c>
      <c r="J12572" s="635">
        <f t="shared" si="397"/>
        <v>0</v>
      </c>
    </row>
    <row r="12573" spans="6:10" hidden="1">
      <c r="F12573" s="569">
        <v>442</v>
      </c>
      <c r="G12573" s="562" t="s">
        <v>4192</v>
      </c>
      <c r="J12573" s="635">
        <f t="shared" si="397"/>
        <v>0</v>
      </c>
    </row>
    <row r="12574" spans="6:10" hidden="1">
      <c r="F12574" s="569">
        <v>443</v>
      </c>
      <c r="G12574" s="562" t="s">
        <v>3803</v>
      </c>
      <c r="J12574" s="635">
        <f t="shared" si="397"/>
        <v>0</v>
      </c>
    </row>
    <row r="12575" spans="6:10" hidden="1">
      <c r="F12575" s="569">
        <v>444</v>
      </c>
      <c r="G12575" s="562" t="s">
        <v>3804</v>
      </c>
      <c r="J12575" s="635">
        <f t="shared" si="397"/>
        <v>0</v>
      </c>
    </row>
    <row r="12576" spans="6:10" ht="30" hidden="1">
      <c r="F12576" s="569">
        <v>4511</v>
      </c>
      <c r="G12576" s="268" t="s">
        <v>1690</v>
      </c>
      <c r="J12576" s="635">
        <f t="shared" si="397"/>
        <v>0</v>
      </c>
    </row>
    <row r="12577" spans="6:10" ht="30" hidden="1">
      <c r="F12577" s="569">
        <v>4512</v>
      </c>
      <c r="G12577" s="268" t="s">
        <v>1699</v>
      </c>
      <c r="J12577" s="635">
        <f t="shared" si="397"/>
        <v>0</v>
      </c>
    </row>
    <row r="12578" spans="6:10" hidden="1">
      <c r="F12578" s="569">
        <v>452</v>
      </c>
      <c r="G12578" s="562" t="s">
        <v>4193</v>
      </c>
      <c r="J12578" s="635">
        <f t="shared" si="397"/>
        <v>0</v>
      </c>
    </row>
    <row r="12579" spans="6:10" hidden="1">
      <c r="F12579" s="569">
        <v>453</v>
      </c>
      <c r="G12579" s="562" t="s">
        <v>4194</v>
      </c>
      <c r="J12579" s="635">
        <f t="shared" si="397"/>
        <v>0</v>
      </c>
    </row>
    <row r="12580" spans="6:10" hidden="1">
      <c r="F12580" s="569">
        <v>454</v>
      </c>
      <c r="G12580" s="562" t="s">
        <v>3809</v>
      </c>
      <c r="J12580" s="635">
        <f t="shared" si="397"/>
        <v>0</v>
      </c>
    </row>
    <row r="12581" spans="6:10" hidden="1">
      <c r="F12581" s="569">
        <v>461</v>
      </c>
      <c r="G12581" s="562" t="s">
        <v>4175</v>
      </c>
      <c r="J12581" s="635">
        <f t="shared" si="397"/>
        <v>0</v>
      </c>
    </row>
    <row r="12582" spans="6:10" hidden="1">
      <c r="F12582" s="569">
        <v>462</v>
      </c>
      <c r="G12582" s="562" t="s">
        <v>3812</v>
      </c>
      <c r="J12582" s="635">
        <f t="shared" si="397"/>
        <v>0</v>
      </c>
    </row>
    <row r="12583" spans="6:10" hidden="1">
      <c r="F12583" s="569">
        <v>4631</v>
      </c>
      <c r="G12583" s="562" t="s">
        <v>3813</v>
      </c>
      <c r="J12583" s="635">
        <f t="shared" si="397"/>
        <v>0</v>
      </c>
    </row>
    <row r="12584" spans="6:10" hidden="1">
      <c r="F12584" s="569">
        <v>4632</v>
      </c>
      <c r="G12584" s="562" t="s">
        <v>3814</v>
      </c>
      <c r="J12584" s="635">
        <f t="shared" si="397"/>
        <v>0</v>
      </c>
    </row>
    <row r="12585" spans="6:10" hidden="1">
      <c r="F12585" s="569">
        <v>464</v>
      </c>
      <c r="G12585" s="562" t="s">
        <v>3815</v>
      </c>
      <c r="J12585" s="635">
        <f t="shared" si="397"/>
        <v>0</v>
      </c>
    </row>
    <row r="12586" spans="6:10" hidden="1">
      <c r="F12586" s="569">
        <v>465</v>
      </c>
      <c r="G12586" s="562" t="s">
        <v>4176</v>
      </c>
      <c r="J12586" s="635">
        <f t="shared" si="397"/>
        <v>0</v>
      </c>
    </row>
    <row r="12587" spans="6:10" hidden="1">
      <c r="F12587" s="569">
        <v>472</v>
      </c>
      <c r="G12587" s="562" t="s">
        <v>3819</v>
      </c>
      <c r="J12587" s="635">
        <f t="shared" si="397"/>
        <v>0</v>
      </c>
    </row>
    <row r="12588" spans="6:10" hidden="1">
      <c r="F12588" s="569">
        <v>481</v>
      </c>
      <c r="G12588" s="562" t="s">
        <v>4195</v>
      </c>
      <c r="J12588" s="635">
        <f t="shared" si="397"/>
        <v>0</v>
      </c>
    </row>
    <row r="12589" spans="6:10" hidden="1">
      <c r="F12589" s="569">
        <v>482</v>
      </c>
      <c r="G12589" s="562" t="s">
        <v>4196</v>
      </c>
      <c r="J12589" s="635">
        <f t="shared" si="397"/>
        <v>0</v>
      </c>
    </row>
    <row r="12590" spans="6:10" hidden="1">
      <c r="F12590" s="569">
        <v>483</v>
      </c>
      <c r="G12590" s="566" t="s">
        <v>4197</v>
      </c>
      <c r="J12590" s="635">
        <f t="shared" si="397"/>
        <v>0</v>
      </c>
    </row>
    <row r="12591" spans="6:10" ht="30" hidden="1">
      <c r="F12591" s="569">
        <v>484</v>
      </c>
      <c r="G12591" s="562" t="s">
        <v>4198</v>
      </c>
      <c r="J12591" s="635">
        <f t="shared" si="397"/>
        <v>0</v>
      </c>
    </row>
    <row r="12592" spans="6:10" ht="30" hidden="1">
      <c r="F12592" s="569">
        <v>485</v>
      </c>
      <c r="G12592" s="562" t="s">
        <v>4199</v>
      </c>
      <c r="J12592" s="635">
        <f t="shared" si="397"/>
        <v>0</v>
      </c>
    </row>
    <row r="12593" spans="6:10" ht="30" hidden="1">
      <c r="F12593" s="569">
        <v>489</v>
      </c>
      <c r="G12593" s="562" t="s">
        <v>3827</v>
      </c>
      <c r="J12593" s="635">
        <f t="shared" si="397"/>
        <v>0</v>
      </c>
    </row>
    <row r="12594" spans="6:10" hidden="1">
      <c r="F12594" s="569">
        <v>494</v>
      </c>
      <c r="G12594" s="562" t="s">
        <v>4177</v>
      </c>
      <c r="J12594" s="635">
        <f t="shared" si="397"/>
        <v>0</v>
      </c>
    </row>
    <row r="12595" spans="6:10" ht="30" hidden="1">
      <c r="F12595" s="569">
        <v>495</v>
      </c>
      <c r="G12595" s="562" t="s">
        <v>4178</v>
      </c>
      <c r="J12595" s="635">
        <f t="shared" si="397"/>
        <v>0</v>
      </c>
    </row>
    <row r="12596" spans="6:10" ht="30" hidden="1">
      <c r="F12596" s="569">
        <v>496</v>
      </c>
      <c r="G12596" s="562" t="s">
        <v>4179</v>
      </c>
      <c r="J12596" s="635">
        <f t="shared" si="397"/>
        <v>0</v>
      </c>
    </row>
    <row r="12597" spans="6:10" hidden="1">
      <c r="F12597" s="569">
        <v>499</v>
      </c>
      <c r="G12597" s="562" t="s">
        <v>4180</v>
      </c>
      <c r="J12597" s="635">
        <f t="shared" si="397"/>
        <v>0</v>
      </c>
    </row>
    <row r="12598" spans="6:10" hidden="1">
      <c r="F12598" s="569">
        <v>511</v>
      </c>
      <c r="G12598" s="566" t="s">
        <v>4200</v>
      </c>
      <c r="J12598" s="635">
        <f t="shared" si="397"/>
        <v>0</v>
      </c>
    </row>
    <row r="12599" spans="6:10" hidden="1">
      <c r="F12599" s="569">
        <v>512</v>
      </c>
      <c r="G12599" s="566" t="s">
        <v>4201</v>
      </c>
      <c r="J12599" s="635">
        <f t="shared" si="397"/>
        <v>0</v>
      </c>
    </row>
    <row r="12600" spans="6:10" hidden="1">
      <c r="F12600" s="569">
        <v>513</v>
      </c>
      <c r="G12600" s="566" t="s">
        <v>4202</v>
      </c>
      <c r="J12600" s="635">
        <f t="shared" si="397"/>
        <v>0</v>
      </c>
    </row>
    <row r="12601" spans="6:10" hidden="1">
      <c r="F12601" s="569">
        <v>514</v>
      </c>
      <c r="G12601" s="562" t="s">
        <v>4203</v>
      </c>
      <c r="J12601" s="635">
        <f t="shared" si="397"/>
        <v>0</v>
      </c>
    </row>
    <row r="12602" spans="6:10" hidden="1">
      <c r="F12602" s="569">
        <v>515</v>
      </c>
      <c r="G12602" s="562" t="s">
        <v>3838</v>
      </c>
      <c r="J12602" s="635">
        <f t="shared" si="397"/>
        <v>0</v>
      </c>
    </row>
    <row r="12603" spans="6:10" hidden="1">
      <c r="F12603" s="569">
        <v>521</v>
      </c>
      <c r="G12603" s="562" t="s">
        <v>4204</v>
      </c>
      <c r="J12603" s="635">
        <f t="shared" si="397"/>
        <v>0</v>
      </c>
    </row>
    <row r="12604" spans="6:10" hidden="1">
      <c r="F12604" s="569">
        <v>522</v>
      </c>
      <c r="G12604" s="562" t="s">
        <v>4205</v>
      </c>
      <c r="J12604" s="635">
        <f t="shared" si="397"/>
        <v>0</v>
      </c>
    </row>
    <row r="12605" spans="6:10" hidden="1">
      <c r="F12605" s="569">
        <v>523</v>
      </c>
      <c r="G12605" s="562" t="s">
        <v>3843</v>
      </c>
      <c r="J12605" s="635">
        <f t="shared" si="397"/>
        <v>0</v>
      </c>
    </row>
    <row r="12606" spans="6:10" hidden="1">
      <c r="F12606" s="569">
        <v>531</v>
      </c>
      <c r="G12606" s="558" t="s">
        <v>4181</v>
      </c>
      <c r="J12606" s="635">
        <f t="shared" si="397"/>
        <v>0</v>
      </c>
    </row>
    <row r="12607" spans="6:10" hidden="1">
      <c r="F12607" s="569">
        <v>541</v>
      </c>
      <c r="G12607" s="562" t="s">
        <v>4206</v>
      </c>
      <c r="J12607" s="635">
        <f t="shared" si="397"/>
        <v>0</v>
      </c>
    </row>
    <row r="12608" spans="6:10" hidden="1">
      <c r="F12608" s="569">
        <v>542</v>
      </c>
      <c r="G12608" s="562" t="s">
        <v>4207</v>
      </c>
      <c r="J12608" s="635">
        <f t="shared" si="397"/>
        <v>0</v>
      </c>
    </row>
    <row r="12609" spans="5:10" hidden="1">
      <c r="F12609" s="569">
        <v>543</v>
      </c>
      <c r="G12609" s="562" t="s">
        <v>3848</v>
      </c>
      <c r="J12609" s="635">
        <f t="shared" si="397"/>
        <v>0</v>
      </c>
    </row>
    <row r="12610" spans="5:10" ht="30" hidden="1">
      <c r="F12610" s="569">
        <v>551</v>
      </c>
      <c r="G12610" s="562" t="s">
        <v>4182</v>
      </c>
      <c r="J12610" s="635">
        <f t="shared" si="397"/>
        <v>0</v>
      </c>
    </row>
    <row r="12611" spans="5:10" hidden="1">
      <c r="F12611" s="570">
        <v>611</v>
      </c>
      <c r="G12611" s="568" t="s">
        <v>3854</v>
      </c>
      <c r="J12611" s="635">
        <f t="shared" si="397"/>
        <v>0</v>
      </c>
    </row>
    <row r="12612" spans="5:10" ht="15.75" hidden="1" thickBot="1">
      <c r="F12612" s="570">
        <v>620</v>
      </c>
      <c r="G12612" s="568" t="s">
        <v>88</v>
      </c>
      <c r="J12612" s="635">
        <f t="shared" si="397"/>
        <v>0</v>
      </c>
    </row>
    <row r="12613" spans="5:10" hidden="1">
      <c r="E12613" s="559"/>
      <c r="F12613" s="570"/>
      <c r="G12613" s="371" t="s">
        <v>4450</v>
      </c>
      <c r="H12613" s="636"/>
      <c r="I12613" s="662"/>
      <c r="J12613" s="637"/>
    </row>
    <row r="12614" spans="5:10" hidden="1">
      <c r="E12614" s="267"/>
      <c r="F12614" s="294" t="s">
        <v>234</v>
      </c>
      <c r="G12614" s="297" t="s">
        <v>235</v>
      </c>
      <c r="H12614" s="638">
        <f>SUM(H12553:H12612)</f>
        <v>0</v>
      </c>
      <c r="I12614" s="639"/>
      <c r="J12614" s="639">
        <f>SUM(H12614:I12614)</f>
        <v>0</v>
      </c>
    </row>
    <row r="12615" spans="5:10" hidden="1">
      <c r="F12615" s="294" t="s">
        <v>236</v>
      </c>
      <c r="G12615" s="297" t="s">
        <v>237</v>
      </c>
      <c r="J12615" s="639">
        <f t="shared" ref="J12615:J12629" si="398">SUM(H12615:I12615)</f>
        <v>0</v>
      </c>
    </row>
    <row r="12616" spans="5:10" hidden="1">
      <c r="F12616" s="294" t="s">
        <v>238</v>
      </c>
      <c r="G12616" s="297" t="s">
        <v>239</v>
      </c>
      <c r="J12616" s="639">
        <f t="shared" si="398"/>
        <v>0</v>
      </c>
    </row>
    <row r="12617" spans="5:10" hidden="1">
      <c r="F12617" s="294" t="s">
        <v>240</v>
      </c>
      <c r="G12617" s="297" t="s">
        <v>241</v>
      </c>
      <c r="J12617" s="639">
        <f t="shared" si="398"/>
        <v>0</v>
      </c>
    </row>
    <row r="12618" spans="5:10" hidden="1">
      <c r="F12618" s="294" t="s">
        <v>242</v>
      </c>
      <c r="G12618" s="297" t="s">
        <v>243</v>
      </c>
      <c r="J12618" s="639">
        <f t="shared" si="398"/>
        <v>0</v>
      </c>
    </row>
    <row r="12619" spans="5:10" hidden="1">
      <c r="F12619" s="294" t="s">
        <v>244</v>
      </c>
      <c r="G12619" s="297" t="s">
        <v>245</v>
      </c>
      <c r="J12619" s="639">
        <f t="shared" si="398"/>
        <v>0</v>
      </c>
    </row>
    <row r="12620" spans="5:10" hidden="1">
      <c r="F12620" s="294" t="s">
        <v>246</v>
      </c>
      <c r="G12620" s="683" t="s">
        <v>5121</v>
      </c>
      <c r="J12620" s="639">
        <f t="shared" si="398"/>
        <v>0</v>
      </c>
    </row>
    <row r="12621" spans="5:10" hidden="1">
      <c r="F12621" s="294" t="s">
        <v>247</v>
      </c>
      <c r="G12621" s="683" t="s">
        <v>5120</v>
      </c>
      <c r="J12621" s="639">
        <f t="shared" si="398"/>
        <v>0</v>
      </c>
    </row>
    <row r="12622" spans="5:10" hidden="1">
      <c r="F12622" s="294" t="s">
        <v>248</v>
      </c>
      <c r="G12622" s="297" t="s">
        <v>57</v>
      </c>
      <c r="J12622" s="639">
        <f t="shared" si="398"/>
        <v>0</v>
      </c>
    </row>
    <row r="12623" spans="5:10" hidden="1">
      <c r="F12623" s="294" t="s">
        <v>249</v>
      </c>
      <c r="G12623" s="297" t="s">
        <v>250</v>
      </c>
      <c r="J12623" s="639">
        <f t="shared" si="398"/>
        <v>0</v>
      </c>
    </row>
    <row r="12624" spans="5:10" hidden="1">
      <c r="F12624" s="294" t="s">
        <v>251</v>
      </c>
      <c r="G12624" s="297" t="s">
        <v>252</v>
      </c>
      <c r="J12624" s="639">
        <f t="shared" si="398"/>
        <v>0</v>
      </c>
    </row>
    <row r="12625" spans="5:10" hidden="1">
      <c r="F12625" s="294" t="s">
        <v>253</v>
      </c>
      <c r="G12625" s="297" t="s">
        <v>254</v>
      </c>
      <c r="J12625" s="639">
        <f t="shared" si="398"/>
        <v>0</v>
      </c>
    </row>
    <row r="12626" spans="5:10" hidden="1">
      <c r="F12626" s="294" t="s">
        <v>255</v>
      </c>
      <c r="G12626" s="297" t="s">
        <v>256</v>
      </c>
      <c r="J12626" s="639">
        <f t="shared" si="398"/>
        <v>0</v>
      </c>
    </row>
    <row r="12627" spans="5:10" hidden="1">
      <c r="F12627" s="294" t="s">
        <v>257</v>
      </c>
      <c r="G12627" s="297" t="s">
        <v>258</v>
      </c>
      <c r="J12627" s="639">
        <f t="shared" si="398"/>
        <v>0</v>
      </c>
    </row>
    <row r="12628" spans="5:10" hidden="1">
      <c r="F12628" s="294" t="s">
        <v>259</v>
      </c>
      <c r="G12628" s="297" t="s">
        <v>260</v>
      </c>
      <c r="J12628" s="639">
        <f t="shared" si="398"/>
        <v>0</v>
      </c>
    </row>
    <row r="12629" spans="5:10" ht="15.75" hidden="1" thickBot="1">
      <c r="F12629" s="294" t="s">
        <v>261</v>
      </c>
      <c r="G12629" s="297" t="s">
        <v>262</v>
      </c>
      <c r="H12629" s="638"/>
      <c r="I12629" s="639"/>
      <c r="J12629" s="639">
        <f t="shared" si="398"/>
        <v>0</v>
      </c>
    </row>
    <row r="12630" spans="5:10" ht="15.75" hidden="1" thickBot="1">
      <c r="G12630" s="274" t="s">
        <v>4451</v>
      </c>
      <c r="H12630" s="640">
        <f>SUM(H12614:H12629)</f>
        <v>0</v>
      </c>
      <c r="I12630" s="641">
        <f>SUM(I12615:I12629)</f>
        <v>0</v>
      </c>
      <c r="J12630" s="641">
        <f>SUM(J12614:J12629)</f>
        <v>0</v>
      </c>
    </row>
    <row r="12631" spans="5:10" hidden="1" collapsed="1">
      <c r="E12631" s="559"/>
      <c r="F12631" s="570"/>
      <c r="G12631" s="276" t="s">
        <v>5044</v>
      </c>
      <c r="H12631" s="642"/>
      <c r="I12631" s="663"/>
      <c r="J12631" s="643"/>
    </row>
    <row r="12632" spans="5:10" hidden="1">
      <c r="E12632" s="267"/>
      <c r="F12632" s="294" t="s">
        <v>234</v>
      </c>
      <c r="G12632" s="297" t="s">
        <v>235</v>
      </c>
      <c r="H12632" s="638">
        <f>SUM(H12553:H12612)</f>
        <v>0</v>
      </c>
      <c r="I12632" s="639"/>
      <c r="J12632" s="639">
        <f>SUM(H12632:I12632)</f>
        <v>0</v>
      </c>
    </row>
    <row r="12633" spans="5:10" hidden="1">
      <c r="F12633" s="294" t="s">
        <v>236</v>
      </c>
      <c r="G12633" s="297" t="s">
        <v>237</v>
      </c>
      <c r="J12633" s="639">
        <f t="shared" ref="J12633:J12647" si="399">SUM(H12633:I12633)</f>
        <v>0</v>
      </c>
    </row>
    <row r="12634" spans="5:10" hidden="1">
      <c r="F12634" s="294" t="s">
        <v>238</v>
      </c>
      <c r="G12634" s="297" t="s">
        <v>239</v>
      </c>
      <c r="J12634" s="639">
        <f t="shared" si="399"/>
        <v>0</v>
      </c>
    </row>
    <row r="12635" spans="5:10" hidden="1">
      <c r="F12635" s="294" t="s">
        <v>240</v>
      </c>
      <c r="G12635" s="297" t="s">
        <v>241</v>
      </c>
      <c r="J12635" s="639">
        <f t="shared" si="399"/>
        <v>0</v>
      </c>
    </row>
    <row r="12636" spans="5:10" hidden="1">
      <c r="F12636" s="294" t="s">
        <v>242</v>
      </c>
      <c r="G12636" s="297" t="s">
        <v>243</v>
      </c>
      <c r="J12636" s="639">
        <f t="shared" si="399"/>
        <v>0</v>
      </c>
    </row>
    <row r="12637" spans="5:10" hidden="1">
      <c r="F12637" s="294" t="s">
        <v>244</v>
      </c>
      <c r="G12637" s="297" t="s">
        <v>245</v>
      </c>
      <c r="J12637" s="639">
        <f t="shared" si="399"/>
        <v>0</v>
      </c>
    </row>
    <row r="12638" spans="5:10" hidden="1">
      <c r="F12638" s="294" t="s">
        <v>246</v>
      </c>
      <c r="G12638" s="683" t="s">
        <v>5121</v>
      </c>
      <c r="J12638" s="639">
        <f t="shared" si="399"/>
        <v>0</v>
      </c>
    </row>
    <row r="12639" spans="5:10" hidden="1">
      <c r="F12639" s="294" t="s">
        <v>247</v>
      </c>
      <c r="G12639" s="683" t="s">
        <v>5120</v>
      </c>
      <c r="J12639" s="639">
        <f t="shared" si="399"/>
        <v>0</v>
      </c>
    </row>
    <row r="12640" spans="5:10" hidden="1">
      <c r="F12640" s="294" t="s">
        <v>248</v>
      </c>
      <c r="G12640" s="297" t="s">
        <v>57</v>
      </c>
      <c r="J12640" s="639">
        <f t="shared" si="399"/>
        <v>0</v>
      </c>
    </row>
    <row r="12641" spans="1:10" hidden="1">
      <c r="F12641" s="294" t="s">
        <v>249</v>
      </c>
      <c r="G12641" s="297" t="s">
        <v>250</v>
      </c>
      <c r="J12641" s="639">
        <f t="shared" si="399"/>
        <v>0</v>
      </c>
    </row>
    <row r="12642" spans="1:10" hidden="1">
      <c r="F12642" s="294" t="s">
        <v>251</v>
      </c>
      <c r="G12642" s="297" t="s">
        <v>252</v>
      </c>
      <c r="J12642" s="639">
        <f t="shared" si="399"/>
        <v>0</v>
      </c>
    </row>
    <row r="12643" spans="1:10" hidden="1">
      <c r="F12643" s="294" t="s">
        <v>253</v>
      </c>
      <c r="G12643" s="297" t="s">
        <v>254</v>
      </c>
      <c r="J12643" s="639">
        <f t="shared" si="399"/>
        <v>0</v>
      </c>
    </row>
    <row r="12644" spans="1:10" hidden="1">
      <c r="F12644" s="294" t="s">
        <v>255</v>
      </c>
      <c r="G12644" s="297" t="s">
        <v>256</v>
      </c>
      <c r="J12644" s="639">
        <f t="shared" si="399"/>
        <v>0</v>
      </c>
    </row>
    <row r="12645" spans="1:10" hidden="1">
      <c r="F12645" s="294" t="s">
        <v>257</v>
      </c>
      <c r="G12645" s="297" t="s">
        <v>258</v>
      </c>
      <c r="J12645" s="639">
        <f t="shared" si="399"/>
        <v>0</v>
      </c>
    </row>
    <row r="12646" spans="1:10" hidden="1">
      <c r="F12646" s="294" t="s">
        <v>259</v>
      </c>
      <c r="G12646" s="297" t="s">
        <v>260</v>
      </c>
      <c r="J12646" s="639">
        <f t="shared" si="399"/>
        <v>0</v>
      </c>
    </row>
    <row r="12647" spans="1:10" ht="15.75" hidden="1" thickBot="1">
      <c r="F12647" s="294" t="s">
        <v>261</v>
      </c>
      <c r="G12647" s="297" t="s">
        <v>262</v>
      </c>
      <c r="H12647" s="638"/>
      <c r="I12647" s="639"/>
      <c r="J12647" s="639">
        <f t="shared" si="399"/>
        <v>0</v>
      </c>
    </row>
    <row r="12648" spans="1:10" ht="15.75" hidden="1" thickBot="1">
      <c r="G12648" s="274" t="s">
        <v>5030</v>
      </c>
      <c r="H12648" s="640">
        <f>SUM(H12615:H12630)</f>
        <v>0</v>
      </c>
      <c r="I12648" s="641">
        <f>SUM(I12616:I12630)</f>
        <v>0</v>
      </c>
      <c r="J12648" s="641">
        <f>SUM(J12615:J12630)</f>
        <v>0</v>
      </c>
    </row>
    <row r="12649" spans="1:10" hidden="1"/>
    <row r="12650" spans="1:10" hidden="1">
      <c r="A12650" s="84"/>
      <c r="B12650" s="84"/>
      <c r="C12650" s="84"/>
      <c r="D12650" s="84"/>
      <c r="E12650" s="84"/>
      <c r="F12650" s="84"/>
      <c r="G12650" s="84"/>
      <c r="H12650" s="84"/>
      <c r="I12650" s="84"/>
      <c r="J12650" s="84"/>
    </row>
    <row r="12651" spans="1:10" hidden="1">
      <c r="A12651" s="84"/>
      <c r="B12651" s="84"/>
      <c r="C12651" s="84"/>
      <c r="D12651" s="84"/>
      <c r="E12651" s="84"/>
      <c r="F12651" s="84"/>
      <c r="G12651" s="84"/>
      <c r="H12651" s="84"/>
      <c r="I12651" s="84"/>
      <c r="J12651" s="84"/>
    </row>
    <row r="12652" spans="1:10" hidden="1">
      <c r="A12652" s="84"/>
      <c r="B12652" s="84"/>
      <c r="C12652" s="84"/>
      <c r="D12652" s="84"/>
      <c r="E12652" s="84"/>
      <c r="F12652" s="84"/>
      <c r="G12652" s="84"/>
      <c r="H12652" s="84"/>
      <c r="I12652" s="84"/>
      <c r="J12652" s="84"/>
    </row>
    <row r="12653" spans="1:10" hidden="1">
      <c r="A12653" s="84"/>
      <c r="B12653" s="84"/>
      <c r="C12653" s="84"/>
      <c r="D12653" s="84"/>
      <c r="E12653" s="84"/>
      <c r="F12653" s="84"/>
      <c r="G12653" s="84"/>
      <c r="H12653" s="84"/>
      <c r="I12653" s="84"/>
      <c r="J12653" s="84"/>
    </row>
    <row r="12654" spans="1:10" hidden="1">
      <c r="A12654" s="84"/>
      <c r="B12654" s="84"/>
      <c r="C12654" s="84"/>
      <c r="D12654" s="84"/>
      <c r="E12654" s="84"/>
      <c r="F12654" s="84"/>
      <c r="G12654" s="84"/>
      <c r="H12654" s="84"/>
      <c r="I12654" s="84"/>
      <c r="J12654" s="84"/>
    </row>
    <row r="12655" spans="1:10" hidden="1">
      <c r="A12655" s="84"/>
      <c r="B12655" s="84"/>
      <c r="C12655" s="84"/>
      <c r="D12655" s="84"/>
      <c r="E12655" s="84"/>
      <c r="F12655" s="84"/>
      <c r="G12655" s="84"/>
      <c r="H12655" s="84"/>
      <c r="I12655" s="84"/>
      <c r="J12655" s="84"/>
    </row>
    <row r="12656" spans="1:10" hidden="1">
      <c r="A12656" s="84"/>
      <c r="B12656" s="84"/>
      <c r="C12656" s="84"/>
      <c r="D12656" s="84"/>
      <c r="E12656" s="84"/>
      <c r="F12656" s="84"/>
      <c r="G12656" s="84"/>
      <c r="H12656" s="84"/>
      <c r="I12656" s="84"/>
      <c r="J12656" s="84"/>
    </row>
    <row r="12657" spans="1:10" hidden="1">
      <c r="A12657" s="84"/>
      <c r="B12657" s="84"/>
      <c r="C12657" s="84"/>
      <c r="D12657" s="84"/>
      <c r="E12657" s="84"/>
      <c r="F12657" s="84"/>
      <c r="G12657" s="84"/>
      <c r="H12657" s="84"/>
      <c r="I12657" s="84"/>
      <c r="J12657" s="84"/>
    </row>
    <row r="12658" spans="1:10" hidden="1">
      <c r="A12658" s="84"/>
      <c r="B12658" s="84"/>
      <c r="C12658" s="84"/>
      <c r="D12658" s="84"/>
      <c r="E12658" s="84"/>
      <c r="F12658" s="84"/>
      <c r="G12658" s="84"/>
      <c r="H12658" s="84"/>
      <c r="I12658" s="84"/>
      <c r="J12658" s="84"/>
    </row>
    <row r="12659" spans="1:10" hidden="1">
      <c r="A12659" s="84"/>
      <c r="B12659" s="84"/>
      <c r="C12659" s="84"/>
      <c r="D12659" s="84"/>
      <c r="E12659" s="84"/>
      <c r="F12659" s="84"/>
      <c r="G12659" s="84"/>
      <c r="H12659" s="84"/>
      <c r="I12659" s="84"/>
      <c r="J12659" s="84"/>
    </row>
    <row r="12660" spans="1:10" hidden="1">
      <c r="A12660" s="84"/>
      <c r="B12660" s="84"/>
      <c r="C12660" s="84"/>
      <c r="D12660" s="84"/>
      <c r="E12660" s="84"/>
      <c r="F12660" s="84"/>
      <c r="G12660" s="84"/>
      <c r="H12660" s="84"/>
      <c r="I12660" s="84"/>
      <c r="J12660" s="84"/>
    </row>
    <row r="12661" spans="1:10" hidden="1">
      <c r="A12661" s="84"/>
      <c r="B12661" s="84"/>
      <c r="C12661" s="84"/>
      <c r="D12661" s="84"/>
      <c r="E12661" s="84"/>
      <c r="F12661" s="84"/>
      <c r="G12661" s="84"/>
      <c r="H12661" s="84"/>
      <c r="I12661" s="84"/>
      <c r="J12661" s="84"/>
    </row>
    <row r="12662" spans="1:10" hidden="1">
      <c r="A12662" s="84"/>
      <c r="B12662" s="84"/>
      <c r="C12662" s="84"/>
      <c r="D12662" s="84"/>
      <c r="E12662" s="84"/>
      <c r="F12662" s="84"/>
      <c r="G12662" s="84"/>
      <c r="H12662" s="84"/>
      <c r="I12662" s="84"/>
      <c r="J12662" s="84"/>
    </row>
    <row r="12663" spans="1:10" hidden="1">
      <c r="A12663" s="84"/>
      <c r="B12663" s="84"/>
      <c r="C12663" s="84"/>
      <c r="D12663" s="84"/>
      <c r="E12663" s="84"/>
      <c r="F12663" s="84"/>
      <c r="G12663" s="84"/>
      <c r="H12663" s="84"/>
      <c r="I12663" s="84"/>
      <c r="J12663" s="84"/>
    </row>
    <row r="12664" spans="1:10" hidden="1">
      <c r="A12664" s="84"/>
      <c r="B12664" s="84"/>
      <c r="C12664" s="84"/>
      <c r="D12664" s="84"/>
      <c r="E12664" s="84"/>
      <c r="F12664" s="84"/>
      <c r="G12664" s="84"/>
      <c r="H12664" s="84"/>
      <c r="I12664" s="84"/>
      <c r="J12664" s="84"/>
    </row>
    <row r="12665" spans="1:10" hidden="1">
      <c r="A12665" s="84"/>
      <c r="B12665" s="84"/>
      <c r="C12665" s="84"/>
      <c r="D12665" s="84"/>
      <c r="E12665" s="84"/>
      <c r="F12665" s="84"/>
      <c r="G12665" s="84"/>
      <c r="H12665" s="84"/>
      <c r="I12665" s="84"/>
      <c r="J12665" s="84"/>
    </row>
    <row r="12666" spans="1:10" hidden="1">
      <c r="A12666" s="84"/>
      <c r="B12666" s="84"/>
      <c r="C12666" s="84"/>
      <c r="D12666" s="84"/>
      <c r="E12666" s="84"/>
      <c r="F12666" s="84"/>
      <c r="G12666" s="84"/>
      <c r="H12666" s="84"/>
      <c r="I12666" s="84"/>
      <c r="J12666" s="84"/>
    </row>
    <row r="12667" spans="1:10" hidden="1">
      <c r="A12667" s="84"/>
      <c r="B12667" s="84"/>
      <c r="C12667" s="84"/>
      <c r="D12667" s="84"/>
      <c r="E12667" s="84"/>
      <c r="F12667" s="84"/>
      <c r="G12667" s="84"/>
      <c r="H12667" s="84"/>
      <c r="I12667" s="84"/>
      <c r="J12667" s="84"/>
    </row>
    <row r="12668" spans="1:10" hidden="1"/>
    <row r="12669" spans="1:10" hidden="1">
      <c r="E12669" s="559"/>
      <c r="F12669" s="570"/>
      <c r="G12669" s="295" t="s">
        <v>4454</v>
      </c>
      <c r="H12669" s="646"/>
      <c r="I12669" s="664"/>
      <c r="J12669" s="647"/>
    </row>
    <row r="12670" spans="1:10" hidden="1">
      <c r="E12670" s="267"/>
      <c r="F12670" s="294" t="s">
        <v>234</v>
      </c>
      <c r="G12670" s="297" t="s">
        <v>235</v>
      </c>
      <c r="H12670" s="638">
        <f>SUM(H4490)</f>
        <v>28950000</v>
      </c>
      <c r="I12670" s="639"/>
      <c r="J12670" s="639">
        <f>SUM(H12670:I12670)</f>
        <v>28950000</v>
      </c>
    </row>
    <row r="12671" spans="1:10" hidden="1">
      <c r="F12671" s="294" t="s">
        <v>236</v>
      </c>
      <c r="G12671" s="297" t="s">
        <v>237</v>
      </c>
      <c r="J12671" s="639">
        <f t="shared" ref="J12671:J12685" si="400">SUM(H12671:I12671)</f>
        <v>0</v>
      </c>
    </row>
    <row r="12672" spans="1:10" hidden="1">
      <c r="F12672" s="294" t="s">
        <v>238</v>
      </c>
      <c r="G12672" s="297" t="s">
        <v>239</v>
      </c>
      <c r="J12672" s="639">
        <f t="shared" si="400"/>
        <v>0</v>
      </c>
    </row>
    <row r="12673" spans="6:10" hidden="1">
      <c r="F12673" s="294" t="s">
        <v>240</v>
      </c>
      <c r="G12673" s="297" t="s">
        <v>241</v>
      </c>
      <c r="J12673" s="639">
        <f t="shared" si="400"/>
        <v>0</v>
      </c>
    </row>
    <row r="12674" spans="6:10" hidden="1">
      <c r="F12674" s="294" t="s">
        <v>242</v>
      </c>
      <c r="G12674" s="297" t="s">
        <v>243</v>
      </c>
      <c r="J12674" s="639">
        <f t="shared" si="400"/>
        <v>0</v>
      </c>
    </row>
    <row r="12675" spans="6:10" hidden="1">
      <c r="F12675" s="294" t="s">
        <v>244</v>
      </c>
      <c r="G12675" s="297" t="s">
        <v>245</v>
      </c>
      <c r="J12675" s="639">
        <f t="shared" si="400"/>
        <v>0</v>
      </c>
    </row>
    <row r="12676" spans="6:10" hidden="1">
      <c r="F12676" s="294" t="s">
        <v>246</v>
      </c>
      <c r="G12676" s="683" t="s">
        <v>5121</v>
      </c>
      <c r="J12676" s="639">
        <f t="shared" si="400"/>
        <v>0</v>
      </c>
    </row>
    <row r="12677" spans="6:10" hidden="1">
      <c r="F12677" s="294" t="s">
        <v>247</v>
      </c>
      <c r="G12677" s="683" t="s">
        <v>5120</v>
      </c>
      <c r="J12677" s="639">
        <f t="shared" si="400"/>
        <v>0</v>
      </c>
    </row>
    <row r="12678" spans="6:10" hidden="1">
      <c r="F12678" s="294" t="s">
        <v>248</v>
      </c>
      <c r="G12678" s="297" t="s">
        <v>57</v>
      </c>
      <c r="J12678" s="639">
        <f t="shared" si="400"/>
        <v>0</v>
      </c>
    </row>
    <row r="12679" spans="6:10" hidden="1">
      <c r="F12679" s="294" t="s">
        <v>249</v>
      </c>
      <c r="G12679" s="297" t="s">
        <v>250</v>
      </c>
      <c r="J12679" s="639">
        <f t="shared" si="400"/>
        <v>0</v>
      </c>
    </row>
    <row r="12680" spans="6:10" hidden="1">
      <c r="F12680" s="294" t="s">
        <v>251</v>
      </c>
      <c r="G12680" s="297" t="s">
        <v>252</v>
      </c>
      <c r="J12680" s="639">
        <f t="shared" si="400"/>
        <v>0</v>
      </c>
    </row>
    <row r="12681" spans="6:10" hidden="1">
      <c r="F12681" s="294" t="s">
        <v>253</v>
      </c>
      <c r="G12681" s="297" t="s">
        <v>254</v>
      </c>
      <c r="J12681" s="639">
        <f t="shared" si="400"/>
        <v>0</v>
      </c>
    </row>
    <row r="12682" spans="6:10" hidden="1">
      <c r="F12682" s="294" t="s">
        <v>255</v>
      </c>
      <c r="G12682" s="297" t="s">
        <v>256</v>
      </c>
      <c r="J12682" s="639">
        <f t="shared" si="400"/>
        <v>0</v>
      </c>
    </row>
    <row r="12683" spans="6:10" hidden="1">
      <c r="F12683" s="294" t="s">
        <v>257</v>
      </c>
      <c r="G12683" s="297" t="s">
        <v>258</v>
      </c>
      <c r="J12683" s="639">
        <f t="shared" si="400"/>
        <v>0</v>
      </c>
    </row>
    <row r="12684" spans="6:10" hidden="1">
      <c r="F12684" s="294" t="s">
        <v>259</v>
      </c>
      <c r="G12684" s="297" t="s">
        <v>260</v>
      </c>
      <c r="J12684" s="639">
        <f t="shared" si="400"/>
        <v>0</v>
      </c>
    </row>
    <row r="12685" spans="6:10" ht="15.75" hidden="1" thickBot="1">
      <c r="F12685" s="294" t="s">
        <v>261</v>
      </c>
      <c r="G12685" s="297" t="s">
        <v>262</v>
      </c>
      <c r="H12685" s="638"/>
      <c r="I12685" s="639"/>
      <c r="J12685" s="639">
        <f t="shared" si="400"/>
        <v>0</v>
      </c>
    </row>
    <row r="12686" spans="6:10" ht="15.75" hidden="1" thickBot="1">
      <c r="G12686" s="274" t="s">
        <v>4455</v>
      </c>
      <c r="H12686" s="640">
        <f>SUM(H12670:H12685)</f>
        <v>28950000</v>
      </c>
      <c r="I12686" s="641">
        <f>SUM(I12671:I12685)</f>
        <v>0</v>
      </c>
      <c r="J12686" s="641">
        <f>SUM(J12670:J12685)</f>
        <v>28950000</v>
      </c>
    </row>
    <row r="12687" spans="6:10" hidden="1"/>
    <row r="12688" spans="6:10" hidden="1"/>
    <row r="12689" ht="16.5" hidden="1" customHeight="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t="19.5" hidden="1" customHeight="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collapsed="1"/>
    <row r="12771" hidden="1"/>
    <row r="12772" hidden="1"/>
    <row r="12773" hidden="1"/>
    <row r="12774" hidden="1"/>
    <row r="12775" hidden="1"/>
    <row r="12776" hidden="1"/>
    <row r="12777" hidden="1"/>
    <row r="12778" hidden="1"/>
    <row r="12779" hidden="1"/>
    <row r="12780" hidden="1"/>
    <row r="12781" hidden="1"/>
    <row r="12782" hidden="1"/>
    <row r="12783" hidden="1"/>
    <row r="12784" hidden="1"/>
    <row r="12785" spans="3:10" hidden="1"/>
    <row r="12786" spans="3:10" hidden="1"/>
    <row r="12787" spans="3:10" hidden="1" collapsed="1"/>
    <row r="12788" spans="3:10" hidden="1"/>
    <row r="12789" spans="3:10" hidden="1"/>
    <row r="12790" spans="3:10" hidden="1">
      <c r="C12790" s="273" t="s">
        <v>4747</v>
      </c>
      <c r="D12790" s="264"/>
      <c r="G12790" s="563" t="s">
        <v>4240</v>
      </c>
    </row>
    <row r="12791" spans="3:10" hidden="1">
      <c r="C12791" s="273"/>
      <c r="D12791" s="357">
        <v>920</v>
      </c>
      <c r="E12791" s="357"/>
      <c r="F12791" s="357"/>
      <c r="G12791" s="358" t="s">
        <v>220</v>
      </c>
    </row>
    <row r="12792" spans="3:10" hidden="1">
      <c r="F12792" s="569">
        <v>411</v>
      </c>
      <c r="G12792" s="562" t="s">
        <v>4173</v>
      </c>
      <c r="J12792" s="635">
        <f>SUM(H12792:I12792)</f>
        <v>0</v>
      </c>
    </row>
    <row r="12793" spans="3:10" hidden="1">
      <c r="F12793" s="569">
        <v>412</v>
      </c>
      <c r="G12793" s="558" t="s">
        <v>3770</v>
      </c>
      <c r="J12793" s="635">
        <f t="shared" ref="J12793:J12851" si="401">SUM(H12793:I12793)</f>
        <v>0</v>
      </c>
    </row>
    <row r="12794" spans="3:10" hidden="1">
      <c r="F12794" s="569">
        <v>413</v>
      </c>
      <c r="G12794" s="562" t="s">
        <v>4174</v>
      </c>
      <c r="J12794" s="635">
        <f t="shared" si="401"/>
        <v>0</v>
      </c>
    </row>
    <row r="12795" spans="3:10" hidden="1">
      <c r="F12795" s="569">
        <v>414</v>
      </c>
      <c r="G12795" s="562" t="s">
        <v>3773</v>
      </c>
      <c r="J12795" s="635">
        <f t="shared" si="401"/>
        <v>0</v>
      </c>
    </row>
    <row r="12796" spans="3:10" hidden="1">
      <c r="F12796" s="569">
        <v>415</v>
      </c>
      <c r="G12796" s="562" t="s">
        <v>4183</v>
      </c>
      <c r="J12796" s="635">
        <f t="shared" si="401"/>
        <v>0</v>
      </c>
    </row>
    <row r="12797" spans="3:10" hidden="1">
      <c r="F12797" s="569">
        <v>416</v>
      </c>
      <c r="G12797" s="562" t="s">
        <v>4184</v>
      </c>
      <c r="J12797" s="635">
        <f t="shared" si="401"/>
        <v>0</v>
      </c>
    </row>
    <row r="12798" spans="3:10" hidden="1">
      <c r="F12798" s="569">
        <v>417</v>
      </c>
      <c r="G12798" s="562" t="s">
        <v>4185</v>
      </c>
      <c r="J12798" s="635">
        <f t="shared" si="401"/>
        <v>0</v>
      </c>
    </row>
    <row r="12799" spans="3:10" hidden="1">
      <c r="F12799" s="569">
        <v>418</v>
      </c>
      <c r="G12799" s="562" t="s">
        <v>3779</v>
      </c>
      <c r="J12799" s="635">
        <f t="shared" si="401"/>
        <v>0</v>
      </c>
    </row>
    <row r="12800" spans="3:10" hidden="1">
      <c r="F12800" s="569">
        <v>421</v>
      </c>
      <c r="G12800" s="562" t="s">
        <v>3783</v>
      </c>
      <c r="J12800" s="635">
        <f t="shared" si="401"/>
        <v>0</v>
      </c>
    </row>
    <row r="12801" spans="6:10" hidden="1">
      <c r="F12801" s="569">
        <v>422</v>
      </c>
      <c r="G12801" s="562" t="s">
        <v>3784</v>
      </c>
      <c r="J12801" s="635">
        <f t="shared" si="401"/>
        <v>0</v>
      </c>
    </row>
    <row r="12802" spans="6:10" hidden="1">
      <c r="F12802" s="569">
        <v>423</v>
      </c>
      <c r="G12802" s="562" t="s">
        <v>3785</v>
      </c>
      <c r="J12802" s="635">
        <f t="shared" si="401"/>
        <v>0</v>
      </c>
    </row>
    <row r="12803" spans="6:10" hidden="1">
      <c r="F12803" s="569">
        <v>424</v>
      </c>
      <c r="G12803" s="562" t="s">
        <v>3787</v>
      </c>
      <c r="J12803" s="635">
        <f t="shared" si="401"/>
        <v>0</v>
      </c>
    </row>
    <row r="12804" spans="6:10" hidden="1">
      <c r="F12804" s="569">
        <v>425</v>
      </c>
      <c r="G12804" s="562" t="s">
        <v>4186</v>
      </c>
      <c r="J12804" s="635">
        <f t="shared" si="401"/>
        <v>0</v>
      </c>
    </row>
    <row r="12805" spans="6:10" hidden="1">
      <c r="F12805" s="569">
        <v>426</v>
      </c>
      <c r="G12805" s="562" t="s">
        <v>3791</v>
      </c>
      <c r="J12805" s="635">
        <f t="shared" si="401"/>
        <v>0</v>
      </c>
    </row>
    <row r="12806" spans="6:10" hidden="1">
      <c r="F12806" s="569">
        <v>431</v>
      </c>
      <c r="G12806" s="562" t="s">
        <v>4187</v>
      </c>
      <c r="J12806" s="635">
        <f t="shared" si="401"/>
        <v>0</v>
      </c>
    </row>
    <row r="12807" spans="6:10" hidden="1">
      <c r="F12807" s="569">
        <v>432</v>
      </c>
      <c r="G12807" s="562" t="s">
        <v>4188</v>
      </c>
      <c r="J12807" s="635">
        <f t="shared" si="401"/>
        <v>0</v>
      </c>
    </row>
    <row r="12808" spans="6:10" hidden="1">
      <c r="F12808" s="569">
        <v>433</v>
      </c>
      <c r="G12808" s="562" t="s">
        <v>4189</v>
      </c>
      <c r="J12808" s="635">
        <f t="shared" si="401"/>
        <v>0</v>
      </c>
    </row>
    <row r="12809" spans="6:10" hidden="1">
      <c r="F12809" s="569">
        <v>434</v>
      </c>
      <c r="G12809" s="562" t="s">
        <v>4190</v>
      </c>
      <c r="J12809" s="635">
        <f t="shared" si="401"/>
        <v>0</v>
      </c>
    </row>
    <row r="12810" spans="6:10" hidden="1">
      <c r="F12810" s="569">
        <v>435</v>
      </c>
      <c r="G12810" s="562" t="s">
        <v>3798</v>
      </c>
      <c r="J12810" s="635">
        <f t="shared" si="401"/>
        <v>0</v>
      </c>
    </row>
    <row r="12811" spans="6:10" hidden="1">
      <c r="F12811" s="569">
        <v>441</v>
      </c>
      <c r="G12811" s="562" t="s">
        <v>4191</v>
      </c>
      <c r="J12811" s="635">
        <f t="shared" si="401"/>
        <v>0</v>
      </c>
    </row>
    <row r="12812" spans="6:10" hidden="1">
      <c r="F12812" s="569">
        <v>442</v>
      </c>
      <c r="G12812" s="562" t="s">
        <v>4192</v>
      </c>
      <c r="J12812" s="635">
        <f t="shared" si="401"/>
        <v>0</v>
      </c>
    </row>
    <row r="12813" spans="6:10" hidden="1">
      <c r="F12813" s="569">
        <v>443</v>
      </c>
      <c r="G12813" s="562" t="s">
        <v>3803</v>
      </c>
      <c r="J12813" s="635">
        <f t="shared" si="401"/>
        <v>0</v>
      </c>
    </row>
    <row r="12814" spans="6:10" hidden="1">
      <c r="F12814" s="569">
        <v>444</v>
      </c>
      <c r="G12814" s="562" t="s">
        <v>3804</v>
      </c>
      <c r="J12814" s="635">
        <f t="shared" si="401"/>
        <v>0</v>
      </c>
    </row>
    <row r="12815" spans="6:10" ht="30" hidden="1">
      <c r="F12815" s="569">
        <v>4511</v>
      </c>
      <c r="G12815" s="268" t="s">
        <v>1690</v>
      </c>
      <c r="J12815" s="635">
        <f t="shared" si="401"/>
        <v>0</v>
      </c>
    </row>
    <row r="12816" spans="6:10" ht="30" hidden="1">
      <c r="F12816" s="569">
        <v>4512</v>
      </c>
      <c r="G12816" s="268" t="s">
        <v>1699</v>
      </c>
      <c r="J12816" s="635">
        <f t="shared" si="401"/>
        <v>0</v>
      </c>
    </row>
    <row r="12817" spans="6:10" hidden="1">
      <c r="F12817" s="569">
        <v>452</v>
      </c>
      <c r="G12817" s="562" t="s">
        <v>4193</v>
      </c>
      <c r="J12817" s="635">
        <f t="shared" si="401"/>
        <v>0</v>
      </c>
    </row>
    <row r="12818" spans="6:10" hidden="1">
      <c r="F12818" s="569">
        <v>453</v>
      </c>
      <c r="G12818" s="562" t="s">
        <v>4194</v>
      </c>
      <c r="J12818" s="635">
        <f t="shared" si="401"/>
        <v>0</v>
      </c>
    </row>
    <row r="12819" spans="6:10" hidden="1">
      <c r="F12819" s="569">
        <v>454</v>
      </c>
      <c r="G12819" s="562" t="s">
        <v>3809</v>
      </c>
      <c r="J12819" s="635">
        <f t="shared" si="401"/>
        <v>0</v>
      </c>
    </row>
    <row r="12820" spans="6:10" hidden="1">
      <c r="F12820" s="569">
        <v>461</v>
      </c>
      <c r="G12820" s="562" t="s">
        <v>4175</v>
      </c>
      <c r="J12820" s="635">
        <f t="shared" si="401"/>
        <v>0</v>
      </c>
    </row>
    <row r="12821" spans="6:10" hidden="1">
      <c r="F12821" s="569">
        <v>462</v>
      </c>
      <c r="G12821" s="562" t="s">
        <v>3812</v>
      </c>
      <c r="J12821" s="635">
        <f t="shared" si="401"/>
        <v>0</v>
      </c>
    </row>
    <row r="12822" spans="6:10" hidden="1">
      <c r="F12822" s="569">
        <v>4631</v>
      </c>
      <c r="G12822" s="562" t="s">
        <v>3813</v>
      </c>
      <c r="J12822" s="635">
        <f t="shared" si="401"/>
        <v>0</v>
      </c>
    </row>
    <row r="12823" spans="6:10" hidden="1">
      <c r="F12823" s="569">
        <v>4632</v>
      </c>
      <c r="G12823" s="562" t="s">
        <v>3814</v>
      </c>
      <c r="J12823" s="635">
        <f t="shared" si="401"/>
        <v>0</v>
      </c>
    </row>
    <row r="12824" spans="6:10" hidden="1">
      <c r="F12824" s="569">
        <v>464</v>
      </c>
      <c r="G12824" s="562" t="s">
        <v>3815</v>
      </c>
      <c r="J12824" s="635">
        <f t="shared" si="401"/>
        <v>0</v>
      </c>
    </row>
    <row r="12825" spans="6:10" hidden="1">
      <c r="F12825" s="569">
        <v>465</v>
      </c>
      <c r="G12825" s="562" t="s">
        <v>4176</v>
      </c>
      <c r="J12825" s="635">
        <f t="shared" si="401"/>
        <v>0</v>
      </c>
    </row>
    <row r="12826" spans="6:10" hidden="1">
      <c r="F12826" s="569">
        <v>472</v>
      </c>
      <c r="G12826" s="562" t="s">
        <v>3819</v>
      </c>
      <c r="J12826" s="635">
        <f t="shared" si="401"/>
        <v>0</v>
      </c>
    </row>
    <row r="12827" spans="6:10" hidden="1">
      <c r="F12827" s="569">
        <v>481</v>
      </c>
      <c r="G12827" s="562" t="s">
        <v>4195</v>
      </c>
      <c r="J12827" s="635">
        <f t="shared" si="401"/>
        <v>0</v>
      </c>
    </row>
    <row r="12828" spans="6:10" hidden="1">
      <c r="F12828" s="569">
        <v>482</v>
      </c>
      <c r="G12828" s="562" t="s">
        <v>4196</v>
      </c>
      <c r="J12828" s="635">
        <f t="shared" si="401"/>
        <v>0</v>
      </c>
    </row>
    <row r="12829" spans="6:10" hidden="1">
      <c r="F12829" s="569">
        <v>483</v>
      </c>
      <c r="G12829" s="566" t="s">
        <v>4197</v>
      </c>
      <c r="J12829" s="635">
        <f t="shared" si="401"/>
        <v>0</v>
      </c>
    </row>
    <row r="12830" spans="6:10" ht="30" hidden="1">
      <c r="F12830" s="569">
        <v>484</v>
      </c>
      <c r="G12830" s="562" t="s">
        <v>4198</v>
      </c>
      <c r="J12830" s="635">
        <f t="shared" si="401"/>
        <v>0</v>
      </c>
    </row>
    <row r="12831" spans="6:10" ht="30" hidden="1">
      <c r="F12831" s="569">
        <v>485</v>
      </c>
      <c r="G12831" s="562" t="s">
        <v>4199</v>
      </c>
      <c r="J12831" s="635">
        <f t="shared" si="401"/>
        <v>0</v>
      </c>
    </row>
    <row r="12832" spans="6:10" ht="30" hidden="1">
      <c r="F12832" s="569">
        <v>489</v>
      </c>
      <c r="G12832" s="562" t="s">
        <v>3827</v>
      </c>
      <c r="J12832" s="635">
        <f t="shared" si="401"/>
        <v>0</v>
      </c>
    </row>
    <row r="12833" spans="6:10" hidden="1">
      <c r="F12833" s="569">
        <v>494</v>
      </c>
      <c r="G12833" s="562" t="s">
        <v>4177</v>
      </c>
      <c r="J12833" s="635">
        <f t="shared" si="401"/>
        <v>0</v>
      </c>
    </row>
    <row r="12834" spans="6:10" ht="30" hidden="1">
      <c r="F12834" s="569">
        <v>495</v>
      </c>
      <c r="G12834" s="562" t="s">
        <v>4178</v>
      </c>
      <c r="J12834" s="635">
        <f t="shared" si="401"/>
        <v>0</v>
      </c>
    </row>
    <row r="12835" spans="6:10" ht="30" hidden="1">
      <c r="F12835" s="569">
        <v>496</v>
      </c>
      <c r="G12835" s="562" t="s">
        <v>4179</v>
      </c>
      <c r="J12835" s="635">
        <f t="shared" si="401"/>
        <v>0</v>
      </c>
    </row>
    <row r="12836" spans="6:10" hidden="1">
      <c r="F12836" s="569">
        <v>499</v>
      </c>
      <c r="G12836" s="562" t="s">
        <v>4180</v>
      </c>
      <c r="J12836" s="635">
        <f t="shared" si="401"/>
        <v>0</v>
      </c>
    </row>
    <row r="12837" spans="6:10" hidden="1">
      <c r="F12837" s="569">
        <v>511</v>
      </c>
      <c r="G12837" s="566" t="s">
        <v>4200</v>
      </c>
      <c r="J12837" s="635">
        <f t="shared" si="401"/>
        <v>0</v>
      </c>
    </row>
    <row r="12838" spans="6:10" hidden="1">
      <c r="F12838" s="569">
        <v>512</v>
      </c>
      <c r="G12838" s="566" t="s">
        <v>4201</v>
      </c>
      <c r="J12838" s="635">
        <f t="shared" si="401"/>
        <v>0</v>
      </c>
    </row>
    <row r="12839" spans="6:10" hidden="1">
      <c r="F12839" s="569">
        <v>513</v>
      </c>
      <c r="G12839" s="566" t="s">
        <v>4202</v>
      </c>
      <c r="J12839" s="635">
        <f t="shared" si="401"/>
        <v>0</v>
      </c>
    </row>
    <row r="12840" spans="6:10" hidden="1">
      <c r="F12840" s="569">
        <v>514</v>
      </c>
      <c r="G12840" s="562" t="s">
        <v>4203</v>
      </c>
      <c r="J12840" s="635">
        <f t="shared" si="401"/>
        <v>0</v>
      </c>
    </row>
    <row r="12841" spans="6:10" hidden="1">
      <c r="F12841" s="569">
        <v>515</v>
      </c>
      <c r="G12841" s="562" t="s">
        <v>3838</v>
      </c>
      <c r="J12841" s="635">
        <f t="shared" si="401"/>
        <v>0</v>
      </c>
    </row>
    <row r="12842" spans="6:10" hidden="1">
      <c r="F12842" s="569">
        <v>521</v>
      </c>
      <c r="G12842" s="562" t="s">
        <v>4204</v>
      </c>
      <c r="J12842" s="635">
        <f t="shared" si="401"/>
        <v>0</v>
      </c>
    </row>
    <row r="12843" spans="6:10" hidden="1">
      <c r="F12843" s="569">
        <v>522</v>
      </c>
      <c r="G12843" s="562" t="s">
        <v>4205</v>
      </c>
      <c r="J12843" s="635">
        <f t="shared" si="401"/>
        <v>0</v>
      </c>
    </row>
    <row r="12844" spans="6:10" hidden="1">
      <c r="F12844" s="569">
        <v>523</v>
      </c>
      <c r="G12844" s="562" t="s">
        <v>3843</v>
      </c>
      <c r="J12844" s="635">
        <f t="shared" si="401"/>
        <v>0</v>
      </c>
    </row>
    <row r="12845" spans="6:10" hidden="1">
      <c r="F12845" s="569">
        <v>531</v>
      </c>
      <c r="G12845" s="558" t="s">
        <v>4181</v>
      </c>
      <c r="J12845" s="635">
        <f t="shared" si="401"/>
        <v>0</v>
      </c>
    </row>
    <row r="12846" spans="6:10" hidden="1">
      <c r="F12846" s="569">
        <v>541</v>
      </c>
      <c r="G12846" s="562" t="s">
        <v>4206</v>
      </c>
      <c r="J12846" s="635">
        <f t="shared" si="401"/>
        <v>0</v>
      </c>
    </row>
    <row r="12847" spans="6:10" hidden="1">
      <c r="F12847" s="569">
        <v>542</v>
      </c>
      <c r="G12847" s="562" t="s">
        <v>4207</v>
      </c>
      <c r="J12847" s="635">
        <f t="shared" si="401"/>
        <v>0</v>
      </c>
    </row>
    <row r="12848" spans="6:10" hidden="1">
      <c r="F12848" s="569">
        <v>543</v>
      </c>
      <c r="G12848" s="562" t="s">
        <v>3848</v>
      </c>
      <c r="J12848" s="635">
        <f t="shared" si="401"/>
        <v>0</v>
      </c>
    </row>
    <row r="12849" spans="5:10" ht="30" hidden="1">
      <c r="F12849" s="569">
        <v>551</v>
      </c>
      <c r="G12849" s="562" t="s">
        <v>4182</v>
      </c>
      <c r="J12849" s="635">
        <f t="shared" si="401"/>
        <v>0</v>
      </c>
    </row>
    <row r="12850" spans="5:10" hidden="1">
      <c r="F12850" s="570">
        <v>611</v>
      </c>
      <c r="G12850" s="568" t="s">
        <v>3854</v>
      </c>
      <c r="J12850" s="635">
        <f t="shared" si="401"/>
        <v>0</v>
      </c>
    </row>
    <row r="12851" spans="5:10" ht="15.75" hidden="1" thickBot="1">
      <c r="F12851" s="570">
        <v>620</v>
      </c>
      <c r="G12851" s="568" t="s">
        <v>88</v>
      </c>
      <c r="J12851" s="635">
        <f t="shared" si="401"/>
        <v>0</v>
      </c>
    </row>
    <row r="12852" spans="5:10" hidden="1">
      <c r="E12852" s="559"/>
      <c r="F12852" s="570"/>
      <c r="G12852" s="371" t="s">
        <v>4456</v>
      </c>
      <c r="H12852" s="636"/>
      <c r="I12852" s="662"/>
      <c r="J12852" s="637"/>
    </row>
    <row r="12853" spans="5:10" hidden="1">
      <c r="E12853" s="267"/>
      <c r="F12853" s="294" t="s">
        <v>234</v>
      </c>
      <c r="G12853" s="297" t="s">
        <v>235</v>
      </c>
      <c r="H12853" s="638">
        <f>SUM(H12792:H12851)</f>
        <v>0</v>
      </c>
      <c r="I12853" s="639"/>
      <c r="J12853" s="639">
        <f>SUM(H12853:I12853)</f>
        <v>0</v>
      </c>
    </row>
    <row r="12854" spans="5:10" hidden="1">
      <c r="F12854" s="294" t="s">
        <v>236</v>
      </c>
      <c r="G12854" s="297" t="s">
        <v>237</v>
      </c>
      <c r="J12854" s="639">
        <f t="shared" ref="J12854:J12868" si="402">SUM(H12854:I12854)</f>
        <v>0</v>
      </c>
    </row>
    <row r="12855" spans="5:10" hidden="1">
      <c r="F12855" s="294" t="s">
        <v>238</v>
      </c>
      <c r="G12855" s="297" t="s">
        <v>239</v>
      </c>
      <c r="J12855" s="639">
        <f t="shared" si="402"/>
        <v>0</v>
      </c>
    </row>
    <row r="12856" spans="5:10" hidden="1">
      <c r="F12856" s="294" t="s">
        <v>240</v>
      </c>
      <c r="G12856" s="297" t="s">
        <v>241</v>
      </c>
      <c r="J12856" s="639">
        <f t="shared" si="402"/>
        <v>0</v>
      </c>
    </row>
    <row r="12857" spans="5:10" hidden="1">
      <c r="F12857" s="294" t="s">
        <v>242</v>
      </c>
      <c r="G12857" s="297" t="s">
        <v>243</v>
      </c>
      <c r="J12857" s="639">
        <f t="shared" si="402"/>
        <v>0</v>
      </c>
    </row>
    <row r="12858" spans="5:10" hidden="1">
      <c r="F12858" s="294" t="s">
        <v>244</v>
      </c>
      <c r="G12858" s="297" t="s">
        <v>245</v>
      </c>
      <c r="J12858" s="639">
        <f t="shared" si="402"/>
        <v>0</v>
      </c>
    </row>
    <row r="12859" spans="5:10" hidden="1">
      <c r="F12859" s="294" t="s">
        <v>246</v>
      </c>
      <c r="G12859" s="683" t="s">
        <v>5121</v>
      </c>
      <c r="J12859" s="639">
        <f t="shared" si="402"/>
        <v>0</v>
      </c>
    </row>
    <row r="12860" spans="5:10" hidden="1">
      <c r="F12860" s="294" t="s">
        <v>247</v>
      </c>
      <c r="G12860" s="683" t="s">
        <v>5120</v>
      </c>
      <c r="J12860" s="639">
        <f t="shared" si="402"/>
        <v>0</v>
      </c>
    </row>
    <row r="12861" spans="5:10" hidden="1">
      <c r="F12861" s="294" t="s">
        <v>248</v>
      </c>
      <c r="G12861" s="297" t="s">
        <v>57</v>
      </c>
      <c r="J12861" s="639">
        <f t="shared" si="402"/>
        <v>0</v>
      </c>
    </row>
    <row r="12862" spans="5:10" hidden="1">
      <c r="F12862" s="294" t="s">
        <v>249</v>
      </c>
      <c r="G12862" s="297" t="s">
        <v>250</v>
      </c>
      <c r="J12862" s="639">
        <f t="shared" si="402"/>
        <v>0</v>
      </c>
    </row>
    <row r="12863" spans="5:10" hidden="1">
      <c r="F12863" s="294" t="s">
        <v>251</v>
      </c>
      <c r="G12863" s="297" t="s">
        <v>252</v>
      </c>
      <c r="J12863" s="639">
        <f t="shared" si="402"/>
        <v>0</v>
      </c>
    </row>
    <row r="12864" spans="5:10" hidden="1">
      <c r="F12864" s="294" t="s">
        <v>253</v>
      </c>
      <c r="G12864" s="297" t="s">
        <v>254</v>
      </c>
      <c r="J12864" s="639">
        <f t="shared" si="402"/>
        <v>0</v>
      </c>
    </row>
    <row r="12865" spans="5:10" hidden="1">
      <c r="F12865" s="294" t="s">
        <v>255</v>
      </c>
      <c r="G12865" s="297" t="s">
        <v>256</v>
      </c>
      <c r="J12865" s="639">
        <f t="shared" si="402"/>
        <v>0</v>
      </c>
    </row>
    <row r="12866" spans="5:10" hidden="1">
      <c r="F12866" s="294" t="s">
        <v>257</v>
      </c>
      <c r="G12866" s="297" t="s">
        <v>258</v>
      </c>
      <c r="J12866" s="639">
        <f t="shared" si="402"/>
        <v>0</v>
      </c>
    </row>
    <row r="12867" spans="5:10" hidden="1">
      <c r="F12867" s="294" t="s">
        <v>259</v>
      </c>
      <c r="G12867" s="297" t="s">
        <v>260</v>
      </c>
      <c r="J12867" s="639">
        <f t="shared" si="402"/>
        <v>0</v>
      </c>
    </row>
    <row r="12868" spans="5:10" ht="15.75" hidden="1" thickBot="1">
      <c r="F12868" s="294" t="s">
        <v>261</v>
      </c>
      <c r="G12868" s="297" t="s">
        <v>262</v>
      </c>
      <c r="H12868" s="638"/>
      <c r="I12868" s="639"/>
      <c r="J12868" s="639">
        <f t="shared" si="402"/>
        <v>0</v>
      </c>
    </row>
    <row r="12869" spans="5:10" ht="15.75" hidden="1" thickBot="1">
      <c r="G12869" s="274" t="s">
        <v>4457</v>
      </c>
      <c r="H12869" s="640">
        <f>SUM(H12853:H12868)</f>
        <v>0</v>
      </c>
      <c r="I12869" s="641">
        <f>SUM(I12854:I12868)</f>
        <v>0</v>
      </c>
      <c r="J12869" s="641">
        <f>SUM(J12853:J12868)</f>
        <v>0</v>
      </c>
    </row>
    <row r="12870" spans="5:10" hidden="1" collapsed="1">
      <c r="E12870" s="559"/>
      <c r="F12870" s="570"/>
      <c r="G12870" s="276" t="s">
        <v>5045</v>
      </c>
      <c r="H12870" s="642"/>
      <c r="I12870" s="663"/>
      <c r="J12870" s="643"/>
    </row>
    <row r="12871" spans="5:10" hidden="1">
      <c r="E12871" s="267"/>
      <c r="F12871" s="294" t="s">
        <v>234</v>
      </c>
      <c r="G12871" s="297" t="s">
        <v>235</v>
      </c>
      <c r="H12871" s="638">
        <f>SUM(H12792:H12851)</f>
        <v>0</v>
      </c>
      <c r="I12871" s="639"/>
      <c r="J12871" s="639">
        <f>SUM(H12871:I12871)</f>
        <v>0</v>
      </c>
    </row>
    <row r="12872" spans="5:10" hidden="1">
      <c r="F12872" s="294" t="s">
        <v>236</v>
      </c>
      <c r="G12872" s="297" t="s">
        <v>237</v>
      </c>
      <c r="J12872" s="639">
        <f t="shared" ref="J12872:J12886" si="403">SUM(H12872:I12872)</f>
        <v>0</v>
      </c>
    </row>
    <row r="12873" spans="5:10" hidden="1">
      <c r="F12873" s="294" t="s">
        <v>238</v>
      </c>
      <c r="G12873" s="297" t="s">
        <v>239</v>
      </c>
      <c r="J12873" s="639">
        <f t="shared" si="403"/>
        <v>0</v>
      </c>
    </row>
    <row r="12874" spans="5:10" hidden="1">
      <c r="F12874" s="294" t="s">
        <v>240</v>
      </c>
      <c r="G12874" s="297" t="s">
        <v>241</v>
      </c>
      <c r="J12874" s="639">
        <f t="shared" si="403"/>
        <v>0</v>
      </c>
    </row>
    <row r="12875" spans="5:10" hidden="1">
      <c r="F12875" s="294" t="s">
        <v>242</v>
      </c>
      <c r="G12875" s="297" t="s">
        <v>243</v>
      </c>
      <c r="J12875" s="639">
        <f t="shared" si="403"/>
        <v>0</v>
      </c>
    </row>
    <row r="12876" spans="5:10" hidden="1">
      <c r="F12876" s="294" t="s">
        <v>244</v>
      </c>
      <c r="G12876" s="297" t="s">
        <v>245</v>
      </c>
      <c r="J12876" s="639">
        <f t="shared" si="403"/>
        <v>0</v>
      </c>
    </row>
    <row r="12877" spans="5:10" hidden="1">
      <c r="F12877" s="294" t="s">
        <v>246</v>
      </c>
      <c r="G12877" s="683" t="s">
        <v>5121</v>
      </c>
      <c r="J12877" s="639">
        <f t="shared" si="403"/>
        <v>0</v>
      </c>
    </row>
    <row r="12878" spans="5:10" hidden="1">
      <c r="F12878" s="294" t="s">
        <v>247</v>
      </c>
      <c r="G12878" s="683" t="s">
        <v>5120</v>
      </c>
      <c r="J12878" s="639">
        <f t="shared" si="403"/>
        <v>0</v>
      </c>
    </row>
    <row r="12879" spans="5:10" hidden="1">
      <c r="F12879" s="294" t="s">
        <v>248</v>
      </c>
      <c r="G12879" s="297" t="s">
        <v>57</v>
      </c>
      <c r="J12879" s="639">
        <f t="shared" si="403"/>
        <v>0</v>
      </c>
    </row>
    <row r="12880" spans="5:10" hidden="1">
      <c r="F12880" s="294" t="s">
        <v>249</v>
      </c>
      <c r="G12880" s="297" t="s">
        <v>250</v>
      </c>
      <c r="J12880" s="639">
        <f t="shared" si="403"/>
        <v>0</v>
      </c>
    </row>
    <row r="12881" spans="3:10" hidden="1">
      <c r="F12881" s="294" t="s">
        <v>251</v>
      </c>
      <c r="G12881" s="297" t="s">
        <v>252</v>
      </c>
      <c r="J12881" s="639">
        <f t="shared" si="403"/>
        <v>0</v>
      </c>
    </row>
    <row r="12882" spans="3:10" hidden="1">
      <c r="F12882" s="294" t="s">
        <v>253</v>
      </c>
      <c r="G12882" s="297" t="s">
        <v>254</v>
      </c>
      <c r="J12882" s="639">
        <f t="shared" si="403"/>
        <v>0</v>
      </c>
    </row>
    <row r="12883" spans="3:10" hidden="1">
      <c r="F12883" s="294" t="s">
        <v>255</v>
      </c>
      <c r="G12883" s="297" t="s">
        <v>256</v>
      </c>
      <c r="J12883" s="639">
        <f t="shared" si="403"/>
        <v>0</v>
      </c>
    </row>
    <row r="12884" spans="3:10" hidden="1">
      <c r="F12884" s="294" t="s">
        <v>257</v>
      </c>
      <c r="G12884" s="297" t="s">
        <v>258</v>
      </c>
      <c r="J12884" s="639">
        <f t="shared" si="403"/>
        <v>0</v>
      </c>
    </row>
    <row r="12885" spans="3:10" hidden="1">
      <c r="F12885" s="294" t="s">
        <v>259</v>
      </c>
      <c r="G12885" s="297" t="s">
        <v>260</v>
      </c>
      <c r="J12885" s="639">
        <f t="shared" si="403"/>
        <v>0</v>
      </c>
    </row>
    <row r="12886" spans="3:10" ht="15.75" hidden="1" thickBot="1">
      <c r="F12886" s="294" t="s">
        <v>261</v>
      </c>
      <c r="G12886" s="297" t="s">
        <v>262</v>
      </c>
      <c r="H12886" s="638"/>
      <c r="I12886" s="639"/>
      <c r="J12886" s="639">
        <f t="shared" si="403"/>
        <v>0</v>
      </c>
    </row>
    <row r="12887" spans="3:10" ht="15.75" hidden="1" thickBot="1">
      <c r="G12887" s="274" t="s">
        <v>5046</v>
      </c>
      <c r="H12887" s="640">
        <f>SUM(H12871:H12886)</f>
        <v>0</v>
      </c>
      <c r="I12887" s="641">
        <f>SUM(I12872:I12886)</f>
        <v>0</v>
      </c>
      <c r="J12887" s="641">
        <f>SUM(J12871:J12886)</f>
        <v>0</v>
      </c>
    </row>
    <row r="12888" spans="3:10" hidden="1"/>
    <row r="12889" spans="3:10" hidden="1"/>
    <row r="12890" spans="3:10" hidden="1">
      <c r="C12890" s="273" t="s">
        <v>4748</v>
      </c>
      <c r="D12890" s="264"/>
      <c r="G12890" s="563" t="s">
        <v>4240</v>
      </c>
    </row>
    <row r="12891" spans="3:10" hidden="1">
      <c r="C12891" s="273"/>
      <c r="D12891" s="357">
        <v>920</v>
      </c>
      <c r="E12891" s="357"/>
      <c r="F12891" s="357"/>
      <c r="G12891" s="358" t="s">
        <v>220</v>
      </c>
    </row>
    <row r="12892" spans="3:10" hidden="1">
      <c r="F12892" s="569">
        <v>411</v>
      </c>
      <c r="G12892" s="562" t="s">
        <v>4173</v>
      </c>
      <c r="J12892" s="635">
        <f>SUM(H12892:I12892)</f>
        <v>0</v>
      </c>
    </row>
    <row r="12893" spans="3:10" hidden="1">
      <c r="F12893" s="569">
        <v>412</v>
      </c>
      <c r="G12893" s="558" t="s">
        <v>3770</v>
      </c>
      <c r="J12893" s="635">
        <f t="shared" ref="J12893:J12951" si="404">SUM(H12893:I12893)</f>
        <v>0</v>
      </c>
    </row>
    <row r="12894" spans="3:10" hidden="1">
      <c r="F12894" s="569">
        <v>413</v>
      </c>
      <c r="G12894" s="562" t="s">
        <v>4174</v>
      </c>
      <c r="J12894" s="635">
        <f t="shared" si="404"/>
        <v>0</v>
      </c>
    </row>
    <row r="12895" spans="3:10" hidden="1">
      <c r="F12895" s="569">
        <v>414</v>
      </c>
      <c r="G12895" s="562" t="s">
        <v>3773</v>
      </c>
      <c r="J12895" s="635">
        <f t="shared" si="404"/>
        <v>0</v>
      </c>
    </row>
    <row r="12896" spans="3:10" hidden="1">
      <c r="F12896" s="569">
        <v>415</v>
      </c>
      <c r="G12896" s="562" t="s">
        <v>4183</v>
      </c>
      <c r="J12896" s="635">
        <f t="shared" si="404"/>
        <v>0</v>
      </c>
    </row>
    <row r="12897" spans="6:10" hidden="1">
      <c r="F12897" s="569">
        <v>416</v>
      </c>
      <c r="G12897" s="562" t="s">
        <v>4184</v>
      </c>
      <c r="J12897" s="635">
        <f t="shared" si="404"/>
        <v>0</v>
      </c>
    </row>
    <row r="12898" spans="6:10" hidden="1">
      <c r="F12898" s="569">
        <v>417</v>
      </c>
      <c r="G12898" s="562" t="s">
        <v>4185</v>
      </c>
      <c r="J12898" s="635">
        <f t="shared" si="404"/>
        <v>0</v>
      </c>
    </row>
    <row r="12899" spans="6:10" hidden="1">
      <c r="F12899" s="569">
        <v>418</v>
      </c>
      <c r="G12899" s="562" t="s">
        <v>3779</v>
      </c>
      <c r="J12899" s="635">
        <f t="shared" si="404"/>
        <v>0</v>
      </c>
    </row>
    <row r="12900" spans="6:10" hidden="1">
      <c r="F12900" s="569">
        <v>421</v>
      </c>
      <c r="G12900" s="562" t="s">
        <v>3783</v>
      </c>
      <c r="J12900" s="635">
        <f t="shared" si="404"/>
        <v>0</v>
      </c>
    </row>
    <row r="12901" spans="6:10" hidden="1">
      <c r="F12901" s="569">
        <v>422</v>
      </c>
      <c r="G12901" s="562" t="s">
        <v>3784</v>
      </c>
      <c r="J12901" s="635">
        <f t="shared" si="404"/>
        <v>0</v>
      </c>
    </row>
    <row r="12902" spans="6:10" hidden="1">
      <c r="F12902" s="569">
        <v>423</v>
      </c>
      <c r="G12902" s="562" t="s">
        <v>3785</v>
      </c>
      <c r="J12902" s="635">
        <f t="shared" si="404"/>
        <v>0</v>
      </c>
    </row>
    <row r="12903" spans="6:10" hidden="1">
      <c r="F12903" s="569">
        <v>424</v>
      </c>
      <c r="G12903" s="562" t="s">
        <v>3787</v>
      </c>
      <c r="J12903" s="635">
        <f t="shared" si="404"/>
        <v>0</v>
      </c>
    </row>
    <row r="12904" spans="6:10" hidden="1">
      <c r="F12904" s="569">
        <v>425</v>
      </c>
      <c r="G12904" s="562" t="s">
        <v>4186</v>
      </c>
      <c r="J12904" s="635">
        <f t="shared" si="404"/>
        <v>0</v>
      </c>
    </row>
    <row r="12905" spans="6:10" hidden="1">
      <c r="F12905" s="569">
        <v>426</v>
      </c>
      <c r="G12905" s="562" t="s">
        <v>3791</v>
      </c>
      <c r="J12905" s="635">
        <f t="shared" si="404"/>
        <v>0</v>
      </c>
    </row>
    <row r="12906" spans="6:10" hidden="1">
      <c r="F12906" s="569">
        <v>431</v>
      </c>
      <c r="G12906" s="562" t="s">
        <v>4187</v>
      </c>
      <c r="J12906" s="635">
        <f t="shared" si="404"/>
        <v>0</v>
      </c>
    </row>
    <row r="12907" spans="6:10" hidden="1">
      <c r="F12907" s="569">
        <v>432</v>
      </c>
      <c r="G12907" s="562" t="s">
        <v>4188</v>
      </c>
      <c r="J12907" s="635">
        <f t="shared" si="404"/>
        <v>0</v>
      </c>
    </row>
    <row r="12908" spans="6:10" hidden="1">
      <c r="F12908" s="569">
        <v>433</v>
      </c>
      <c r="G12908" s="562" t="s">
        <v>4189</v>
      </c>
      <c r="J12908" s="635">
        <f t="shared" si="404"/>
        <v>0</v>
      </c>
    </row>
    <row r="12909" spans="6:10" hidden="1">
      <c r="F12909" s="569">
        <v>434</v>
      </c>
      <c r="G12909" s="562" t="s">
        <v>4190</v>
      </c>
      <c r="J12909" s="635">
        <f t="shared" si="404"/>
        <v>0</v>
      </c>
    </row>
    <row r="12910" spans="6:10" hidden="1">
      <c r="F12910" s="569">
        <v>435</v>
      </c>
      <c r="G12910" s="562" t="s">
        <v>3798</v>
      </c>
      <c r="J12910" s="635">
        <f t="shared" si="404"/>
        <v>0</v>
      </c>
    </row>
    <row r="12911" spans="6:10" hidden="1">
      <c r="F12911" s="569">
        <v>441</v>
      </c>
      <c r="G12911" s="562" t="s">
        <v>4191</v>
      </c>
      <c r="J12911" s="635">
        <f t="shared" si="404"/>
        <v>0</v>
      </c>
    </row>
    <row r="12912" spans="6:10" hidden="1">
      <c r="F12912" s="569">
        <v>442</v>
      </c>
      <c r="G12912" s="562" t="s">
        <v>4192</v>
      </c>
      <c r="J12912" s="635">
        <f t="shared" si="404"/>
        <v>0</v>
      </c>
    </row>
    <row r="12913" spans="6:10" hidden="1">
      <c r="F12913" s="569">
        <v>443</v>
      </c>
      <c r="G12913" s="562" t="s">
        <v>3803</v>
      </c>
      <c r="J12913" s="635">
        <f t="shared" si="404"/>
        <v>0</v>
      </c>
    </row>
    <row r="12914" spans="6:10" hidden="1">
      <c r="F12914" s="569">
        <v>444</v>
      </c>
      <c r="G12914" s="562" t="s">
        <v>3804</v>
      </c>
      <c r="J12914" s="635">
        <f t="shared" si="404"/>
        <v>0</v>
      </c>
    </row>
    <row r="12915" spans="6:10" ht="30" hidden="1">
      <c r="F12915" s="569">
        <v>4511</v>
      </c>
      <c r="G12915" s="268" t="s">
        <v>1690</v>
      </c>
      <c r="J12915" s="635">
        <f t="shared" si="404"/>
        <v>0</v>
      </c>
    </row>
    <row r="12916" spans="6:10" ht="30" hidden="1">
      <c r="F12916" s="569">
        <v>4512</v>
      </c>
      <c r="G12916" s="268" t="s">
        <v>1699</v>
      </c>
      <c r="J12916" s="635">
        <f t="shared" si="404"/>
        <v>0</v>
      </c>
    </row>
    <row r="12917" spans="6:10" hidden="1">
      <c r="F12917" s="569">
        <v>452</v>
      </c>
      <c r="G12917" s="562" t="s">
        <v>4193</v>
      </c>
      <c r="J12917" s="635">
        <f t="shared" si="404"/>
        <v>0</v>
      </c>
    </row>
    <row r="12918" spans="6:10" hidden="1">
      <c r="F12918" s="569">
        <v>453</v>
      </c>
      <c r="G12918" s="562" t="s">
        <v>4194</v>
      </c>
      <c r="J12918" s="635">
        <f t="shared" si="404"/>
        <v>0</v>
      </c>
    </row>
    <row r="12919" spans="6:10" hidden="1">
      <c r="F12919" s="569">
        <v>454</v>
      </c>
      <c r="G12919" s="562" t="s">
        <v>3809</v>
      </c>
      <c r="J12919" s="635">
        <f t="shared" si="404"/>
        <v>0</v>
      </c>
    </row>
    <row r="12920" spans="6:10" hidden="1">
      <c r="F12920" s="569">
        <v>461</v>
      </c>
      <c r="G12920" s="562" t="s">
        <v>4175</v>
      </c>
      <c r="J12920" s="635">
        <f t="shared" si="404"/>
        <v>0</v>
      </c>
    </row>
    <row r="12921" spans="6:10" hidden="1">
      <c r="F12921" s="569">
        <v>462</v>
      </c>
      <c r="G12921" s="562" t="s">
        <v>3812</v>
      </c>
      <c r="J12921" s="635">
        <f t="shared" si="404"/>
        <v>0</v>
      </c>
    </row>
    <row r="12922" spans="6:10" hidden="1">
      <c r="F12922" s="569">
        <v>4631</v>
      </c>
      <c r="G12922" s="562" t="s">
        <v>3813</v>
      </c>
      <c r="J12922" s="635">
        <f t="shared" si="404"/>
        <v>0</v>
      </c>
    </row>
    <row r="12923" spans="6:10" hidden="1">
      <c r="F12923" s="569">
        <v>4632</v>
      </c>
      <c r="G12923" s="562" t="s">
        <v>3814</v>
      </c>
      <c r="J12923" s="635">
        <f t="shared" si="404"/>
        <v>0</v>
      </c>
    </row>
    <row r="12924" spans="6:10" hidden="1">
      <c r="F12924" s="569">
        <v>464</v>
      </c>
      <c r="G12924" s="562" t="s">
        <v>3815</v>
      </c>
      <c r="J12924" s="635">
        <f t="shared" si="404"/>
        <v>0</v>
      </c>
    </row>
    <row r="12925" spans="6:10" hidden="1">
      <c r="F12925" s="569">
        <v>465</v>
      </c>
      <c r="G12925" s="562" t="s">
        <v>4176</v>
      </c>
      <c r="J12925" s="635">
        <f t="shared" si="404"/>
        <v>0</v>
      </c>
    </row>
    <row r="12926" spans="6:10" hidden="1">
      <c r="F12926" s="569">
        <v>472</v>
      </c>
      <c r="G12926" s="562" t="s">
        <v>3819</v>
      </c>
      <c r="J12926" s="635">
        <f t="shared" si="404"/>
        <v>0</v>
      </c>
    </row>
    <row r="12927" spans="6:10" hidden="1">
      <c r="F12927" s="569">
        <v>481</v>
      </c>
      <c r="G12927" s="562" t="s">
        <v>4195</v>
      </c>
      <c r="J12927" s="635">
        <f t="shared" si="404"/>
        <v>0</v>
      </c>
    </row>
    <row r="12928" spans="6:10" hidden="1">
      <c r="F12928" s="569">
        <v>482</v>
      </c>
      <c r="G12928" s="562" t="s">
        <v>4196</v>
      </c>
      <c r="J12928" s="635">
        <f t="shared" si="404"/>
        <v>0</v>
      </c>
    </row>
    <row r="12929" spans="6:10" hidden="1">
      <c r="F12929" s="569">
        <v>483</v>
      </c>
      <c r="G12929" s="566" t="s">
        <v>4197</v>
      </c>
      <c r="J12929" s="635">
        <f t="shared" si="404"/>
        <v>0</v>
      </c>
    </row>
    <row r="12930" spans="6:10" ht="30" hidden="1">
      <c r="F12930" s="569">
        <v>484</v>
      </c>
      <c r="G12930" s="562" t="s">
        <v>4198</v>
      </c>
      <c r="J12930" s="635">
        <f t="shared" si="404"/>
        <v>0</v>
      </c>
    </row>
    <row r="12931" spans="6:10" ht="30" hidden="1">
      <c r="F12931" s="569">
        <v>485</v>
      </c>
      <c r="G12931" s="562" t="s">
        <v>4199</v>
      </c>
      <c r="J12931" s="635">
        <f t="shared" si="404"/>
        <v>0</v>
      </c>
    </row>
    <row r="12932" spans="6:10" ht="30" hidden="1">
      <c r="F12932" s="569">
        <v>489</v>
      </c>
      <c r="G12932" s="562" t="s">
        <v>3827</v>
      </c>
      <c r="J12932" s="635">
        <f t="shared" si="404"/>
        <v>0</v>
      </c>
    </row>
    <row r="12933" spans="6:10" hidden="1">
      <c r="F12933" s="569">
        <v>494</v>
      </c>
      <c r="G12933" s="562" t="s">
        <v>4177</v>
      </c>
      <c r="J12933" s="635">
        <f t="shared" si="404"/>
        <v>0</v>
      </c>
    </row>
    <row r="12934" spans="6:10" ht="30" hidden="1">
      <c r="F12934" s="569">
        <v>495</v>
      </c>
      <c r="G12934" s="562" t="s">
        <v>4178</v>
      </c>
      <c r="J12934" s="635">
        <f t="shared" si="404"/>
        <v>0</v>
      </c>
    </row>
    <row r="12935" spans="6:10" ht="30" hidden="1">
      <c r="F12935" s="569">
        <v>496</v>
      </c>
      <c r="G12935" s="562" t="s">
        <v>4179</v>
      </c>
      <c r="J12935" s="635">
        <f t="shared" si="404"/>
        <v>0</v>
      </c>
    </row>
    <row r="12936" spans="6:10" hidden="1">
      <c r="F12936" s="569">
        <v>499</v>
      </c>
      <c r="G12936" s="562" t="s">
        <v>4180</v>
      </c>
      <c r="J12936" s="635">
        <f t="shared" si="404"/>
        <v>0</v>
      </c>
    </row>
    <row r="12937" spans="6:10" hidden="1">
      <c r="F12937" s="569">
        <v>511</v>
      </c>
      <c r="G12937" s="566" t="s">
        <v>4200</v>
      </c>
      <c r="J12937" s="635">
        <f t="shared" si="404"/>
        <v>0</v>
      </c>
    </row>
    <row r="12938" spans="6:10" hidden="1">
      <c r="F12938" s="569">
        <v>512</v>
      </c>
      <c r="G12938" s="566" t="s">
        <v>4201</v>
      </c>
      <c r="J12938" s="635">
        <f t="shared" si="404"/>
        <v>0</v>
      </c>
    </row>
    <row r="12939" spans="6:10" hidden="1">
      <c r="F12939" s="569">
        <v>513</v>
      </c>
      <c r="G12939" s="566" t="s">
        <v>4202</v>
      </c>
      <c r="J12939" s="635">
        <f t="shared" si="404"/>
        <v>0</v>
      </c>
    </row>
    <row r="12940" spans="6:10" hidden="1">
      <c r="F12940" s="569">
        <v>514</v>
      </c>
      <c r="G12940" s="562" t="s">
        <v>4203</v>
      </c>
      <c r="J12940" s="635">
        <f t="shared" si="404"/>
        <v>0</v>
      </c>
    </row>
    <row r="12941" spans="6:10" hidden="1">
      <c r="F12941" s="569">
        <v>515</v>
      </c>
      <c r="G12941" s="562" t="s">
        <v>3838</v>
      </c>
      <c r="J12941" s="635">
        <f t="shared" si="404"/>
        <v>0</v>
      </c>
    </row>
    <row r="12942" spans="6:10" hidden="1">
      <c r="F12942" s="569">
        <v>521</v>
      </c>
      <c r="G12942" s="562" t="s">
        <v>4204</v>
      </c>
      <c r="J12942" s="635">
        <f t="shared" si="404"/>
        <v>0</v>
      </c>
    </row>
    <row r="12943" spans="6:10" hidden="1">
      <c r="F12943" s="569">
        <v>522</v>
      </c>
      <c r="G12943" s="562" t="s">
        <v>4205</v>
      </c>
      <c r="J12943" s="635">
        <f t="shared" si="404"/>
        <v>0</v>
      </c>
    </row>
    <row r="12944" spans="6:10" hidden="1">
      <c r="F12944" s="569">
        <v>523</v>
      </c>
      <c r="G12944" s="562" t="s">
        <v>3843</v>
      </c>
      <c r="J12944" s="635">
        <f t="shared" si="404"/>
        <v>0</v>
      </c>
    </row>
    <row r="12945" spans="5:10" hidden="1">
      <c r="F12945" s="569">
        <v>531</v>
      </c>
      <c r="G12945" s="558" t="s">
        <v>4181</v>
      </c>
      <c r="J12945" s="635">
        <f t="shared" si="404"/>
        <v>0</v>
      </c>
    </row>
    <row r="12946" spans="5:10" hidden="1">
      <c r="F12946" s="569">
        <v>541</v>
      </c>
      <c r="G12946" s="562" t="s">
        <v>4206</v>
      </c>
      <c r="J12946" s="635">
        <f t="shared" si="404"/>
        <v>0</v>
      </c>
    </row>
    <row r="12947" spans="5:10" hidden="1">
      <c r="F12947" s="569">
        <v>542</v>
      </c>
      <c r="G12947" s="562" t="s">
        <v>4207</v>
      </c>
      <c r="J12947" s="635">
        <f t="shared" si="404"/>
        <v>0</v>
      </c>
    </row>
    <row r="12948" spans="5:10" hidden="1">
      <c r="F12948" s="569">
        <v>543</v>
      </c>
      <c r="G12948" s="562" t="s">
        <v>3848</v>
      </c>
      <c r="J12948" s="635">
        <f t="shared" si="404"/>
        <v>0</v>
      </c>
    </row>
    <row r="12949" spans="5:10" ht="30" hidden="1">
      <c r="F12949" s="569">
        <v>551</v>
      </c>
      <c r="G12949" s="562" t="s">
        <v>4182</v>
      </c>
      <c r="J12949" s="635">
        <f t="shared" si="404"/>
        <v>0</v>
      </c>
    </row>
    <row r="12950" spans="5:10" hidden="1">
      <c r="F12950" s="570">
        <v>611</v>
      </c>
      <c r="G12950" s="568" t="s">
        <v>3854</v>
      </c>
      <c r="J12950" s="635">
        <f t="shared" si="404"/>
        <v>0</v>
      </c>
    </row>
    <row r="12951" spans="5:10" ht="15.75" hidden="1" thickBot="1">
      <c r="F12951" s="570">
        <v>620</v>
      </c>
      <c r="G12951" s="568" t="s">
        <v>88</v>
      </c>
      <c r="J12951" s="635">
        <f t="shared" si="404"/>
        <v>0</v>
      </c>
    </row>
    <row r="12952" spans="5:10" hidden="1">
      <c r="E12952" s="559"/>
      <c r="F12952" s="570"/>
      <c r="G12952" s="371" t="s">
        <v>4456</v>
      </c>
      <c r="H12952" s="636"/>
      <c r="I12952" s="662"/>
      <c r="J12952" s="637"/>
    </row>
    <row r="12953" spans="5:10" hidden="1">
      <c r="E12953" s="267"/>
      <c r="F12953" s="294" t="s">
        <v>234</v>
      </c>
      <c r="G12953" s="297" t="s">
        <v>235</v>
      </c>
      <c r="H12953" s="638">
        <f>SUM(H12892:H12951)</f>
        <v>0</v>
      </c>
      <c r="I12953" s="639"/>
      <c r="J12953" s="639">
        <f>SUM(H12953:I12953)</f>
        <v>0</v>
      </c>
    </row>
    <row r="12954" spans="5:10" hidden="1">
      <c r="F12954" s="294" t="s">
        <v>236</v>
      </c>
      <c r="G12954" s="297" t="s">
        <v>237</v>
      </c>
      <c r="J12954" s="639">
        <f t="shared" ref="J12954:J12968" si="405">SUM(H12954:I12954)</f>
        <v>0</v>
      </c>
    </row>
    <row r="12955" spans="5:10" hidden="1">
      <c r="F12955" s="294" t="s">
        <v>238</v>
      </c>
      <c r="G12955" s="297" t="s">
        <v>239</v>
      </c>
      <c r="J12955" s="639">
        <f t="shared" si="405"/>
        <v>0</v>
      </c>
    </row>
    <row r="12956" spans="5:10" hidden="1">
      <c r="F12956" s="294" t="s">
        <v>240</v>
      </c>
      <c r="G12956" s="297" t="s">
        <v>241</v>
      </c>
      <c r="J12956" s="639">
        <f t="shared" si="405"/>
        <v>0</v>
      </c>
    </row>
    <row r="12957" spans="5:10" hidden="1">
      <c r="F12957" s="294" t="s">
        <v>242</v>
      </c>
      <c r="G12957" s="297" t="s">
        <v>243</v>
      </c>
      <c r="J12957" s="639">
        <f t="shared" si="405"/>
        <v>0</v>
      </c>
    </row>
    <row r="12958" spans="5:10" hidden="1">
      <c r="F12958" s="294" t="s">
        <v>244</v>
      </c>
      <c r="G12958" s="297" t="s">
        <v>245</v>
      </c>
      <c r="J12958" s="639">
        <f t="shared" si="405"/>
        <v>0</v>
      </c>
    </row>
    <row r="12959" spans="5:10" hidden="1">
      <c r="F12959" s="294" t="s">
        <v>246</v>
      </c>
      <c r="G12959" s="683" t="s">
        <v>5121</v>
      </c>
      <c r="J12959" s="639">
        <f t="shared" si="405"/>
        <v>0</v>
      </c>
    </row>
    <row r="12960" spans="5:10" hidden="1">
      <c r="F12960" s="294" t="s">
        <v>247</v>
      </c>
      <c r="G12960" s="683" t="s">
        <v>5120</v>
      </c>
      <c r="J12960" s="639">
        <f t="shared" si="405"/>
        <v>0</v>
      </c>
    </row>
    <row r="12961" spans="5:10" hidden="1">
      <c r="F12961" s="294" t="s">
        <v>248</v>
      </c>
      <c r="G12961" s="297" t="s">
        <v>57</v>
      </c>
      <c r="J12961" s="639">
        <f t="shared" si="405"/>
        <v>0</v>
      </c>
    </row>
    <row r="12962" spans="5:10" hidden="1">
      <c r="F12962" s="294" t="s">
        <v>249</v>
      </c>
      <c r="G12962" s="297" t="s">
        <v>250</v>
      </c>
      <c r="J12962" s="639">
        <f t="shared" si="405"/>
        <v>0</v>
      </c>
    </row>
    <row r="12963" spans="5:10" hidden="1">
      <c r="F12963" s="294" t="s">
        <v>251</v>
      </c>
      <c r="G12963" s="297" t="s">
        <v>252</v>
      </c>
      <c r="J12963" s="639">
        <f t="shared" si="405"/>
        <v>0</v>
      </c>
    </row>
    <row r="12964" spans="5:10" hidden="1">
      <c r="F12964" s="294" t="s">
        <v>253</v>
      </c>
      <c r="G12964" s="297" t="s">
        <v>254</v>
      </c>
      <c r="J12964" s="639">
        <f t="shared" si="405"/>
        <v>0</v>
      </c>
    </row>
    <row r="12965" spans="5:10" hidden="1">
      <c r="F12965" s="294" t="s">
        <v>255</v>
      </c>
      <c r="G12965" s="297" t="s">
        <v>256</v>
      </c>
      <c r="J12965" s="639">
        <f t="shared" si="405"/>
        <v>0</v>
      </c>
    </row>
    <row r="12966" spans="5:10" hidden="1">
      <c r="F12966" s="294" t="s">
        <v>257</v>
      </c>
      <c r="G12966" s="297" t="s">
        <v>258</v>
      </c>
      <c r="J12966" s="639">
        <f t="shared" si="405"/>
        <v>0</v>
      </c>
    </row>
    <row r="12967" spans="5:10" hidden="1">
      <c r="F12967" s="294" t="s">
        <v>259</v>
      </c>
      <c r="G12967" s="297" t="s">
        <v>260</v>
      </c>
      <c r="J12967" s="639">
        <f t="shared" si="405"/>
        <v>0</v>
      </c>
    </row>
    <row r="12968" spans="5:10" ht="15.75" hidden="1" thickBot="1">
      <c r="F12968" s="294" t="s">
        <v>261</v>
      </c>
      <c r="G12968" s="297" t="s">
        <v>262</v>
      </c>
      <c r="H12968" s="638"/>
      <c r="I12968" s="639"/>
      <c r="J12968" s="639">
        <f t="shared" si="405"/>
        <v>0</v>
      </c>
    </row>
    <row r="12969" spans="5:10" ht="15.75" hidden="1" thickBot="1">
      <c r="G12969" s="274" t="s">
        <v>4457</v>
      </c>
      <c r="H12969" s="640">
        <f>SUM(H12953:H12968)</f>
        <v>0</v>
      </c>
      <c r="I12969" s="641">
        <f>SUM(I12954:I12968)</f>
        <v>0</v>
      </c>
      <c r="J12969" s="641">
        <f>SUM(J12953:J12968)</f>
        <v>0</v>
      </c>
    </row>
    <row r="12970" spans="5:10" hidden="1" collapsed="1">
      <c r="E12970" s="559"/>
      <c r="F12970" s="570"/>
      <c r="G12970" s="276" t="s">
        <v>5047</v>
      </c>
      <c r="H12970" s="642"/>
      <c r="I12970" s="663"/>
      <c r="J12970" s="643"/>
    </row>
    <row r="12971" spans="5:10" hidden="1">
      <c r="E12971" s="267"/>
      <c r="F12971" s="294" t="s">
        <v>234</v>
      </c>
      <c r="G12971" s="297" t="s">
        <v>235</v>
      </c>
      <c r="H12971" s="638">
        <f>SUM(H12892:H12951)</f>
        <v>0</v>
      </c>
      <c r="I12971" s="639"/>
      <c r="J12971" s="639">
        <f>SUM(H12971:I12971)</f>
        <v>0</v>
      </c>
    </row>
    <row r="12972" spans="5:10" hidden="1">
      <c r="F12972" s="294" t="s">
        <v>236</v>
      </c>
      <c r="G12972" s="297" t="s">
        <v>237</v>
      </c>
      <c r="J12972" s="639">
        <f t="shared" ref="J12972:J12986" si="406">SUM(H12972:I12972)</f>
        <v>0</v>
      </c>
    </row>
    <row r="12973" spans="5:10" hidden="1">
      <c r="F12973" s="294" t="s">
        <v>238</v>
      </c>
      <c r="G12973" s="297" t="s">
        <v>239</v>
      </c>
      <c r="J12973" s="639">
        <f t="shared" si="406"/>
        <v>0</v>
      </c>
    </row>
    <row r="12974" spans="5:10" hidden="1">
      <c r="F12974" s="294" t="s">
        <v>240</v>
      </c>
      <c r="G12974" s="297" t="s">
        <v>241</v>
      </c>
      <c r="J12974" s="639">
        <f t="shared" si="406"/>
        <v>0</v>
      </c>
    </row>
    <row r="12975" spans="5:10" hidden="1">
      <c r="F12975" s="294" t="s">
        <v>242</v>
      </c>
      <c r="G12975" s="297" t="s">
        <v>243</v>
      </c>
      <c r="J12975" s="639">
        <f t="shared" si="406"/>
        <v>0</v>
      </c>
    </row>
    <row r="12976" spans="5:10" hidden="1">
      <c r="F12976" s="294" t="s">
        <v>244</v>
      </c>
      <c r="G12976" s="297" t="s">
        <v>245</v>
      </c>
      <c r="J12976" s="639">
        <f t="shared" si="406"/>
        <v>0</v>
      </c>
    </row>
    <row r="12977" spans="1:10" hidden="1">
      <c r="F12977" s="294" t="s">
        <v>246</v>
      </c>
      <c r="G12977" s="683" t="s">
        <v>5121</v>
      </c>
      <c r="J12977" s="639">
        <f t="shared" si="406"/>
        <v>0</v>
      </c>
    </row>
    <row r="12978" spans="1:10" hidden="1">
      <c r="F12978" s="294" t="s">
        <v>247</v>
      </c>
      <c r="G12978" s="683" t="s">
        <v>5120</v>
      </c>
      <c r="J12978" s="639">
        <f t="shared" si="406"/>
        <v>0</v>
      </c>
    </row>
    <row r="12979" spans="1:10" hidden="1">
      <c r="F12979" s="294" t="s">
        <v>248</v>
      </c>
      <c r="G12979" s="297" t="s">
        <v>57</v>
      </c>
      <c r="J12979" s="639">
        <f t="shared" si="406"/>
        <v>0</v>
      </c>
    </row>
    <row r="12980" spans="1:10" hidden="1">
      <c r="F12980" s="294" t="s">
        <v>249</v>
      </c>
      <c r="G12980" s="297" t="s">
        <v>250</v>
      </c>
      <c r="J12980" s="639">
        <f t="shared" si="406"/>
        <v>0</v>
      </c>
    </row>
    <row r="12981" spans="1:10" hidden="1">
      <c r="F12981" s="294" t="s">
        <v>251</v>
      </c>
      <c r="G12981" s="297" t="s">
        <v>252</v>
      </c>
      <c r="J12981" s="639">
        <f t="shared" si="406"/>
        <v>0</v>
      </c>
    </row>
    <row r="12982" spans="1:10" hidden="1">
      <c r="F12982" s="294" t="s">
        <v>253</v>
      </c>
      <c r="G12982" s="297" t="s">
        <v>254</v>
      </c>
      <c r="J12982" s="639">
        <f t="shared" si="406"/>
        <v>0</v>
      </c>
    </row>
    <row r="12983" spans="1:10" hidden="1">
      <c r="F12983" s="294" t="s">
        <v>255</v>
      </c>
      <c r="G12983" s="297" t="s">
        <v>256</v>
      </c>
      <c r="J12983" s="639">
        <f t="shared" si="406"/>
        <v>0</v>
      </c>
    </row>
    <row r="12984" spans="1:10" hidden="1">
      <c r="F12984" s="294" t="s">
        <v>257</v>
      </c>
      <c r="G12984" s="297" t="s">
        <v>258</v>
      </c>
      <c r="J12984" s="639">
        <f t="shared" si="406"/>
        <v>0</v>
      </c>
    </row>
    <row r="12985" spans="1:10" hidden="1">
      <c r="F12985" s="294" t="s">
        <v>259</v>
      </c>
      <c r="G12985" s="297" t="s">
        <v>260</v>
      </c>
      <c r="J12985" s="639">
        <f t="shared" si="406"/>
        <v>0</v>
      </c>
    </row>
    <row r="12986" spans="1:10" ht="15.75" hidden="1" thickBot="1">
      <c r="F12986" s="294" t="s">
        <v>261</v>
      </c>
      <c r="G12986" s="297" t="s">
        <v>262</v>
      </c>
      <c r="H12986" s="638"/>
      <c r="I12986" s="639"/>
      <c r="J12986" s="639">
        <f t="shared" si="406"/>
        <v>0</v>
      </c>
    </row>
    <row r="12987" spans="1:10" ht="15.75" hidden="1" thickBot="1">
      <c r="G12987" s="274" t="s">
        <v>5031</v>
      </c>
      <c r="H12987" s="640">
        <f>SUM(H12971:H12986)</f>
        <v>0</v>
      </c>
      <c r="I12987" s="641">
        <f>SUM(I12972:I12986)</f>
        <v>0</v>
      </c>
      <c r="J12987" s="641">
        <f>SUM(J12971:J12986)</f>
        <v>0</v>
      </c>
    </row>
    <row r="12988" spans="1:10" hidden="1">
      <c r="G12988" s="331"/>
      <c r="H12988" s="644"/>
      <c r="I12988" s="645"/>
      <c r="J12988" s="645"/>
    </row>
    <row r="12989" spans="1:10" hidden="1">
      <c r="A12989" s="84"/>
      <c r="B12989" s="84"/>
      <c r="C12989" s="84"/>
      <c r="D12989" s="84"/>
      <c r="E12989" s="84"/>
      <c r="F12989" s="84"/>
      <c r="G12989" s="84"/>
      <c r="H12989" s="84"/>
      <c r="I12989" s="84"/>
      <c r="J12989" s="84"/>
    </row>
    <row r="12990" spans="1:10" hidden="1">
      <c r="A12990" s="84"/>
      <c r="B12990" s="84"/>
      <c r="C12990" s="84"/>
      <c r="D12990" s="84"/>
      <c r="E12990" s="84"/>
      <c r="F12990" s="84"/>
      <c r="G12990" s="84"/>
      <c r="H12990" s="84"/>
      <c r="I12990" s="84"/>
      <c r="J12990" s="84"/>
    </row>
    <row r="12991" spans="1:10" hidden="1">
      <c r="A12991" s="84"/>
      <c r="B12991" s="84"/>
      <c r="C12991" s="84"/>
      <c r="D12991" s="84"/>
      <c r="E12991" s="84"/>
      <c r="F12991" s="84"/>
      <c r="G12991" s="84"/>
      <c r="H12991" s="84"/>
      <c r="I12991" s="84"/>
      <c r="J12991" s="84"/>
    </row>
    <row r="12992" spans="1:10" hidden="1">
      <c r="A12992" s="84"/>
      <c r="B12992" s="84"/>
      <c r="C12992" s="84"/>
      <c r="D12992" s="84"/>
      <c r="E12992" s="84"/>
      <c r="F12992" s="84"/>
      <c r="G12992" s="84"/>
      <c r="H12992" s="84"/>
      <c r="I12992" s="84"/>
      <c r="J12992" s="84"/>
    </row>
    <row r="12993" spans="1:10" hidden="1">
      <c r="A12993" s="84"/>
      <c r="B12993" s="84"/>
      <c r="C12993" s="84"/>
      <c r="D12993" s="84"/>
      <c r="E12993" s="84"/>
      <c r="F12993" s="84"/>
      <c r="G12993" s="84"/>
      <c r="H12993" s="84"/>
      <c r="I12993" s="84"/>
      <c r="J12993" s="84"/>
    </row>
    <row r="12994" spans="1:10" hidden="1">
      <c r="A12994" s="84"/>
      <c r="B12994" s="84"/>
      <c r="C12994" s="84"/>
      <c r="D12994" s="84"/>
      <c r="E12994" s="84"/>
      <c r="F12994" s="84"/>
      <c r="G12994" s="84"/>
      <c r="H12994" s="84"/>
      <c r="I12994" s="84"/>
      <c r="J12994" s="84"/>
    </row>
    <row r="12995" spans="1:10" hidden="1">
      <c r="A12995" s="84"/>
      <c r="B12995" s="84"/>
      <c r="C12995" s="84"/>
      <c r="D12995" s="84"/>
      <c r="E12995" s="84"/>
      <c r="F12995" s="84"/>
      <c r="G12995" s="84"/>
      <c r="H12995" s="84"/>
      <c r="I12995" s="84"/>
      <c r="J12995" s="84"/>
    </row>
    <row r="12996" spans="1:10" hidden="1">
      <c r="A12996" s="84"/>
      <c r="B12996" s="84"/>
      <c r="C12996" s="84"/>
      <c r="D12996" s="84"/>
      <c r="E12996" s="84"/>
      <c r="F12996" s="84"/>
      <c r="G12996" s="84"/>
      <c r="H12996" s="84"/>
      <c r="I12996" s="84"/>
      <c r="J12996" s="84"/>
    </row>
    <row r="12997" spans="1:10" hidden="1">
      <c r="A12997" s="84"/>
      <c r="B12997" s="84"/>
      <c r="C12997" s="84"/>
      <c r="D12997" s="84"/>
      <c r="E12997" s="84"/>
      <c r="F12997" s="84"/>
      <c r="G12997" s="84"/>
      <c r="H12997" s="84"/>
      <c r="I12997" s="84"/>
      <c r="J12997" s="84"/>
    </row>
    <row r="12998" spans="1:10" hidden="1">
      <c r="A12998" s="84"/>
      <c r="B12998" s="84"/>
      <c r="C12998" s="84"/>
      <c r="D12998" s="84"/>
      <c r="E12998" s="84"/>
      <c r="F12998" s="84"/>
      <c r="G12998" s="84"/>
      <c r="H12998" s="84"/>
      <c r="I12998" s="84"/>
      <c r="J12998" s="84"/>
    </row>
    <row r="12999" spans="1:10" hidden="1">
      <c r="A12999" s="84"/>
      <c r="B12999" s="84"/>
      <c r="C12999" s="84"/>
      <c r="D12999" s="84"/>
      <c r="E12999" s="84"/>
      <c r="F12999" s="84"/>
      <c r="G12999" s="84"/>
      <c r="H12999" s="84"/>
      <c r="I12999" s="84"/>
      <c r="J12999" s="84"/>
    </row>
    <row r="13000" spans="1:10" hidden="1">
      <c r="A13000" s="84"/>
      <c r="B13000" s="84"/>
      <c r="C13000" s="84"/>
      <c r="D13000" s="84"/>
      <c r="E13000" s="84"/>
      <c r="F13000" s="84"/>
      <c r="G13000" s="84"/>
      <c r="H13000" s="84"/>
      <c r="I13000" s="84"/>
      <c r="J13000" s="84"/>
    </row>
    <row r="13001" spans="1:10" hidden="1">
      <c r="A13001" s="84"/>
      <c r="B13001" s="84"/>
      <c r="C13001" s="84"/>
      <c r="D13001" s="84"/>
      <c r="E13001" s="84"/>
      <c r="F13001" s="84"/>
      <c r="G13001" s="84"/>
      <c r="H13001" s="84"/>
      <c r="I13001" s="84"/>
      <c r="J13001" s="84"/>
    </row>
    <row r="13002" spans="1:10" hidden="1">
      <c r="A13002" s="84"/>
      <c r="B13002" s="84"/>
      <c r="C13002" s="84"/>
      <c r="D13002" s="84"/>
      <c r="E13002" s="84"/>
      <c r="F13002" s="84"/>
      <c r="G13002" s="84"/>
      <c r="H13002" s="84"/>
      <c r="I13002" s="84"/>
      <c r="J13002" s="84"/>
    </row>
    <row r="13003" spans="1:10" hidden="1">
      <c r="A13003" s="84"/>
      <c r="B13003" s="84"/>
      <c r="C13003" s="84"/>
      <c r="D13003" s="84"/>
      <c r="E13003" s="84"/>
      <c r="F13003" s="84"/>
      <c r="G13003" s="84"/>
      <c r="H13003" s="84"/>
      <c r="I13003" s="84"/>
      <c r="J13003" s="84"/>
    </row>
    <row r="13004" spans="1:10" hidden="1">
      <c r="A13004" s="84"/>
      <c r="B13004" s="84"/>
      <c r="C13004" s="84"/>
      <c r="D13004" s="84"/>
      <c r="E13004" s="84"/>
      <c r="F13004" s="84"/>
      <c r="G13004" s="84"/>
      <c r="H13004" s="84"/>
      <c r="I13004" s="84"/>
      <c r="J13004" s="84"/>
    </row>
    <row r="13005" spans="1:10" hidden="1">
      <c r="A13005" s="84"/>
      <c r="B13005" s="84"/>
      <c r="C13005" s="84"/>
      <c r="D13005" s="84"/>
      <c r="E13005" s="84"/>
      <c r="F13005" s="84"/>
      <c r="G13005" s="84"/>
      <c r="H13005" s="84"/>
      <c r="I13005" s="84"/>
      <c r="J13005" s="84"/>
    </row>
    <row r="13006" spans="1:10" hidden="1">
      <c r="A13006" s="84"/>
      <c r="B13006" s="84"/>
      <c r="C13006" s="84"/>
      <c r="D13006" s="84"/>
      <c r="E13006" s="84"/>
      <c r="F13006" s="84"/>
      <c r="G13006" s="84"/>
      <c r="H13006" s="84"/>
      <c r="I13006" s="84"/>
      <c r="J13006" s="84"/>
    </row>
    <row r="13007" spans="1:10" hidden="1"/>
    <row r="13008" spans="1:10" hidden="1">
      <c r="E13008" s="559"/>
      <c r="F13008" s="570"/>
      <c r="G13008" s="295" t="s">
        <v>4454</v>
      </c>
      <c r="H13008" s="646"/>
      <c r="I13008" s="664"/>
      <c r="J13008" s="647"/>
    </row>
    <row r="13009" spans="5:10" hidden="1">
      <c r="E13009" s="267"/>
      <c r="F13009" s="294" t="s">
        <v>234</v>
      </c>
      <c r="G13009" s="297" t="s">
        <v>235</v>
      </c>
      <c r="H13009" s="638">
        <f>SUM(H4669)</f>
        <v>6136840</v>
      </c>
      <c r="I13009" s="639"/>
      <c r="J13009" s="639">
        <f>SUM(H13009:I13009)</f>
        <v>6136840</v>
      </c>
    </row>
    <row r="13010" spans="5:10" hidden="1">
      <c r="F13010" s="294" t="s">
        <v>236</v>
      </c>
      <c r="G13010" s="297" t="s">
        <v>237</v>
      </c>
      <c r="J13010" s="639">
        <f t="shared" ref="J13010:J13024" si="407">SUM(H13010:I13010)</f>
        <v>0</v>
      </c>
    </row>
    <row r="13011" spans="5:10" hidden="1">
      <c r="F13011" s="294" t="s">
        <v>238</v>
      </c>
      <c r="G13011" s="297" t="s">
        <v>239</v>
      </c>
      <c r="J13011" s="639">
        <f t="shared" si="407"/>
        <v>0</v>
      </c>
    </row>
    <row r="13012" spans="5:10" hidden="1">
      <c r="F13012" s="294" t="s">
        <v>240</v>
      </c>
      <c r="G13012" s="297" t="s">
        <v>241</v>
      </c>
      <c r="J13012" s="639">
        <f t="shared" si="407"/>
        <v>0</v>
      </c>
    </row>
    <row r="13013" spans="5:10" hidden="1">
      <c r="F13013" s="294" t="s">
        <v>242</v>
      </c>
      <c r="G13013" s="297" t="s">
        <v>243</v>
      </c>
      <c r="J13013" s="639">
        <f t="shared" si="407"/>
        <v>0</v>
      </c>
    </row>
    <row r="13014" spans="5:10" hidden="1">
      <c r="F13014" s="294" t="s">
        <v>244</v>
      </c>
      <c r="G13014" s="297" t="s">
        <v>245</v>
      </c>
      <c r="J13014" s="639">
        <f t="shared" si="407"/>
        <v>0</v>
      </c>
    </row>
    <row r="13015" spans="5:10" hidden="1">
      <c r="F13015" s="294" t="s">
        <v>246</v>
      </c>
      <c r="G13015" s="683" t="s">
        <v>5121</v>
      </c>
      <c r="J13015" s="639">
        <f t="shared" si="407"/>
        <v>0</v>
      </c>
    </row>
    <row r="13016" spans="5:10" hidden="1">
      <c r="F13016" s="294" t="s">
        <v>247</v>
      </c>
      <c r="G13016" s="683" t="s">
        <v>5120</v>
      </c>
      <c r="J13016" s="639">
        <f t="shared" si="407"/>
        <v>0</v>
      </c>
    </row>
    <row r="13017" spans="5:10" hidden="1">
      <c r="F13017" s="294" t="s">
        <v>248</v>
      </c>
      <c r="G13017" s="297" t="s">
        <v>57</v>
      </c>
      <c r="J13017" s="639">
        <f t="shared" si="407"/>
        <v>0</v>
      </c>
    </row>
    <row r="13018" spans="5:10" hidden="1">
      <c r="F13018" s="294" t="s">
        <v>249</v>
      </c>
      <c r="G13018" s="297" t="s">
        <v>250</v>
      </c>
      <c r="J13018" s="639">
        <f t="shared" si="407"/>
        <v>0</v>
      </c>
    </row>
    <row r="13019" spans="5:10" hidden="1">
      <c r="F13019" s="294" t="s">
        <v>251</v>
      </c>
      <c r="G13019" s="297" t="s">
        <v>252</v>
      </c>
      <c r="J13019" s="639">
        <f t="shared" si="407"/>
        <v>0</v>
      </c>
    </row>
    <row r="13020" spans="5:10" hidden="1">
      <c r="F13020" s="294" t="s">
        <v>253</v>
      </c>
      <c r="G13020" s="297" t="s">
        <v>254</v>
      </c>
      <c r="J13020" s="639">
        <f t="shared" si="407"/>
        <v>0</v>
      </c>
    </row>
    <row r="13021" spans="5:10" hidden="1">
      <c r="F13021" s="294" t="s">
        <v>255</v>
      </c>
      <c r="G13021" s="297" t="s">
        <v>256</v>
      </c>
      <c r="J13021" s="639">
        <f t="shared" si="407"/>
        <v>0</v>
      </c>
    </row>
    <row r="13022" spans="5:10" hidden="1">
      <c r="F13022" s="294" t="s">
        <v>257</v>
      </c>
      <c r="G13022" s="297" t="s">
        <v>258</v>
      </c>
      <c r="J13022" s="639">
        <f t="shared" si="407"/>
        <v>0</v>
      </c>
    </row>
    <row r="13023" spans="5:10" hidden="1">
      <c r="F13023" s="294" t="s">
        <v>259</v>
      </c>
      <c r="G13023" s="297" t="s">
        <v>260</v>
      </c>
      <c r="J13023" s="639">
        <f t="shared" si="407"/>
        <v>0</v>
      </c>
    </row>
    <row r="13024" spans="5:10" ht="15.75" hidden="1" thickBot="1">
      <c r="F13024" s="294" t="s">
        <v>261</v>
      </c>
      <c r="G13024" s="297" t="s">
        <v>262</v>
      </c>
      <c r="H13024" s="638"/>
      <c r="I13024" s="639"/>
      <c r="J13024" s="639">
        <f t="shared" si="407"/>
        <v>0</v>
      </c>
    </row>
    <row r="13025" spans="1:25" ht="15.75" hidden="1" thickBot="1">
      <c r="G13025" s="274" t="s">
        <v>4455</v>
      </c>
      <c r="H13025" s="640">
        <f>SUM(H13009:H13024)</f>
        <v>6136840</v>
      </c>
      <c r="I13025" s="641">
        <f>SUM(I13010:I13024)</f>
        <v>0</v>
      </c>
      <c r="J13025" s="641">
        <f>SUM(J13009:J13024)</f>
        <v>6136840</v>
      </c>
    </row>
    <row r="13026" spans="1:25" hidden="1"/>
    <row r="13027" spans="1:25" hidden="1"/>
    <row r="13028" spans="1:25" hidden="1">
      <c r="A13028" s="530">
        <v>4</v>
      </c>
      <c r="B13028" s="531">
        <v>12</v>
      </c>
      <c r="C13028" s="532"/>
      <c r="D13028" s="533"/>
      <c r="E13028" s="534"/>
      <c r="F13028" s="534"/>
      <c r="G13028" s="535" t="s">
        <v>4331</v>
      </c>
      <c r="H13028" s="674"/>
      <c r="I13028" s="675"/>
      <c r="J13028" s="657"/>
      <c r="K13028" s="565"/>
      <c r="L13028" s="565"/>
      <c r="M13028" s="565"/>
      <c r="N13028" s="575"/>
    </row>
    <row r="13029" spans="1:25" s="88" customFormat="1" hidden="1">
      <c r="A13029" s="551"/>
      <c r="B13029" s="301"/>
      <c r="C13029" s="310" t="s">
        <v>3588</v>
      </c>
      <c r="D13029" s="310"/>
      <c r="E13029" s="293"/>
      <c r="F13029" s="293"/>
      <c r="G13029" s="351" t="s">
        <v>4257</v>
      </c>
      <c r="H13029" s="651"/>
      <c r="I13029" s="652"/>
      <c r="J13029" s="652"/>
      <c r="K13029" s="575"/>
      <c r="L13029" s="575"/>
      <c r="M13029" s="575"/>
      <c r="N13029" s="575"/>
      <c r="O13029" s="575"/>
      <c r="P13029" s="575"/>
      <c r="Q13029" s="575"/>
      <c r="R13029" s="575"/>
      <c r="S13029" s="575"/>
      <c r="T13029" s="575"/>
      <c r="U13029" s="575"/>
      <c r="V13029" s="575"/>
      <c r="W13029" s="575"/>
      <c r="X13029" s="575"/>
      <c r="Y13029" s="575"/>
    </row>
    <row r="13030" spans="1:25" hidden="1">
      <c r="C13030" s="273" t="s">
        <v>4116</v>
      </c>
      <c r="D13030" s="264"/>
      <c r="G13030" s="553" t="s">
        <v>4117</v>
      </c>
    </row>
    <row r="13031" spans="1:25" s="88" customFormat="1" hidden="1">
      <c r="A13031" s="551"/>
      <c r="B13031" s="301"/>
      <c r="C13031" s="310"/>
      <c r="D13031" s="379" t="s">
        <v>3888</v>
      </c>
      <c r="E13031" s="374"/>
      <c r="F13031" s="374"/>
      <c r="G13031" s="375" t="s">
        <v>4295</v>
      </c>
      <c r="H13031" s="651"/>
      <c r="I13031" s="652"/>
      <c r="J13031" s="652"/>
      <c r="K13031" s="575"/>
      <c r="L13031" s="575"/>
      <c r="M13031" s="575"/>
      <c r="N13031" s="575"/>
      <c r="O13031" s="575"/>
      <c r="P13031" s="575"/>
      <c r="Q13031" s="575"/>
      <c r="R13031" s="575"/>
      <c r="S13031" s="575"/>
      <c r="T13031" s="575"/>
      <c r="U13031" s="575"/>
      <c r="V13031" s="575"/>
      <c r="W13031" s="575"/>
      <c r="X13031" s="575"/>
      <c r="Y13031" s="575"/>
    </row>
    <row r="13032" spans="1:25" hidden="1">
      <c r="F13032" s="555">
        <v>411</v>
      </c>
      <c r="G13032" s="550" t="s">
        <v>4173</v>
      </c>
      <c r="J13032" s="635">
        <f>SUM(H13032:I13032)</f>
        <v>0</v>
      </c>
    </row>
    <row r="13033" spans="1:25" hidden="1">
      <c r="F13033" s="555">
        <v>412</v>
      </c>
      <c r="G13033" s="547" t="s">
        <v>3770</v>
      </c>
      <c r="J13033" s="635">
        <f t="shared" ref="J13033:J13091" si="408">SUM(H13033:I13033)</f>
        <v>0</v>
      </c>
    </row>
    <row r="13034" spans="1:25" hidden="1">
      <c r="F13034" s="555">
        <v>413</v>
      </c>
      <c r="G13034" s="550" t="s">
        <v>4174</v>
      </c>
      <c r="J13034" s="635">
        <f t="shared" si="408"/>
        <v>0</v>
      </c>
    </row>
    <row r="13035" spans="1:25" hidden="1">
      <c r="F13035" s="555">
        <v>414</v>
      </c>
      <c r="G13035" s="550" t="s">
        <v>3773</v>
      </c>
      <c r="J13035" s="635">
        <f t="shared" si="408"/>
        <v>0</v>
      </c>
    </row>
    <row r="13036" spans="1:25" hidden="1">
      <c r="F13036" s="555">
        <v>415</v>
      </c>
      <c r="G13036" s="550" t="s">
        <v>4183</v>
      </c>
      <c r="J13036" s="635">
        <f t="shared" si="408"/>
        <v>0</v>
      </c>
    </row>
    <row r="13037" spans="1:25" hidden="1">
      <c r="F13037" s="555">
        <v>416</v>
      </c>
      <c r="G13037" s="550" t="s">
        <v>4184</v>
      </c>
      <c r="J13037" s="635">
        <f t="shared" si="408"/>
        <v>0</v>
      </c>
    </row>
    <row r="13038" spans="1:25" hidden="1">
      <c r="F13038" s="555">
        <v>417</v>
      </c>
      <c r="G13038" s="550" t="s">
        <v>4185</v>
      </c>
      <c r="J13038" s="635">
        <f t="shared" si="408"/>
        <v>0</v>
      </c>
    </row>
    <row r="13039" spans="1:25" hidden="1">
      <c r="F13039" s="555">
        <v>418</v>
      </c>
      <c r="G13039" s="550" t="s">
        <v>3779</v>
      </c>
      <c r="J13039" s="635">
        <f t="shared" si="408"/>
        <v>0</v>
      </c>
    </row>
    <row r="13040" spans="1:25" hidden="1">
      <c r="F13040" s="555">
        <v>421</v>
      </c>
      <c r="G13040" s="550" t="s">
        <v>3783</v>
      </c>
      <c r="J13040" s="635">
        <f t="shared" si="408"/>
        <v>0</v>
      </c>
    </row>
    <row r="13041" spans="6:10" hidden="1">
      <c r="F13041" s="555">
        <v>422</v>
      </c>
      <c r="G13041" s="550" t="s">
        <v>3784</v>
      </c>
      <c r="J13041" s="635">
        <f t="shared" si="408"/>
        <v>0</v>
      </c>
    </row>
    <row r="13042" spans="6:10" hidden="1">
      <c r="F13042" s="555">
        <v>423</v>
      </c>
      <c r="G13042" s="550" t="s">
        <v>3785</v>
      </c>
      <c r="J13042" s="635">
        <f t="shared" si="408"/>
        <v>0</v>
      </c>
    </row>
    <row r="13043" spans="6:10" hidden="1">
      <c r="F13043" s="555">
        <v>424</v>
      </c>
      <c r="G13043" s="550" t="s">
        <v>3787</v>
      </c>
      <c r="J13043" s="635">
        <f t="shared" si="408"/>
        <v>0</v>
      </c>
    </row>
    <row r="13044" spans="6:10" hidden="1">
      <c r="F13044" s="555">
        <v>425</v>
      </c>
      <c r="G13044" s="550" t="s">
        <v>4186</v>
      </c>
      <c r="J13044" s="635">
        <f t="shared" si="408"/>
        <v>0</v>
      </c>
    </row>
    <row r="13045" spans="6:10" hidden="1">
      <c r="F13045" s="555">
        <v>426</v>
      </c>
      <c r="G13045" s="550" t="s">
        <v>3791</v>
      </c>
      <c r="J13045" s="635">
        <f t="shared" si="408"/>
        <v>0</v>
      </c>
    </row>
    <row r="13046" spans="6:10" hidden="1">
      <c r="F13046" s="555">
        <v>431</v>
      </c>
      <c r="G13046" s="550" t="s">
        <v>4187</v>
      </c>
      <c r="J13046" s="635">
        <f t="shared" si="408"/>
        <v>0</v>
      </c>
    </row>
    <row r="13047" spans="6:10" hidden="1">
      <c r="F13047" s="555">
        <v>432</v>
      </c>
      <c r="G13047" s="550" t="s">
        <v>4188</v>
      </c>
      <c r="J13047" s="635">
        <f t="shared" si="408"/>
        <v>0</v>
      </c>
    </row>
    <row r="13048" spans="6:10" hidden="1">
      <c r="F13048" s="555">
        <v>433</v>
      </c>
      <c r="G13048" s="550" t="s">
        <v>4189</v>
      </c>
      <c r="J13048" s="635">
        <f t="shared" si="408"/>
        <v>0</v>
      </c>
    </row>
    <row r="13049" spans="6:10" hidden="1">
      <c r="F13049" s="555">
        <v>434</v>
      </c>
      <c r="G13049" s="550" t="s">
        <v>4190</v>
      </c>
      <c r="J13049" s="635">
        <f t="shared" si="408"/>
        <v>0</v>
      </c>
    </row>
    <row r="13050" spans="6:10" hidden="1">
      <c r="F13050" s="555">
        <v>435</v>
      </c>
      <c r="G13050" s="550" t="s">
        <v>3798</v>
      </c>
      <c r="J13050" s="635">
        <f t="shared" si="408"/>
        <v>0</v>
      </c>
    </row>
    <row r="13051" spans="6:10" hidden="1">
      <c r="F13051" s="555">
        <v>441</v>
      </c>
      <c r="G13051" s="550" t="s">
        <v>4191</v>
      </c>
      <c r="J13051" s="635">
        <f t="shared" si="408"/>
        <v>0</v>
      </c>
    </row>
    <row r="13052" spans="6:10" hidden="1">
      <c r="F13052" s="555">
        <v>442</v>
      </c>
      <c r="G13052" s="550" t="s">
        <v>4192</v>
      </c>
      <c r="J13052" s="635">
        <f t="shared" si="408"/>
        <v>0</v>
      </c>
    </row>
    <row r="13053" spans="6:10" hidden="1">
      <c r="F13053" s="555">
        <v>443</v>
      </c>
      <c r="G13053" s="550" t="s">
        <v>3803</v>
      </c>
      <c r="J13053" s="635">
        <f t="shared" si="408"/>
        <v>0</v>
      </c>
    </row>
    <row r="13054" spans="6:10" hidden="1">
      <c r="F13054" s="555">
        <v>444</v>
      </c>
      <c r="G13054" s="550" t="s">
        <v>3804</v>
      </c>
      <c r="J13054" s="635">
        <f t="shared" si="408"/>
        <v>0</v>
      </c>
    </row>
    <row r="13055" spans="6:10" ht="30" hidden="1">
      <c r="F13055" s="555">
        <v>4511</v>
      </c>
      <c r="G13055" s="268" t="s">
        <v>1690</v>
      </c>
      <c r="J13055" s="635">
        <f t="shared" si="408"/>
        <v>0</v>
      </c>
    </row>
    <row r="13056" spans="6:10" ht="30" hidden="1">
      <c r="F13056" s="555">
        <v>4512</v>
      </c>
      <c r="G13056" s="268" t="s">
        <v>1699</v>
      </c>
      <c r="J13056" s="635">
        <f t="shared" si="408"/>
        <v>0</v>
      </c>
    </row>
    <row r="13057" spans="6:10" hidden="1">
      <c r="F13057" s="555">
        <v>452</v>
      </c>
      <c r="G13057" s="550" t="s">
        <v>4193</v>
      </c>
      <c r="J13057" s="635">
        <f t="shared" si="408"/>
        <v>0</v>
      </c>
    </row>
    <row r="13058" spans="6:10" hidden="1">
      <c r="F13058" s="555">
        <v>453</v>
      </c>
      <c r="G13058" s="550" t="s">
        <v>4194</v>
      </c>
      <c r="J13058" s="635">
        <f t="shared" si="408"/>
        <v>0</v>
      </c>
    </row>
    <row r="13059" spans="6:10" hidden="1">
      <c r="F13059" s="555">
        <v>454</v>
      </c>
      <c r="G13059" s="550" t="s">
        <v>3809</v>
      </c>
      <c r="J13059" s="635">
        <f t="shared" si="408"/>
        <v>0</v>
      </c>
    </row>
    <row r="13060" spans="6:10" hidden="1">
      <c r="F13060" s="555">
        <v>461</v>
      </c>
      <c r="G13060" s="550" t="s">
        <v>4175</v>
      </c>
      <c r="J13060" s="635">
        <f t="shared" si="408"/>
        <v>0</v>
      </c>
    </row>
    <row r="13061" spans="6:10" hidden="1">
      <c r="F13061" s="555">
        <v>462</v>
      </c>
      <c r="G13061" s="550" t="s">
        <v>3812</v>
      </c>
      <c r="J13061" s="635">
        <f t="shared" si="408"/>
        <v>0</v>
      </c>
    </row>
    <row r="13062" spans="6:10" hidden="1">
      <c r="F13062" s="555">
        <v>4631</v>
      </c>
      <c r="G13062" s="550" t="s">
        <v>3813</v>
      </c>
      <c r="J13062" s="635">
        <f t="shared" si="408"/>
        <v>0</v>
      </c>
    </row>
    <row r="13063" spans="6:10" hidden="1">
      <c r="F13063" s="555">
        <v>4632</v>
      </c>
      <c r="G13063" s="550" t="s">
        <v>3814</v>
      </c>
      <c r="J13063" s="635">
        <f t="shared" si="408"/>
        <v>0</v>
      </c>
    </row>
    <row r="13064" spans="6:10" hidden="1">
      <c r="F13064" s="555">
        <v>464</v>
      </c>
      <c r="G13064" s="550" t="s">
        <v>3815</v>
      </c>
      <c r="J13064" s="635">
        <f t="shared" si="408"/>
        <v>0</v>
      </c>
    </row>
    <row r="13065" spans="6:10" hidden="1">
      <c r="F13065" s="555">
        <v>465</v>
      </c>
      <c r="G13065" s="550" t="s">
        <v>4176</v>
      </c>
      <c r="J13065" s="635">
        <f t="shared" si="408"/>
        <v>0</v>
      </c>
    </row>
    <row r="13066" spans="6:10" hidden="1">
      <c r="F13066" s="555">
        <v>472</v>
      </c>
      <c r="G13066" s="550" t="s">
        <v>3819</v>
      </c>
      <c r="J13066" s="635">
        <f t="shared" si="408"/>
        <v>0</v>
      </c>
    </row>
    <row r="13067" spans="6:10" hidden="1">
      <c r="F13067" s="555">
        <v>481</v>
      </c>
      <c r="G13067" s="550" t="s">
        <v>4195</v>
      </c>
      <c r="J13067" s="635">
        <f t="shared" si="408"/>
        <v>0</v>
      </c>
    </row>
    <row r="13068" spans="6:10" hidden="1">
      <c r="F13068" s="555">
        <v>482</v>
      </c>
      <c r="G13068" s="550" t="s">
        <v>4196</v>
      </c>
      <c r="J13068" s="635">
        <f t="shared" si="408"/>
        <v>0</v>
      </c>
    </row>
    <row r="13069" spans="6:10" hidden="1">
      <c r="F13069" s="555">
        <v>483</v>
      </c>
      <c r="G13069" s="552" t="s">
        <v>4197</v>
      </c>
      <c r="J13069" s="635">
        <f t="shared" si="408"/>
        <v>0</v>
      </c>
    </row>
    <row r="13070" spans="6:10" ht="30" hidden="1">
      <c r="F13070" s="555">
        <v>484</v>
      </c>
      <c r="G13070" s="550" t="s">
        <v>4198</v>
      </c>
      <c r="J13070" s="635">
        <f t="shared" si="408"/>
        <v>0</v>
      </c>
    </row>
    <row r="13071" spans="6:10" ht="30" hidden="1">
      <c r="F13071" s="555">
        <v>485</v>
      </c>
      <c r="G13071" s="550" t="s">
        <v>4199</v>
      </c>
      <c r="J13071" s="635">
        <f t="shared" si="408"/>
        <v>0</v>
      </c>
    </row>
    <row r="13072" spans="6:10" ht="30" hidden="1">
      <c r="F13072" s="555">
        <v>489</v>
      </c>
      <c r="G13072" s="550" t="s">
        <v>3827</v>
      </c>
      <c r="J13072" s="635">
        <f t="shared" si="408"/>
        <v>0</v>
      </c>
    </row>
    <row r="13073" spans="6:10" hidden="1">
      <c r="F13073" s="555">
        <v>494</v>
      </c>
      <c r="G13073" s="550" t="s">
        <v>4177</v>
      </c>
      <c r="J13073" s="635">
        <f t="shared" si="408"/>
        <v>0</v>
      </c>
    </row>
    <row r="13074" spans="6:10" ht="30" hidden="1">
      <c r="F13074" s="555">
        <v>495</v>
      </c>
      <c r="G13074" s="550" t="s">
        <v>4178</v>
      </c>
      <c r="J13074" s="635">
        <f t="shared" si="408"/>
        <v>0</v>
      </c>
    </row>
    <row r="13075" spans="6:10" ht="30" hidden="1">
      <c r="F13075" s="555">
        <v>496</v>
      </c>
      <c r="G13075" s="550" t="s">
        <v>4179</v>
      </c>
      <c r="J13075" s="635">
        <f t="shared" si="408"/>
        <v>0</v>
      </c>
    </row>
    <row r="13076" spans="6:10" hidden="1">
      <c r="F13076" s="555">
        <v>499</v>
      </c>
      <c r="G13076" s="550" t="s">
        <v>4180</v>
      </c>
      <c r="J13076" s="635">
        <f t="shared" si="408"/>
        <v>0</v>
      </c>
    </row>
    <row r="13077" spans="6:10" hidden="1">
      <c r="F13077" s="555">
        <v>511</v>
      </c>
      <c r="G13077" s="552" t="s">
        <v>4200</v>
      </c>
      <c r="J13077" s="635">
        <f t="shared" si="408"/>
        <v>0</v>
      </c>
    </row>
    <row r="13078" spans="6:10" hidden="1">
      <c r="F13078" s="555">
        <v>512</v>
      </c>
      <c r="G13078" s="552" t="s">
        <v>4201</v>
      </c>
      <c r="J13078" s="635">
        <f t="shared" si="408"/>
        <v>0</v>
      </c>
    </row>
    <row r="13079" spans="6:10" hidden="1">
      <c r="F13079" s="555">
        <v>513</v>
      </c>
      <c r="G13079" s="552" t="s">
        <v>4202</v>
      </c>
      <c r="J13079" s="635">
        <f t="shared" si="408"/>
        <v>0</v>
      </c>
    </row>
    <row r="13080" spans="6:10" hidden="1">
      <c r="F13080" s="555">
        <v>514</v>
      </c>
      <c r="G13080" s="550" t="s">
        <v>4203</v>
      </c>
      <c r="J13080" s="635">
        <f t="shared" si="408"/>
        <v>0</v>
      </c>
    </row>
    <row r="13081" spans="6:10" hidden="1">
      <c r="F13081" s="555">
        <v>515</v>
      </c>
      <c r="G13081" s="550" t="s">
        <v>3838</v>
      </c>
      <c r="J13081" s="635">
        <f t="shared" si="408"/>
        <v>0</v>
      </c>
    </row>
    <row r="13082" spans="6:10" hidden="1">
      <c r="F13082" s="555">
        <v>521</v>
      </c>
      <c r="G13082" s="550" t="s">
        <v>4204</v>
      </c>
      <c r="J13082" s="635">
        <f t="shared" si="408"/>
        <v>0</v>
      </c>
    </row>
    <row r="13083" spans="6:10" hidden="1">
      <c r="F13083" s="555">
        <v>522</v>
      </c>
      <c r="G13083" s="550" t="s">
        <v>4205</v>
      </c>
      <c r="J13083" s="635">
        <f t="shared" si="408"/>
        <v>0</v>
      </c>
    </row>
    <row r="13084" spans="6:10" hidden="1">
      <c r="F13084" s="555">
        <v>523</v>
      </c>
      <c r="G13084" s="550" t="s">
        <v>3843</v>
      </c>
      <c r="J13084" s="635">
        <f t="shared" si="408"/>
        <v>0</v>
      </c>
    </row>
    <row r="13085" spans="6:10" hidden="1">
      <c r="F13085" s="555">
        <v>531</v>
      </c>
      <c r="G13085" s="547" t="s">
        <v>4181</v>
      </c>
      <c r="J13085" s="635">
        <f t="shared" si="408"/>
        <v>0</v>
      </c>
    </row>
    <row r="13086" spans="6:10" hidden="1">
      <c r="F13086" s="555">
        <v>541</v>
      </c>
      <c r="G13086" s="550" t="s">
        <v>4206</v>
      </c>
      <c r="J13086" s="635">
        <f t="shared" si="408"/>
        <v>0</v>
      </c>
    </row>
    <row r="13087" spans="6:10" hidden="1">
      <c r="F13087" s="555">
        <v>542</v>
      </c>
      <c r="G13087" s="550" t="s">
        <v>4207</v>
      </c>
      <c r="J13087" s="635">
        <f t="shared" si="408"/>
        <v>0</v>
      </c>
    </row>
    <row r="13088" spans="6:10" hidden="1">
      <c r="F13088" s="555">
        <v>543</v>
      </c>
      <c r="G13088" s="550" t="s">
        <v>3848</v>
      </c>
      <c r="J13088" s="635">
        <f t="shared" si="408"/>
        <v>0</v>
      </c>
    </row>
    <row r="13089" spans="5:10" ht="30" hidden="1">
      <c r="F13089" s="555">
        <v>551</v>
      </c>
      <c r="G13089" s="550" t="s">
        <v>4182</v>
      </c>
      <c r="J13089" s="635">
        <f t="shared" si="408"/>
        <v>0</v>
      </c>
    </row>
    <row r="13090" spans="5:10" hidden="1">
      <c r="F13090" s="556">
        <v>611</v>
      </c>
      <c r="G13090" s="554" t="s">
        <v>3854</v>
      </c>
      <c r="J13090" s="635">
        <f t="shared" si="408"/>
        <v>0</v>
      </c>
    </row>
    <row r="13091" spans="5:10" ht="15.75" hidden="1" thickBot="1">
      <c r="F13091" s="556">
        <v>620</v>
      </c>
      <c r="G13091" s="554" t="s">
        <v>88</v>
      </c>
      <c r="J13091" s="635">
        <f t="shared" si="408"/>
        <v>0</v>
      </c>
    </row>
    <row r="13092" spans="5:10" hidden="1">
      <c r="E13092" s="548"/>
      <c r="F13092" s="556"/>
      <c r="G13092" s="371" t="s">
        <v>4368</v>
      </c>
      <c r="H13092" s="636"/>
      <c r="I13092" s="662"/>
      <c r="J13092" s="637"/>
    </row>
    <row r="13093" spans="5:10" hidden="1">
      <c r="E13093" s="267"/>
      <c r="F13093" s="294" t="s">
        <v>234</v>
      </c>
      <c r="G13093" s="297" t="s">
        <v>235</v>
      </c>
      <c r="H13093" s="638">
        <f>SUM(H13032:H13091)</f>
        <v>0</v>
      </c>
      <c r="I13093" s="639"/>
      <c r="J13093" s="639">
        <f>SUM(H13093:I13093)</f>
        <v>0</v>
      </c>
    </row>
    <row r="13094" spans="5:10" hidden="1">
      <c r="F13094" s="294" t="s">
        <v>236</v>
      </c>
      <c r="G13094" s="297" t="s">
        <v>237</v>
      </c>
      <c r="J13094" s="639">
        <f t="shared" ref="J13094:J13108" si="409">SUM(H13094:I13094)</f>
        <v>0</v>
      </c>
    </row>
    <row r="13095" spans="5:10" hidden="1">
      <c r="F13095" s="294" t="s">
        <v>238</v>
      </c>
      <c r="G13095" s="297" t="s">
        <v>239</v>
      </c>
      <c r="J13095" s="639">
        <f t="shared" si="409"/>
        <v>0</v>
      </c>
    </row>
    <row r="13096" spans="5:10" hidden="1">
      <c r="F13096" s="294" t="s">
        <v>240</v>
      </c>
      <c r="G13096" s="297" t="s">
        <v>241</v>
      </c>
      <c r="J13096" s="639">
        <f t="shared" si="409"/>
        <v>0</v>
      </c>
    </row>
    <row r="13097" spans="5:10" hidden="1">
      <c r="F13097" s="294" t="s">
        <v>242</v>
      </c>
      <c r="G13097" s="297" t="s">
        <v>243</v>
      </c>
      <c r="J13097" s="639">
        <f t="shared" si="409"/>
        <v>0</v>
      </c>
    </row>
    <row r="13098" spans="5:10" hidden="1">
      <c r="F13098" s="294" t="s">
        <v>244</v>
      </c>
      <c r="G13098" s="297" t="s">
        <v>245</v>
      </c>
      <c r="J13098" s="639">
        <f t="shared" si="409"/>
        <v>0</v>
      </c>
    </row>
    <row r="13099" spans="5:10" hidden="1">
      <c r="F13099" s="294" t="s">
        <v>246</v>
      </c>
      <c r="G13099" s="683" t="s">
        <v>5121</v>
      </c>
      <c r="J13099" s="639">
        <f t="shared" si="409"/>
        <v>0</v>
      </c>
    </row>
    <row r="13100" spans="5:10" hidden="1">
      <c r="F13100" s="294" t="s">
        <v>247</v>
      </c>
      <c r="G13100" s="683" t="s">
        <v>5120</v>
      </c>
      <c r="J13100" s="639">
        <f t="shared" si="409"/>
        <v>0</v>
      </c>
    </row>
    <row r="13101" spans="5:10" hidden="1">
      <c r="F13101" s="294" t="s">
        <v>248</v>
      </c>
      <c r="G13101" s="297" t="s">
        <v>57</v>
      </c>
      <c r="J13101" s="639">
        <f t="shared" si="409"/>
        <v>0</v>
      </c>
    </row>
    <row r="13102" spans="5:10" hidden="1">
      <c r="F13102" s="294" t="s">
        <v>249</v>
      </c>
      <c r="G13102" s="297" t="s">
        <v>250</v>
      </c>
      <c r="J13102" s="639">
        <f t="shared" si="409"/>
        <v>0</v>
      </c>
    </row>
    <row r="13103" spans="5:10" hidden="1">
      <c r="F13103" s="294" t="s">
        <v>251</v>
      </c>
      <c r="G13103" s="297" t="s">
        <v>252</v>
      </c>
      <c r="J13103" s="639">
        <f t="shared" si="409"/>
        <v>0</v>
      </c>
    </row>
    <row r="13104" spans="5:10" hidden="1">
      <c r="F13104" s="294" t="s">
        <v>253</v>
      </c>
      <c r="G13104" s="297" t="s">
        <v>254</v>
      </c>
      <c r="J13104" s="639">
        <f t="shared" si="409"/>
        <v>0</v>
      </c>
    </row>
    <row r="13105" spans="5:10" hidden="1">
      <c r="F13105" s="294" t="s">
        <v>255</v>
      </c>
      <c r="G13105" s="297" t="s">
        <v>256</v>
      </c>
      <c r="J13105" s="639">
        <f t="shared" si="409"/>
        <v>0</v>
      </c>
    </row>
    <row r="13106" spans="5:10" hidden="1">
      <c r="F13106" s="294" t="s">
        <v>257</v>
      </c>
      <c r="G13106" s="297" t="s">
        <v>258</v>
      </c>
      <c r="J13106" s="639">
        <f t="shared" si="409"/>
        <v>0</v>
      </c>
    </row>
    <row r="13107" spans="5:10" hidden="1">
      <c r="F13107" s="294" t="s">
        <v>259</v>
      </c>
      <c r="G13107" s="297" t="s">
        <v>260</v>
      </c>
      <c r="J13107" s="639">
        <f t="shared" si="409"/>
        <v>0</v>
      </c>
    </row>
    <row r="13108" spans="5:10" ht="15.75" hidden="1" thickBot="1">
      <c r="F13108" s="294" t="s">
        <v>261</v>
      </c>
      <c r="G13108" s="297" t="s">
        <v>262</v>
      </c>
      <c r="H13108" s="638"/>
      <c r="I13108" s="639"/>
      <c r="J13108" s="639">
        <f t="shared" si="409"/>
        <v>0</v>
      </c>
    </row>
    <row r="13109" spans="5:10" ht="15.75" hidden="1" thickBot="1">
      <c r="G13109" s="274" t="s">
        <v>4369</v>
      </c>
      <c r="H13109" s="640">
        <f>SUM(H13093:H13108)</f>
        <v>0</v>
      </c>
      <c r="I13109" s="641">
        <f>SUM(I13094:I13108)</f>
        <v>0</v>
      </c>
      <c r="J13109" s="641">
        <f>SUM(J13093:J13108)</f>
        <v>0</v>
      </c>
    </row>
    <row r="13110" spans="5:10" hidden="1" collapsed="1">
      <c r="E13110" s="548"/>
      <c r="F13110" s="556"/>
      <c r="G13110" s="276" t="s">
        <v>4260</v>
      </c>
      <c r="H13110" s="642"/>
      <c r="I13110" s="663"/>
      <c r="J13110" s="643"/>
    </row>
    <row r="13111" spans="5:10" hidden="1">
      <c r="E13111" s="267"/>
      <c r="F13111" s="294" t="s">
        <v>234</v>
      </c>
      <c r="G13111" s="297" t="s">
        <v>235</v>
      </c>
      <c r="H13111" s="638">
        <f>SUM(H13032:H13091)</f>
        <v>0</v>
      </c>
      <c r="I13111" s="639"/>
      <c r="J13111" s="639">
        <f>SUM(H13111:I13111)</f>
        <v>0</v>
      </c>
    </row>
    <row r="13112" spans="5:10" hidden="1">
      <c r="F13112" s="294" t="s">
        <v>236</v>
      </c>
      <c r="G13112" s="297" t="s">
        <v>237</v>
      </c>
      <c r="J13112" s="639">
        <f t="shared" ref="J13112:J13126" si="410">SUM(H13112:I13112)</f>
        <v>0</v>
      </c>
    </row>
    <row r="13113" spans="5:10" hidden="1">
      <c r="F13113" s="294" t="s">
        <v>238</v>
      </c>
      <c r="G13113" s="297" t="s">
        <v>239</v>
      </c>
      <c r="J13113" s="639">
        <f t="shared" si="410"/>
        <v>0</v>
      </c>
    </row>
    <row r="13114" spans="5:10" hidden="1">
      <c r="F13114" s="294" t="s">
        <v>240</v>
      </c>
      <c r="G13114" s="297" t="s">
        <v>241</v>
      </c>
      <c r="J13114" s="639">
        <f t="shared" si="410"/>
        <v>0</v>
      </c>
    </row>
    <row r="13115" spans="5:10" hidden="1">
      <c r="F13115" s="294" t="s">
        <v>242</v>
      </c>
      <c r="G13115" s="297" t="s">
        <v>243</v>
      </c>
      <c r="J13115" s="639">
        <f t="shared" si="410"/>
        <v>0</v>
      </c>
    </row>
    <row r="13116" spans="5:10" hidden="1">
      <c r="F13116" s="294" t="s">
        <v>244</v>
      </c>
      <c r="G13116" s="297" t="s">
        <v>245</v>
      </c>
      <c r="J13116" s="639">
        <f t="shared" si="410"/>
        <v>0</v>
      </c>
    </row>
    <row r="13117" spans="5:10" hidden="1">
      <c r="F13117" s="294" t="s">
        <v>246</v>
      </c>
      <c r="G13117" s="683" t="s">
        <v>5121</v>
      </c>
      <c r="J13117" s="639">
        <f t="shared" si="410"/>
        <v>0</v>
      </c>
    </row>
    <row r="13118" spans="5:10" hidden="1">
      <c r="F13118" s="294" t="s">
        <v>247</v>
      </c>
      <c r="G13118" s="683" t="s">
        <v>5120</v>
      </c>
      <c r="J13118" s="639">
        <f t="shared" si="410"/>
        <v>0</v>
      </c>
    </row>
    <row r="13119" spans="5:10" hidden="1">
      <c r="F13119" s="294" t="s">
        <v>248</v>
      </c>
      <c r="G13119" s="297" t="s">
        <v>57</v>
      </c>
      <c r="J13119" s="639">
        <f t="shared" si="410"/>
        <v>0</v>
      </c>
    </row>
    <row r="13120" spans="5:10" hidden="1">
      <c r="F13120" s="294" t="s">
        <v>249</v>
      </c>
      <c r="G13120" s="297" t="s">
        <v>250</v>
      </c>
      <c r="J13120" s="639">
        <f t="shared" si="410"/>
        <v>0</v>
      </c>
    </row>
    <row r="13121" spans="1:25" hidden="1">
      <c r="F13121" s="294" t="s">
        <v>251</v>
      </c>
      <c r="G13121" s="297" t="s">
        <v>252</v>
      </c>
      <c r="J13121" s="639">
        <f t="shared" si="410"/>
        <v>0</v>
      </c>
    </row>
    <row r="13122" spans="1:25" hidden="1">
      <c r="F13122" s="294" t="s">
        <v>253</v>
      </c>
      <c r="G13122" s="297" t="s">
        <v>254</v>
      </c>
      <c r="J13122" s="639">
        <f t="shared" si="410"/>
        <v>0</v>
      </c>
    </row>
    <row r="13123" spans="1:25" hidden="1">
      <c r="F13123" s="294" t="s">
        <v>255</v>
      </c>
      <c r="G13123" s="297" t="s">
        <v>256</v>
      </c>
      <c r="J13123" s="639">
        <f t="shared" si="410"/>
        <v>0</v>
      </c>
    </row>
    <row r="13124" spans="1:25" hidden="1">
      <c r="F13124" s="294" t="s">
        <v>257</v>
      </c>
      <c r="G13124" s="297" t="s">
        <v>258</v>
      </c>
      <c r="J13124" s="639">
        <f t="shared" si="410"/>
        <v>0</v>
      </c>
    </row>
    <row r="13125" spans="1:25" hidden="1">
      <c r="F13125" s="294" t="s">
        <v>259</v>
      </c>
      <c r="G13125" s="297" t="s">
        <v>260</v>
      </c>
      <c r="J13125" s="639">
        <f t="shared" si="410"/>
        <v>0</v>
      </c>
    </row>
    <row r="13126" spans="1:25" ht="15.75" hidden="1" thickBot="1">
      <c r="F13126" s="294" t="s">
        <v>261</v>
      </c>
      <c r="G13126" s="297" t="s">
        <v>262</v>
      </c>
      <c r="H13126" s="638"/>
      <c r="I13126" s="639"/>
      <c r="J13126" s="639">
        <f t="shared" si="410"/>
        <v>0</v>
      </c>
    </row>
    <row r="13127" spans="1:25" ht="15.75" hidden="1" collapsed="1" thickBot="1">
      <c r="G13127" s="274" t="s">
        <v>4254</v>
      </c>
      <c r="H13127" s="640">
        <f>SUM(H13111:H13126)</f>
        <v>0</v>
      </c>
      <c r="I13127" s="641">
        <f>SUM(I13112:I13126)</f>
        <v>0</v>
      </c>
      <c r="J13127" s="641">
        <f>SUM(J13111:J13126)</f>
        <v>0</v>
      </c>
    </row>
    <row r="13128" spans="1:25" s="88" customFormat="1" hidden="1">
      <c r="A13128" s="551"/>
      <c r="B13128" s="301"/>
      <c r="C13128" s="310"/>
      <c r="G13128" s="320"/>
      <c r="H13128" s="651"/>
      <c r="I13128" s="652"/>
      <c r="J13128" s="652"/>
      <c r="K13128" s="575"/>
      <c r="L13128" s="575"/>
      <c r="M13128" s="575"/>
      <c r="N13128" s="575"/>
      <c r="O13128" s="575"/>
      <c r="P13128" s="575"/>
      <c r="Q13128" s="575"/>
      <c r="R13128" s="575"/>
      <c r="S13128" s="575"/>
      <c r="T13128" s="575"/>
      <c r="U13128" s="575"/>
      <c r="V13128" s="575"/>
      <c r="W13128" s="575"/>
      <c r="X13128" s="575"/>
      <c r="Y13128" s="575"/>
    </row>
    <row r="13129" spans="1:25" hidden="1">
      <c r="C13129" s="273" t="s">
        <v>4118</v>
      </c>
      <c r="D13129" s="264"/>
      <c r="G13129" s="553" t="s">
        <v>4119</v>
      </c>
    </row>
    <row r="13130" spans="1:25" s="88" customFormat="1" hidden="1">
      <c r="A13130" s="551"/>
      <c r="B13130" s="301"/>
      <c r="C13130" s="310"/>
      <c r="D13130" s="379" t="s">
        <v>3888</v>
      </c>
      <c r="E13130" s="374"/>
      <c r="F13130" s="374"/>
      <c r="G13130" s="375" t="s">
        <v>4295</v>
      </c>
      <c r="H13130" s="651"/>
      <c r="I13130" s="652"/>
      <c r="J13130" s="652"/>
      <c r="K13130" s="575"/>
      <c r="L13130" s="575"/>
      <c r="M13130" s="575"/>
      <c r="N13130" s="575"/>
      <c r="O13130" s="575"/>
      <c r="P13130" s="575"/>
      <c r="Q13130" s="575"/>
      <c r="R13130" s="575"/>
      <c r="S13130" s="575"/>
      <c r="T13130" s="575"/>
      <c r="U13130" s="575"/>
      <c r="V13130" s="575"/>
      <c r="W13130" s="575"/>
      <c r="X13130" s="575"/>
      <c r="Y13130" s="575"/>
    </row>
    <row r="13131" spans="1:25" hidden="1">
      <c r="F13131" s="555">
        <v>411</v>
      </c>
      <c r="G13131" s="550" t="s">
        <v>4173</v>
      </c>
      <c r="J13131" s="635">
        <f>SUM(H13131:I13131)</f>
        <v>0</v>
      </c>
    </row>
    <row r="13132" spans="1:25" hidden="1">
      <c r="F13132" s="555">
        <v>412</v>
      </c>
      <c r="G13132" s="547" t="s">
        <v>3770</v>
      </c>
      <c r="J13132" s="635">
        <f t="shared" ref="J13132:J13190" si="411">SUM(H13132:I13132)</f>
        <v>0</v>
      </c>
    </row>
    <row r="13133" spans="1:25" hidden="1">
      <c r="F13133" s="555">
        <v>413</v>
      </c>
      <c r="G13133" s="550" t="s">
        <v>4174</v>
      </c>
      <c r="J13133" s="635">
        <f t="shared" si="411"/>
        <v>0</v>
      </c>
    </row>
    <row r="13134" spans="1:25" hidden="1">
      <c r="F13134" s="555">
        <v>414</v>
      </c>
      <c r="G13134" s="550" t="s">
        <v>3773</v>
      </c>
      <c r="J13134" s="635">
        <f t="shared" si="411"/>
        <v>0</v>
      </c>
    </row>
    <row r="13135" spans="1:25" hidden="1">
      <c r="F13135" s="555">
        <v>415</v>
      </c>
      <c r="G13135" s="550" t="s">
        <v>4183</v>
      </c>
      <c r="J13135" s="635">
        <f t="shared" si="411"/>
        <v>0</v>
      </c>
    </row>
    <row r="13136" spans="1:25" hidden="1">
      <c r="F13136" s="555">
        <v>416</v>
      </c>
      <c r="G13136" s="550" t="s">
        <v>4184</v>
      </c>
      <c r="J13136" s="635">
        <f t="shared" si="411"/>
        <v>0</v>
      </c>
    </row>
    <row r="13137" spans="6:10" hidden="1">
      <c r="F13137" s="555">
        <v>417</v>
      </c>
      <c r="G13137" s="550" t="s">
        <v>4185</v>
      </c>
      <c r="J13137" s="635">
        <f t="shared" si="411"/>
        <v>0</v>
      </c>
    </row>
    <row r="13138" spans="6:10" hidden="1">
      <c r="F13138" s="555">
        <v>418</v>
      </c>
      <c r="G13138" s="550" t="s">
        <v>3779</v>
      </c>
      <c r="J13138" s="635">
        <f t="shared" si="411"/>
        <v>0</v>
      </c>
    </row>
    <row r="13139" spans="6:10" hidden="1">
      <c r="F13139" s="555">
        <v>4631</v>
      </c>
      <c r="G13139" s="562" t="s">
        <v>5117</v>
      </c>
      <c r="J13139" s="635">
        <f t="shared" si="411"/>
        <v>0</v>
      </c>
    </row>
    <row r="13140" spans="6:10" hidden="1">
      <c r="F13140" s="555">
        <v>422</v>
      </c>
      <c r="G13140" s="550" t="s">
        <v>3784</v>
      </c>
      <c r="J13140" s="635">
        <f t="shared" si="411"/>
        <v>0</v>
      </c>
    </row>
    <row r="13141" spans="6:10" hidden="1">
      <c r="F13141" s="555">
        <v>4631</v>
      </c>
      <c r="G13141" s="562" t="s">
        <v>5118</v>
      </c>
      <c r="J13141" s="635">
        <f t="shared" si="411"/>
        <v>0</v>
      </c>
    </row>
    <row r="13142" spans="6:10" hidden="1">
      <c r="F13142" s="555">
        <v>424</v>
      </c>
      <c r="G13142" s="550" t="s">
        <v>3787</v>
      </c>
      <c r="J13142" s="635">
        <f t="shared" si="411"/>
        <v>0</v>
      </c>
    </row>
    <row r="13143" spans="6:10" hidden="1">
      <c r="F13143" s="555">
        <v>425</v>
      </c>
      <c r="G13143" s="550" t="s">
        <v>4186</v>
      </c>
      <c r="J13143" s="635">
        <f t="shared" si="411"/>
        <v>0</v>
      </c>
    </row>
    <row r="13144" spans="6:10" hidden="1">
      <c r="F13144" s="555">
        <v>426</v>
      </c>
      <c r="G13144" s="550" t="s">
        <v>3791</v>
      </c>
      <c r="J13144" s="635">
        <f t="shared" si="411"/>
        <v>0</v>
      </c>
    </row>
    <row r="13145" spans="6:10" hidden="1">
      <c r="F13145" s="555">
        <v>431</v>
      </c>
      <c r="G13145" s="550" t="s">
        <v>4187</v>
      </c>
      <c r="J13145" s="635">
        <f t="shared" si="411"/>
        <v>0</v>
      </c>
    </row>
    <row r="13146" spans="6:10" hidden="1">
      <c r="F13146" s="555">
        <v>432</v>
      </c>
      <c r="G13146" s="550" t="s">
        <v>4188</v>
      </c>
      <c r="J13146" s="635">
        <f t="shared" si="411"/>
        <v>0</v>
      </c>
    </row>
    <row r="13147" spans="6:10" hidden="1">
      <c r="F13147" s="555">
        <v>433</v>
      </c>
      <c r="G13147" s="550" t="s">
        <v>4189</v>
      </c>
      <c r="J13147" s="635">
        <f t="shared" si="411"/>
        <v>0</v>
      </c>
    </row>
    <row r="13148" spans="6:10" hidden="1">
      <c r="F13148" s="555">
        <v>434</v>
      </c>
      <c r="G13148" s="550" t="s">
        <v>4190</v>
      </c>
      <c r="J13148" s="635">
        <f t="shared" si="411"/>
        <v>0</v>
      </c>
    </row>
    <row r="13149" spans="6:10" hidden="1">
      <c r="F13149" s="555">
        <v>435</v>
      </c>
      <c r="G13149" s="550" t="s">
        <v>3798</v>
      </c>
      <c r="J13149" s="635">
        <f t="shared" si="411"/>
        <v>0</v>
      </c>
    </row>
    <row r="13150" spans="6:10" hidden="1">
      <c r="F13150" s="555">
        <v>441</v>
      </c>
      <c r="G13150" s="550" t="s">
        <v>4191</v>
      </c>
      <c r="J13150" s="635">
        <f t="shared" si="411"/>
        <v>0</v>
      </c>
    </row>
    <row r="13151" spans="6:10" hidden="1">
      <c r="F13151" s="555">
        <v>442</v>
      </c>
      <c r="G13151" s="550" t="s">
        <v>4192</v>
      </c>
      <c r="J13151" s="635">
        <f t="shared" si="411"/>
        <v>0</v>
      </c>
    </row>
    <row r="13152" spans="6:10" hidden="1">
      <c r="F13152" s="555">
        <v>443</v>
      </c>
      <c r="G13152" s="550" t="s">
        <v>3803</v>
      </c>
      <c r="J13152" s="635">
        <f t="shared" si="411"/>
        <v>0</v>
      </c>
    </row>
    <row r="13153" spans="6:10" hidden="1">
      <c r="F13153" s="555">
        <v>444</v>
      </c>
      <c r="G13153" s="550" t="s">
        <v>3804</v>
      </c>
      <c r="J13153" s="635">
        <f t="shared" si="411"/>
        <v>0</v>
      </c>
    </row>
    <row r="13154" spans="6:10" ht="30" hidden="1">
      <c r="F13154" s="555">
        <v>4511</v>
      </c>
      <c r="G13154" s="268" t="s">
        <v>1690</v>
      </c>
      <c r="J13154" s="635">
        <f t="shared" si="411"/>
        <v>0</v>
      </c>
    </row>
    <row r="13155" spans="6:10" ht="30" hidden="1">
      <c r="F13155" s="555">
        <v>4512</v>
      </c>
      <c r="G13155" s="268" t="s">
        <v>1699</v>
      </c>
      <c r="J13155" s="635">
        <f t="shared" si="411"/>
        <v>0</v>
      </c>
    </row>
    <row r="13156" spans="6:10" hidden="1">
      <c r="F13156" s="555">
        <v>452</v>
      </c>
      <c r="G13156" s="550" t="s">
        <v>4193</v>
      </c>
      <c r="J13156" s="635">
        <f t="shared" si="411"/>
        <v>0</v>
      </c>
    </row>
    <row r="13157" spans="6:10" hidden="1">
      <c r="F13157" s="555">
        <v>453</v>
      </c>
      <c r="G13157" s="550" t="s">
        <v>4194</v>
      </c>
      <c r="J13157" s="635">
        <f t="shared" si="411"/>
        <v>0</v>
      </c>
    </row>
    <row r="13158" spans="6:10" hidden="1">
      <c r="F13158" s="555">
        <v>454</v>
      </c>
      <c r="G13158" s="550" t="s">
        <v>3809</v>
      </c>
      <c r="J13158" s="635">
        <f t="shared" si="411"/>
        <v>0</v>
      </c>
    </row>
    <row r="13159" spans="6:10" hidden="1">
      <c r="F13159" s="555">
        <v>461</v>
      </c>
      <c r="G13159" s="550" t="s">
        <v>4175</v>
      </c>
      <c r="J13159" s="635">
        <f t="shared" si="411"/>
        <v>0</v>
      </c>
    </row>
    <row r="13160" spans="6:10" hidden="1">
      <c r="F13160" s="555">
        <v>462</v>
      </c>
      <c r="G13160" s="550" t="s">
        <v>3812</v>
      </c>
      <c r="J13160" s="635">
        <f t="shared" si="411"/>
        <v>0</v>
      </c>
    </row>
    <row r="13161" spans="6:10" hidden="1">
      <c r="F13161" s="555">
        <v>4631</v>
      </c>
      <c r="G13161" s="550" t="s">
        <v>3813</v>
      </c>
      <c r="J13161" s="635">
        <f t="shared" si="411"/>
        <v>0</v>
      </c>
    </row>
    <row r="13162" spans="6:10" hidden="1">
      <c r="F13162" s="555">
        <v>4632</v>
      </c>
      <c r="G13162" s="550" t="s">
        <v>3814</v>
      </c>
      <c r="J13162" s="635">
        <f t="shared" si="411"/>
        <v>0</v>
      </c>
    </row>
    <row r="13163" spans="6:10" hidden="1">
      <c r="F13163" s="555">
        <v>464</v>
      </c>
      <c r="G13163" s="550" t="s">
        <v>3815</v>
      </c>
      <c r="J13163" s="635">
        <f t="shared" si="411"/>
        <v>0</v>
      </c>
    </row>
    <row r="13164" spans="6:10" hidden="1">
      <c r="F13164" s="555">
        <v>465</v>
      </c>
      <c r="G13164" s="550" t="s">
        <v>4176</v>
      </c>
      <c r="J13164" s="635">
        <f t="shared" si="411"/>
        <v>0</v>
      </c>
    </row>
    <row r="13165" spans="6:10" hidden="1">
      <c r="F13165" s="555">
        <v>472</v>
      </c>
      <c r="G13165" s="550" t="s">
        <v>3819</v>
      </c>
      <c r="J13165" s="635">
        <f t="shared" si="411"/>
        <v>0</v>
      </c>
    </row>
    <row r="13166" spans="6:10" hidden="1">
      <c r="F13166" s="555">
        <v>481</v>
      </c>
      <c r="G13166" s="550" t="s">
        <v>4195</v>
      </c>
      <c r="J13166" s="635">
        <f t="shared" si="411"/>
        <v>0</v>
      </c>
    </row>
    <row r="13167" spans="6:10" hidden="1">
      <c r="F13167" s="555">
        <v>482</v>
      </c>
      <c r="G13167" s="550" t="s">
        <v>4196</v>
      </c>
      <c r="J13167" s="635">
        <f t="shared" si="411"/>
        <v>0</v>
      </c>
    </row>
    <row r="13168" spans="6:10" hidden="1">
      <c r="F13168" s="555">
        <v>483</v>
      </c>
      <c r="G13168" s="552" t="s">
        <v>4197</v>
      </c>
      <c r="J13168" s="635">
        <f t="shared" si="411"/>
        <v>0</v>
      </c>
    </row>
    <row r="13169" spans="6:10" ht="30" hidden="1">
      <c r="F13169" s="555">
        <v>484</v>
      </c>
      <c r="G13169" s="550" t="s">
        <v>4198</v>
      </c>
      <c r="J13169" s="635">
        <f t="shared" si="411"/>
        <v>0</v>
      </c>
    </row>
    <row r="13170" spans="6:10" ht="30" hidden="1">
      <c r="F13170" s="555">
        <v>485</v>
      </c>
      <c r="G13170" s="550" t="s">
        <v>4199</v>
      </c>
      <c r="J13170" s="635">
        <f t="shared" si="411"/>
        <v>0</v>
      </c>
    </row>
    <row r="13171" spans="6:10" ht="30" hidden="1">
      <c r="F13171" s="555">
        <v>489</v>
      </c>
      <c r="G13171" s="550" t="s">
        <v>3827</v>
      </c>
      <c r="J13171" s="635">
        <f t="shared" si="411"/>
        <v>0</v>
      </c>
    </row>
    <row r="13172" spans="6:10" hidden="1">
      <c r="F13172" s="555">
        <v>494</v>
      </c>
      <c r="G13172" s="550" t="s">
        <v>4177</v>
      </c>
      <c r="J13172" s="635">
        <f t="shared" si="411"/>
        <v>0</v>
      </c>
    </row>
    <row r="13173" spans="6:10" ht="30" hidden="1">
      <c r="F13173" s="555">
        <v>495</v>
      </c>
      <c r="G13173" s="550" t="s">
        <v>4178</v>
      </c>
      <c r="J13173" s="635">
        <f t="shared" si="411"/>
        <v>0</v>
      </c>
    </row>
    <row r="13174" spans="6:10" ht="30" hidden="1">
      <c r="F13174" s="555">
        <v>496</v>
      </c>
      <c r="G13174" s="550" t="s">
        <v>4179</v>
      </c>
      <c r="J13174" s="635">
        <f t="shared" si="411"/>
        <v>0</v>
      </c>
    </row>
    <row r="13175" spans="6:10" hidden="1">
      <c r="F13175" s="555">
        <v>499</v>
      </c>
      <c r="G13175" s="550" t="s">
        <v>4180</v>
      </c>
      <c r="J13175" s="635">
        <f t="shared" si="411"/>
        <v>0</v>
      </c>
    </row>
    <row r="13176" spans="6:10" hidden="1">
      <c r="F13176" s="555">
        <v>511</v>
      </c>
      <c r="G13176" s="552" t="s">
        <v>4200</v>
      </c>
      <c r="J13176" s="635">
        <f t="shared" si="411"/>
        <v>0</v>
      </c>
    </row>
    <row r="13177" spans="6:10" hidden="1">
      <c r="F13177" s="555">
        <v>512</v>
      </c>
      <c r="G13177" s="552" t="s">
        <v>4201</v>
      </c>
      <c r="J13177" s="635">
        <f t="shared" si="411"/>
        <v>0</v>
      </c>
    </row>
    <row r="13178" spans="6:10" hidden="1">
      <c r="F13178" s="555">
        <v>513</v>
      </c>
      <c r="G13178" s="552" t="s">
        <v>4202</v>
      </c>
      <c r="J13178" s="635">
        <f t="shared" si="411"/>
        <v>0</v>
      </c>
    </row>
    <row r="13179" spans="6:10" hidden="1">
      <c r="F13179" s="555">
        <v>514</v>
      </c>
      <c r="G13179" s="550" t="s">
        <v>4203</v>
      </c>
      <c r="J13179" s="635">
        <f t="shared" si="411"/>
        <v>0</v>
      </c>
    </row>
    <row r="13180" spans="6:10" hidden="1">
      <c r="F13180" s="555">
        <v>515</v>
      </c>
      <c r="G13180" s="550" t="s">
        <v>3838</v>
      </c>
      <c r="J13180" s="635">
        <f t="shared" si="411"/>
        <v>0</v>
      </c>
    </row>
    <row r="13181" spans="6:10" hidden="1">
      <c r="F13181" s="555">
        <v>521</v>
      </c>
      <c r="G13181" s="550" t="s">
        <v>4204</v>
      </c>
      <c r="J13181" s="635">
        <f t="shared" si="411"/>
        <v>0</v>
      </c>
    </row>
    <row r="13182" spans="6:10" hidden="1">
      <c r="F13182" s="555">
        <v>522</v>
      </c>
      <c r="G13182" s="550" t="s">
        <v>4205</v>
      </c>
      <c r="J13182" s="635">
        <f t="shared" si="411"/>
        <v>0</v>
      </c>
    </row>
    <row r="13183" spans="6:10" hidden="1">
      <c r="F13183" s="555">
        <v>523</v>
      </c>
      <c r="G13183" s="550" t="s">
        <v>3843</v>
      </c>
      <c r="J13183" s="635">
        <f t="shared" si="411"/>
        <v>0</v>
      </c>
    </row>
    <row r="13184" spans="6:10" hidden="1">
      <c r="F13184" s="555">
        <v>531</v>
      </c>
      <c r="G13184" s="547" t="s">
        <v>4181</v>
      </c>
      <c r="J13184" s="635">
        <f t="shared" si="411"/>
        <v>0</v>
      </c>
    </row>
    <row r="13185" spans="5:10" hidden="1">
      <c r="F13185" s="555">
        <v>541</v>
      </c>
      <c r="G13185" s="550" t="s">
        <v>4206</v>
      </c>
      <c r="J13185" s="635">
        <f t="shared" si="411"/>
        <v>0</v>
      </c>
    </row>
    <row r="13186" spans="5:10" hidden="1">
      <c r="F13186" s="555">
        <v>542</v>
      </c>
      <c r="G13186" s="550" t="s">
        <v>4207</v>
      </c>
      <c r="J13186" s="635">
        <f t="shared" si="411"/>
        <v>0</v>
      </c>
    </row>
    <row r="13187" spans="5:10" hidden="1">
      <c r="F13187" s="555">
        <v>543</v>
      </c>
      <c r="G13187" s="550" t="s">
        <v>3848</v>
      </c>
      <c r="J13187" s="635">
        <f t="shared" si="411"/>
        <v>0</v>
      </c>
    </row>
    <row r="13188" spans="5:10" ht="30" hidden="1">
      <c r="F13188" s="555">
        <v>551</v>
      </c>
      <c r="G13188" s="550" t="s">
        <v>4182</v>
      </c>
      <c r="J13188" s="635">
        <f t="shared" si="411"/>
        <v>0</v>
      </c>
    </row>
    <row r="13189" spans="5:10" hidden="1">
      <c r="F13189" s="556">
        <v>611</v>
      </c>
      <c r="G13189" s="554" t="s">
        <v>3854</v>
      </c>
      <c r="J13189" s="635">
        <f t="shared" si="411"/>
        <v>0</v>
      </c>
    </row>
    <row r="13190" spans="5:10" ht="15.75" hidden="1" thickBot="1">
      <c r="F13190" s="556">
        <v>620</v>
      </c>
      <c r="G13190" s="554" t="s">
        <v>88</v>
      </c>
      <c r="J13190" s="635">
        <f t="shared" si="411"/>
        <v>0</v>
      </c>
    </row>
    <row r="13191" spans="5:10" hidden="1">
      <c r="E13191" s="548"/>
      <c r="F13191" s="556"/>
      <c r="G13191" s="371" t="s">
        <v>4368</v>
      </c>
      <c r="H13191" s="636"/>
      <c r="I13191" s="662"/>
      <c r="J13191" s="637"/>
    </row>
    <row r="13192" spans="5:10" hidden="1">
      <c r="E13192" s="267"/>
      <c r="F13192" s="294" t="s">
        <v>234</v>
      </c>
      <c r="G13192" s="297" t="s">
        <v>235</v>
      </c>
      <c r="H13192" s="638">
        <f>SUM(H13131:H13190)</f>
        <v>0</v>
      </c>
      <c r="I13192" s="639"/>
      <c r="J13192" s="639">
        <f>SUM(H13192:I13192)</f>
        <v>0</v>
      </c>
    </row>
    <row r="13193" spans="5:10" hidden="1">
      <c r="F13193" s="294" t="s">
        <v>236</v>
      </c>
      <c r="G13193" s="297" t="s">
        <v>237</v>
      </c>
      <c r="J13193" s="639">
        <f t="shared" ref="J13193:J13207" si="412">SUM(H13193:I13193)</f>
        <v>0</v>
      </c>
    </row>
    <row r="13194" spans="5:10" hidden="1">
      <c r="F13194" s="294" t="s">
        <v>238</v>
      </c>
      <c r="G13194" s="297" t="s">
        <v>239</v>
      </c>
      <c r="J13194" s="639">
        <f t="shared" si="412"/>
        <v>0</v>
      </c>
    </row>
    <row r="13195" spans="5:10" hidden="1">
      <c r="F13195" s="294" t="s">
        <v>240</v>
      </c>
      <c r="G13195" s="297" t="s">
        <v>241</v>
      </c>
      <c r="J13195" s="639">
        <f t="shared" si="412"/>
        <v>0</v>
      </c>
    </row>
    <row r="13196" spans="5:10" hidden="1">
      <c r="F13196" s="294" t="s">
        <v>242</v>
      </c>
      <c r="G13196" s="297" t="s">
        <v>243</v>
      </c>
      <c r="J13196" s="639">
        <f t="shared" si="412"/>
        <v>0</v>
      </c>
    </row>
    <row r="13197" spans="5:10" hidden="1">
      <c r="F13197" s="294" t="s">
        <v>244</v>
      </c>
      <c r="G13197" s="297" t="s">
        <v>245</v>
      </c>
      <c r="J13197" s="639">
        <f t="shared" si="412"/>
        <v>0</v>
      </c>
    </row>
    <row r="13198" spans="5:10" hidden="1">
      <c r="F13198" s="294" t="s">
        <v>246</v>
      </c>
      <c r="G13198" s="683" t="s">
        <v>5121</v>
      </c>
      <c r="J13198" s="639">
        <f t="shared" si="412"/>
        <v>0</v>
      </c>
    </row>
    <row r="13199" spans="5:10" hidden="1">
      <c r="F13199" s="294" t="s">
        <v>247</v>
      </c>
      <c r="G13199" s="683" t="s">
        <v>5120</v>
      </c>
      <c r="J13199" s="639">
        <f t="shared" si="412"/>
        <v>0</v>
      </c>
    </row>
    <row r="13200" spans="5:10" hidden="1">
      <c r="F13200" s="294" t="s">
        <v>248</v>
      </c>
      <c r="G13200" s="297" t="s">
        <v>57</v>
      </c>
      <c r="J13200" s="639">
        <f t="shared" si="412"/>
        <v>0</v>
      </c>
    </row>
    <row r="13201" spans="5:10" hidden="1">
      <c r="F13201" s="294" t="s">
        <v>249</v>
      </c>
      <c r="G13201" s="297" t="s">
        <v>250</v>
      </c>
      <c r="J13201" s="639">
        <f t="shared" si="412"/>
        <v>0</v>
      </c>
    </row>
    <row r="13202" spans="5:10" hidden="1">
      <c r="F13202" s="294" t="s">
        <v>251</v>
      </c>
      <c r="G13202" s="297" t="s">
        <v>252</v>
      </c>
      <c r="J13202" s="639">
        <f t="shared" si="412"/>
        <v>0</v>
      </c>
    </row>
    <row r="13203" spans="5:10" hidden="1">
      <c r="F13203" s="294" t="s">
        <v>253</v>
      </c>
      <c r="G13203" s="297" t="s">
        <v>254</v>
      </c>
      <c r="J13203" s="639">
        <f t="shared" si="412"/>
        <v>0</v>
      </c>
    </row>
    <row r="13204" spans="5:10" hidden="1">
      <c r="F13204" s="294" t="s">
        <v>255</v>
      </c>
      <c r="G13204" s="297" t="s">
        <v>256</v>
      </c>
      <c r="J13204" s="639">
        <f t="shared" si="412"/>
        <v>0</v>
      </c>
    </row>
    <row r="13205" spans="5:10" hidden="1">
      <c r="F13205" s="294" t="s">
        <v>257</v>
      </c>
      <c r="G13205" s="297" t="s">
        <v>258</v>
      </c>
      <c r="J13205" s="639">
        <f t="shared" si="412"/>
        <v>0</v>
      </c>
    </row>
    <row r="13206" spans="5:10" hidden="1">
      <c r="F13206" s="294" t="s">
        <v>259</v>
      </c>
      <c r="G13206" s="297" t="s">
        <v>260</v>
      </c>
      <c r="J13206" s="639">
        <f t="shared" si="412"/>
        <v>0</v>
      </c>
    </row>
    <row r="13207" spans="5:10" ht="15.75" hidden="1" thickBot="1">
      <c r="F13207" s="294" t="s">
        <v>261</v>
      </c>
      <c r="G13207" s="297" t="s">
        <v>262</v>
      </c>
      <c r="H13207" s="638"/>
      <c r="I13207" s="639"/>
      <c r="J13207" s="639">
        <f t="shared" si="412"/>
        <v>0</v>
      </c>
    </row>
    <row r="13208" spans="5:10" ht="15.75" hidden="1" thickBot="1">
      <c r="G13208" s="274" t="s">
        <v>4369</v>
      </c>
      <c r="H13208" s="640">
        <f>SUM(H13192:H13207)</f>
        <v>0</v>
      </c>
      <c r="I13208" s="641">
        <f>SUM(I13193:I13207)</f>
        <v>0</v>
      </c>
      <c r="J13208" s="641">
        <f>SUM(J13192:J13207)</f>
        <v>0</v>
      </c>
    </row>
    <row r="13209" spans="5:10" hidden="1" collapsed="1">
      <c r="E13209" s="548"/>
      <c r="F13209" s="556"/>
      <c r="G13209" s="276" t="s">
        <v>4333</v>
      </c>
      <c r="H13209" s="642"/>
      <c r="I13209" s="663"/>
      <c r="J13209" s="643"/>
    </row>
    <row r="13210" spans="5:10" hidden="1">
      <c r="E13210" s="267"/>
      <c r="F13210" s="294" t="s">
        <v>234</v>
      </c>
      <c r="G13210" s="297" t="s">
        <v>235</v>
      </c>
      <c r="H13210" s="638">
        <f>SUM(H13131:H13190)</f>
        <v>0</v>
      </c>
      <c r="I13210" s="639"/>
      <c r="J13210" s="639">
        <f>SUM(H13210:I13210)</f>
        <v>0</v>
      </c>
    </row>
    <row r="13211" spans="5:10" hidden="1">
      <c r="F13211" s="294" t="s">
        <v>236</v>
      </c>
      <c r="G13211" s="297" t="s">
        <v>237</v>
      </c>
      <c r="J13211" s="639">
        <f t="shared" ref="J13211:J13225" si="413">SUM(H13211:I13211)</f>
        <v>0</v>
      </c>
    </row>
    <row r="13212" spans="5:10" hidden="1">
      <c r="F13212" s="294" t="s">
        <v>238</v>
      </c>
      <c r="G13212" s="297" t="s">
        <v>239</v>
      </c>
      <c r="J13212" s="639">
        <f t="shared" si="413"/>
        <v>0</v>
      </c>
    </row>
    <row r="13213" spans="5:10" hidden="1">
      <c r="F13213" s="294" t="s">
        <v>240</v>
      </c>
      <c r="G13213" s="297" t="s">
        <v>241</v>
      </c>
      <c r="J13213" s="639">
        <f t="shared" si="413"/>
        <v>0</v>
      </c>
    </row>
    <row r="13214" spans="5:10" hidden="1">
      <c r="F13214" s="294" t="s">
        <v>242</v>
      </c>
      <c r="G13214" s="297" t="s">
        <v>243</v>
      </c>
      <c r="J13214" s="639">
        <f t="shared" si="413"/>
        <v>0</v>
      </c>
    </row>
    <row r="13215" spans="5:10" hidden="1">
      <c r="F13215" s="294" t="s">
        <v>244</v>
      </c>
      <c r="G13215" s="297" t="s">
        <v>245</v>
      </c>
      <c r="J13215" s="639">
        <f t="shared" si="413"/>
        <v>0</v>
      </c>
    </row>
    <row r="13216" spans="5:10" hidden="1">
      <c r="F13216" s="294" t="s">
        <v>246</v>
      </c>
      <c r="G13216" s="683" t="s">
        <v>5121</v>
      </c>
      <c r="J13216" s="639">
        <f t="shared" si="413"/>
        <v>0</v>
      </c>
    </row>
    <row r="13217" spans="1:25" hidden="1">
      <c r="F13217" s="294" t="s">
        <v>247</v>
      </c>
      <c r="G13217" s="683" t="s">
        <v>5120</v>
      </c>
      <c r="J13217" s="639">
        <f t="shared" si="413"/>
        <v>0</v>
      </c>
    </row>
    <row r="13218" spans="1:25" hidden="1">
      <c r="F13218" s="294" t="s">
        <v>248</v>
      </c>
      <c r="G13218" s="297" t="s">
        <v>57</v>
      </c>
      <c r="J13218" s="639">
        <f t="shared" si="413"/>
        <v>0</v>
      </c>
    </row>
    <row r="13219" spans="1:25" hidden="1">
      <c r="F13219" s="294" t="s">
        <v>249</v>
      </c>
      <c r="G13219" s="297" t="s">
        <v>250</v>
      </c>
      <c r="J13219" s="639">
        <f t="shared" si="413"/>
        <v>0</v>
      </c>
    </row>
    <row r="13220" spans="1:25" hidden="1">
      <c r="F13220" s="294" t="s">
        <v>251</v>
      </c>
      <c r="G13220" s="297" t="s">
        <v>252</v>
      </c>
      <c r="J13220" s="639">
        <f t="shared" si="413"/>
        <v>0</v>
      </c>
    </row>
    <row r="13221" spans="1:25" hidden="1">
      <c r="F13221" s="294" t="s">
        <v>253</v>
      </c>
      <c r="G13221" s="297" t="s">
        <v>254</v>
      </c>
      <c r="J13221" s="639">
        <f t="shared" si="413"/>
        <v>0</v>
      </c>
    </row>
    <row r="13222" spans="1:25" hidden="1">
      <c r="F13222" s="294" t="s">
        <v>255</v>
      </c>
      <c r="G13222" s="297" t="s">
        <v>256</v>
      </c>
      <c r="J13222" s="639">
        <f t="shared" si="413"/>
        <v>0</v>
      </c>
    </row>
    <row r="13223" spans="1:25" hidden="1">
      <c r="F13223" s="294" t="s">
        <v>257</v>
      </c>
      <c r="G13223" s="297" t="s">
        <v>258</v>
      </c>
      <c r="J13223" s="639">
        <f t="shared" si="413"/>
        <v>0</v>
      </c>
    </row>
    <row r="13224" spans="1:25" hidden="1">
      <c r="F13224" s="294" t="s">
        <v>259</v>
      </c>
      <c r="G13224" s="297" t="s">
        <v>260</v>
      </c>
      <c r="J13224" s="639">
        <f t="shared" si="413"/>
        <v>0</v>
      </c>
    </row>
    <row r="13225" spans="1:25" ht="15.75" hidden="1" thickBot="1">
      <c r="F13225" s="294" t="s">
        <v>261</v>
      </c>
      <c r="G13225" s="297" t="s">
        <v>262</v>
      </c>
      <c r="H13225" s="638"/>
      <c r="I13225" s="639"/>
      <c r="J13225" s="639">
        <f t="shared" si="413"/>
        <v>0</v>
      </c>
    </row>
    <row r="13226" spans="1:25" ht="15.75" hidden="1" collapsed="1" thickBot="1">
      <c r="G13226" s="274" t="s">
        <v>4334</v>
      </c>
      <c r="H13226" s="640">
        <f>SUM(H13210:H13225)</f>
        <v>0</v>
      </c>
      <c r="I13226" s="641">
        <f>SUM(I13211:I13225)</f>
        <v>0</v>
      </c>
      <c r="J13226" s="641">
        <f>SUM(J13210:J13225)</f>
        <v>0</v>
      </c>
    </row>
    <row r="13227" spans="1:25" s="88" customFormat="1" hidden="1">
      <c r="A13227" s="551"/>
      <c r="B13227" s="301"/>
      <c r="C13227" s="310"/>
      <c r="G13227" s="320"/>
      <c r="H13227" s="651"/>
      <c r="I13227" s="652"/>
      <c r="J13227" s="652"/>
      <c r="K13227" s="575"/>
      <c r="L13227" s="575"/>
      <c r="M13227" s="575"/>
      <c r="N13227" s="575"/>
      <c r="O13227" s="575"/>
      <c r="P13227" s="575"/>
      <c r="Q13227" s="575"/>
      <c r="R13227" s="575"/>
      <c r="S13227" s="575"/>
      <c r="T13227" s="575"/>
      <c r="U13227" s="575"/>
      <c r="V13227" s="575"/>
      <c r="W13227" s="575"/>
      <c r="X13227" s="575"/>
      <c r="Y13227" s="575"/>
    </row>
    <row r="13228" spans="1:25" hidden="1">
      <c r="C13228" s="273" t="s">
        <v>4120</v>
      </c>
      <c r="D13228" s="264"/>
      <c r="G13228" s="553" t="s">
        <v>4121</v>
      </c>
    </row>
    <row r="13229" spans="1:25" s="88" customFormat="1" hidden="1">
      <c r="A13229" s="551"/>
      <c r="B13229" s="301"/>
      <c r="C13229" s="361"/>
      <c r="D13229" s="381" t="s">
        <v>3892</v>
      </c>
      <c r="E13229" s="382"/>
      <c r="F13229" s="380"/>
      <c r="G13229" s="359" t="s">
        <v>103</v>
      </c>
      <c r="H13229" s="667"/>
      <c r="I13229" s="650"/>
      <c r="J13229" s="668"/>
      <c r="K13229" s="575"/>
      <c r="L13229" s="575"/>
      <c r="M13229" s="575"/>
      <c r="N13229" s="575"/>
      <c r="O13229" s="575"/>
      <c r="P13229" s="575"/>
      <c r="Q13229" s="575"/>
      <c r="R13229" s="575"/>
      <c r="S13229" s="575"/>
      <c r="T13229" s="575"/>
      <c r="U13229" s="575"/>
      <c r="V13229" s="575"/>
      <c r="W13229" s="575"/>
      <c r="X13229" s="575"/>
      <c r="Y13229" s="575"/>
    </row>
    <row r="13230" spans="1:25" hidden="1">
      <c r="F13230" s="555">
        <v>411</v>
      </c>
      <c r="G13230" s="550" t="s">
        <v>4173</v>
      </c>
      <c r="J13230" s="635">
        <f>SUM(H13230:I13230)</f>
        <v>0</v>
      </c>
    </row>
    <row r="13231" spans="1:25" hidden="1">
      <c r="F13231" s="555">
        <v>412</v>
      </c>
      <c r="G13231" s="547" t="s">
        <v>3770</v>
      </c>
      <c r="J13231" s="635">
        <f t="shared" ref="J13231:J13289" si="414">SUM(H13231:I13231)</f>
        <v>0</v>
      </c>
    </row>
    <row r="13232" spans="1:25" hidden="1">
      <c r="F13232" s="555">
        <v>413</v>
      </c>
      <c r="G13232" s="550" t="s">
        <v>4174</v>
      </c>
      <c r="J13232" s="635">
        <f t="shared" si="414"/>
        <v>0</v>
      </c>
    </row>
    <row r="13233" spans="6:10" hidden="1">
      <c r="F13233" s="555">
        <v>414</v>
      </c>
      <c r="G13233" s="550" t="s">
        <v>3773</v>
      </c>
      <c r="J13233" s="635">
        <f t="shared" si="414"/>
        <v>0</v>
      </c>
    </row>
    <row r="13234" spans="6:10" hidden="1">
      <c r="F13234" s="555">
        <v>415</v>
      </c>
      <c r="G13234" s="550" t="s">
        <v>4183</v>
      </c>
      <c r="J13234" s="635">
        <f t="shared" si="414"/>
        <v>0</v>
      </c>
    </row>
    <row r="13235" spans="6:10" hidden="1">
      <c r="F13235" s="555">
        <v>416</v>
      </c>
      <c r="G13235" s="550" t="s">
        <v>4184</v>
      </c>
      <c r="J13235" s="635">
        <f t="shared" si="414"/>
        <v>0</v>
      </c>
    </row>
    <row r="13236" spans="6:10" hidden="1">
      <c r="F13236" s="555">
        <v>417</v>
      </c>
      <c r="G13236" s="550" t="s">
        <v>4185</v>
      </c>
      <c r="J13236" s="635">
        <f t="shared" si="414"/>
        <v>0</v>
      </c>
    </row>
    <row r="13237" spans="6:10" hidden="1">
      <c r="F13237" s="555">
        <v>418</v>
      </c>
      <c r="G13237" s="550" t="s">
        <v>3779</v>
      </c>
      <c r="J13237" s="635">
        <f t="shared" si="414"/>
        <v>0</v>
      </c>
    </row>
    <row r="13238" spans="6:10" hidden="1">
      <c r="F13238" s="555">
        <v>421</v>
      </c>
      <c r="G13238" s="550" t="s">
        <v>3783</v>
      </c>
      <c r="J13238" s="635">
        <f t="shared" si="414"/>
        <v>0</v>
      </c>
    </row>
    <row r="13239" spans="6:10" hidden="1">
      <c r="F13239" s="555">
        <v>422</v>
      </c>
      <c r="G13239" s="550" t="s">
        <v>3784</v>
      </c>
      <c r="J13239" s="635">
        <f t="shared" si="414"/>
        <v>0</v>
      </c>
    </row>
    <row r="13240" spans="6:10" hidden="1">
      <c r="F13240" s="555">
        <v>423</v>
      </c>
      <c r="G13240" s="550" t="s">
        <v>3785</v>
      </c>
      <c r="J13240" s="635">
        <f t="shared" si="414"/>
        <v>0</v>
      </c>
    </row>
    <row r="13241" spans="6:10" hidden="1">
      <c r="F13241" s="555">
        <v>424</v>
      </c>
      <c r="G13241" s="550" t="s">
        <v>3787</v>
      </c>
      <c r="J13241" s="635">
        <f t="shared" si="414"/>
        <v>0</v>
      </c>
    </row>
    <row r="13242" spans="6:10" hidden="1">
      <c r="F13242" s="555">
        <v>425</v>
      </c>
      <c r="G13242" s="550" t="s">
        <v>4186</v>
      </c>
      <c r="J13242" s="635">
        <f t="shared" si="414"/>
        <v>0</v>
      </c>
    </row>
    <row r="13243" spans="6:10" hidden="1">
      <c r="F13243" s="555">
        <v>426</v>
      </c>
      <c r="G13243" s="550" t="s">
        <v>3791</v>
      </c>
      <c r="J13243" s="635">
        <f t="shared" si="414"/>
        <v>0</v>
      </c>
    </row>
    <row r="13244" spans="6:10" hidden="1">
      <c r="F13244" s="555">
        <v>431</v>
      </c>
      <c r="G13244" s="550" t="s">
        <v>4187</v>
      </c>
      <c r="J13244" s="635">
        <f t="shared" si="414"/>
        <v>0</v>
      </c>
    </row>
    <row r="13245" spans="6:10" hidden="1">
      <c r="F13245" s="555">
        <v>432</v>
      </c>
      <c r="G13245" s="550" t="s">
        <v>4188</v>
      </c>
      <c r="J13245" s="635">
        <f t="shared" si="414"/>
        <v>0</v>
      </c>
    </row>
    <row r="13246" spans="6:10" hidden="1">
      <c r="F13246" s="555">
        <v>433</v>
      </c>
      <c r="G13246" s="550" t="s">
        <v>4189</v>
      </c>
      <c r="J13246" s="635">
        <f t="shared" si="414"/>
        <v>0</v>
      </c>
    </row>
    <row r="13247" spans="6:10" hidden="1">
      <c r="F13247" s="555">
        <v>434</v>
      </c>
      <c r="G13247" s="550" t="s">
        <v>4190</v>
      </c>
      <c r="J13247" s="635">
        <f t="shared" si="414"/>
        <v>0</v>
      </c>
    </row>
    <row r="13248" spans="6:10" hidden="1">
      <c r="F13248" s="555">
        <v>435</v>
      </c>
      <c r="G13248" s="550" t="s">
        <v>3798</v>
      </c>
      <c r="J13248" s="635">
        <f t="shared" si="414"/>
        <v>0</v>
      </c>
    </row>
    <row r="13249" spans="6:10" hidden="1">
      <c r="F13249" s="555">
        <v>441</v>
      </c>
      <c r="G13249" s="550" t="s">
        <v>4191</v>
      </c>
      <c r="J13249" s="635">
        <f t="shared" si="414"/>
        <v>0</v>
      </c>
    </row>
    <row r="13250" spans="6:10" hidden="1">
      <c r="F13250" s="555">
        <v>442</v>
      </c>
      <c r="G13250" s="550" t="s">
        <v>4192</v>
      </c>
      <c r="J13250" s="635">
        <f t="shared" si="414"/>
        <v>0</v>
      </c>
    </row>
    <row r="13251" spans="6:10" hidden="1">
      <c r="F13251" s="555">
        <v>443</v>
      </c>
      <c r="G13251" s="550" t="s">
        <v>3803</v>
      </c>
      <c r="J13251" s="635">
        <f t="shared" si="414"/>
        <v>0</v>
      </c>
    </row>
    <row r="13252" spans="6:10" hidden="1">
      <c r="F13252" s="555">
        <v>444</v>
      </c>
      <c r="G13252" s="550" t="s">
        <v>3804</v>
      </c>
      <c r="J13252" s="635">
        <f t="shared" si="414"/>
        <v>0</v>
      </c>
    </row>
    <row r="13253" spans="6:10" ht="30" hidden="1">
      <c r="F13253" s="555">
        <v>4511</v>
      </c>
      <c r="G13253" s="268" t="s">
        <v>1690</v>
      </c>
      <c r="J13253" s="635">
        <f t="shared" si="414"/>
        <v>0</v>
      </c>
    </row>
    <row r="13254" spans="6:10" ht="30" hidden="1">
      <c r="F13254" s="555">
        <v>4512</v>
      </c>
      <c r="G13254" s="268" t="s">
        <v>1699</v>
      </c>
      <c r="J13254" s="635">
        <f t="shared" si="414"/>
        <v>0</v>
      </c>
    </row>
    <row r="13255" spans="6:10" hidden="1">
      <c r="F13255" s="555">
        <v>452</v>
      </c>
      <c r="G13255" s="550" t="s">
        <v>4193</v>
      </c>
      <c r="J13255" s="635">
        <f t="shared" si="414"/>
        <v>0</v>
      </c>
    </row>
    <row r="13256" spans="6:10" hidden="1">
      <c r="F13256" s="555">
        <v>453</v>
      </c>
      <c r="G13256" s="550" t="s">
        <v>4194</v>
      </c>
      <c r="J13256" s="635">
        <f t="shared" si="414"/>
        <v>0</v>
      </c>
    </row>
    <row r="13257" spans="6:10" hidden="1">
      <c r="F13257" s="555">
        <v>454</v>
      </c>
      <c r="G13257" s="550" t="s">
        <v>3809</v>
      </c>
      <c r="J13257" s="635">
        <f t="shared" si="414"/>
        <v>0</v>
      </c>
    </row>
    <row r="13258" spans="6:10" hidden="1">
      <c r="F13258" s="555">
        <v>461</v>
      </c>
      <c r="G13258" s="550" t="s">
        <v>4175</v>
      </c>
      <c r="J13258" s="635">
        <f t="shared" si="414"/>
        <v>0</v>
      </c>
    </row>
    <row r="13259" spans="6:10" hidden="1">
      <c r="F13259" s="555">
        <v>462</v>
      </c>
      <c r="G13259" s="550" t="s">
        <v>3812</v>
      </c>
      <c r="J13259" s="635">
        <f t="shared" si="414"/>
        <v>0</v>
      </c>
    </row>
    <row r="13260" spans="6:10" hidden="1">
      <c r="F13260" s="555">
        <v>4631</v>
      </c>
      <c r="G13260" s="550" t="s">
        <v>3813</v>
      </c>
      <c r="J13260" s="635">
        <f t="shared" si="414"/>
        <v>0</v>
      </c>
    </row>
    <row r="13261" spans="6:10" hidden="1">
      <c r="F13261" s="555">
        <v>4632</v>
      </c>
      <c r="G13261" s="550" t="s">
        <v>3814</v>
      </c>
      <c r="J13261" s="635">
        <f t="shared" si="414"/>
        <v>0</v>
      </c>
    </row>
    <row r="13262" spans="6:10" hidden="1">
      <c r="F13262" s="555">
        <v>464</v>
      </c>
      <c r="G13262" s="550" t="s">
        <v>3815</v>
      </c>
      <c r="J13262" s="635">
        <f t="shared" si="414"/>
        <v>0</v>
      </c>
    </row>
    <row r="13263" spans="6:10" hidden="1">
      <c r="F13263" s="555">
        <v>465</v>
      </c>
      <c r="G13263" s="550" t="s">
        <v>4176</v>
      </c>
      <c r="J13263" s="635">
        <f t="shared" si="414"/>
        <v>0</v>
      </c>
    </row>
    <row r="13264" spans="6:10" hidden="1">
      <c r="F13264" s="555">
        <v>472</v>
      </c>
      <c r="G13264" s="550" t="s">
        <v>3819</v>
      </c>
      <c r="J13264" s="635">
        <f t="shared" si="414"/>
        <v>0</v>
      </c>
    </row>
    <row r="13265" spans="6:10" hidden="1">
      <c r="F13265" s="555">
        <v>481</v>
      </c>
      <c r="G13265" s="550" t="s">
        <v>4195</v>
      </c>
      <c r="J13265" s="635">
        <f t="shared" si="414"/>
        <v>0</v>
      </c>
    </row>
    <row r="13266" spans="6:10" hidden="1">
      <c r="F13266" s="555">
        <v>482</v>
      </c>
      <c r="G13266" s="550" t="s">
        <v>4196</v>
      </c>
      <c r="J13266" s="635">
        <f t="shared" si="414"/>
        <v>0</v>
      </c>
    </row>
    <row r="13267" spans="6:10" hidden="1">
      <c r="F13267" s="555">
        <v>483</v>
      </c>
      <c r="G13267" s="552" t="s">
        <v>4197</v>
      </c>
      <c r="J13267" s="635">
        <f t="shared" si="414"/>
        <v>0</v>
      </c>
    </row>
    <row r="13268" spans="6:10" ht="30" hidden="1">
      <c r="F13268" s="555">
        <v>484</v>
      </c>
      <c r="G13268" s="550" t="s">
        <v>4198</v>
      </c>
      <c r="J13268" s="635">
        <f t="shared" si="414"/>
        <v>0</v>
      </c>
    </row>
    <row r="13269" spans="6:10" ht="30" hidden="1">
      <c r="F13269" s="555">
        <v>485</v>
      </c>
      <c r="G13269" s="550" t="s">
        <v>4199</v>
      </c>
      <c r="J13269" s="635">
        <f t="shared" si="414"/>
        <v>0</v>
      </c>
    </row>
    <row r="13270" spans="6:10" ht="30" hidden="1">
      <c r="F13270" s="555">
        <v>489</v>
      </c>
      <c r="G13270" s="550" t="s">
        <v>3827</v>
      </c>
      <c r="J13270" s="635">
        <f t="shared" si="414"/>
        <v>0</v>
      </c>
    </row>
    <row r="13271" spans="6:10" hidden="1">
      <c r="F13271" s="555">
        <v>494</v>
      </c>
      <c r="G13271" s="550" t="s">
        <v>4177</v>
      </c>
      <c r="J13271" s="635">
        <f t="shared" si="414"/>
        <v>0</v>
      </c>
    </row>
    <row r="13272" spans="6:10" ht="30" hidden="1">
      <c r="F13272" s="555">
        <v>495</v>
      </c>
      <c r="G13272" s="550" t="s">
        <v>4178</v>
      </c>
      <c r="J13272" s="635">
        <f t="shared" si="414"/>
        <v>0</v>
      </c>
    </row>
    <row r="13273" spans="6:10" ht="30" hidden="1">
      <c r="F13273" s="555">
        <v>496</v>
      </c>
      <c r="G13273" s="550" t="s">
        <v>4179</v>
      </c>
      <c r="J13273" s="635">
        <f t="shared" si="414"/>
        <v>0</v>
      </c>
    </row>
    <row r="13274" spans="6:10" hidden="1">
      <c r="F13274" s="555">
        <v>499</v>
      </c>
      <c r="G13274" s="550" t="s">
        <v>4180</v>
      </c>
      <c r="J13274" s="635">
        <f t="shared" si="414"/>
        <v>0</v>
      </c>
    </row>
    <row r="13275" spans="6:10" hidden="1">
      <c r="F13275" s="555">
        <v>511</v>
      </c>
      <c r="G13275" s="552" t="s">
        <v>4200</v>
      </c>
      <c r="J13275" s="635">
        <f t="shared" si="414"/>
        <v>0</v>
      </c>
    </row>
    <row r="13276" spans="6:10" hidden="1">
      <c r="F13276" s="555">
        <v>512</v>
      </c>
      <c r="G13276" s="552" t="s">
        <v>4201</v>
      </c>
      <c r="J13276" s="635">
        <f t="shared" si="414"/>
        <v>0</v>
      </c>
    </row>
    <row r="13277" spans="6:10" hidden="1">
      <c r="F13277" s="555">
        <v>513</v>
      </c>
      <c r="G13277" s="552" t="s">
        <v>4202</v>
      </c>
      <c r="J13277" s="635">
        <f t="shared" si="414"/>
        <v>0</v>
      </c>
    </row>
    <row r="13278" spans="6:10" hidden="1">
      <c r="F13278" s="555">
        <v>514</v>
      </c>
      <c r="G13278" s="550" t="s">
        <v>4203</v>
      </c>
      <c r="J13278" s="635">
        <f t="shared" si="414"/>
        <v>0</v>
      </c>
    </row>
    <row r="13279" spans="6:10" hidden="1">
      <c r="F13279" s="555">
        <v>515</v>
      </c>
      <c r="G13279" s="550" t="s">
        <v>3838</v>
      </c>
      <c r="J13279" s="635">
        <f t="shared" si="414"/>
        <v>0</v>
      </c>
    </row>
    <row r="13280" spans="6:10" hidden="1">
      <c r="F13280" s="555">
        <v>521</v>
      </c>
      <c r="G13280" s="550" t="s">
        <v>4204</v>
      </c>
      <c r="J13280" s="635">
        <f t="shared" si="414"/>
        <v>0</v>
      </c>
    </row>
    <row r="13281" spans="5:10" hidden="1">
      <c r="F13281" s="555">
        <v>522</v>
      </c>
      <c r="G13281" s="550" t="s">
        <v>4205</v>
      </c>
      <c r="J13281" s="635">
        <f t="shared" si="414"/>
        <v>0</v>
      </c>
    </row>
    <row r="13282" spans="5:10" hidden="1">
      <c r="F13282" s="555">
        <v>523</v>
      </c>
      <c r="G13282" s="550" t="s">
        <v>3843</v>
      </c>
      <c r="J13282" s="635">
        <f t="shared" si="414"/>
        <v>0</v>
      </c>
    </row>
    <row r="13283" spans="5:10" hidden="1">
      <c r="F13283" s="555">
        <v>531</v>
      </c>
      <c r="G13283" s="547" t="s">
        <v>4181</v>
      </c>
      <c r="J13283" s="635">
        <f t="shared" si="414"/>
        <v>0</v>
      </c>
    </row>
    <row r="13284" spans="5:10" hidden="1">
      <c r="F13284" s="555">
        <v>541</v>
      </c>
      <c r="G13284" s="550" t="s">
        <v>4206</v>
      </c>
      <c r="J13284" s="635">
        <f t="shared" si="414"/>
        <v>0</v>
      </c>
    </row>
    <row r="13285" spans="5:10" hidden="1">
      <c r="F13285" s="555">
        <v>542</v>
      </c>
      <c r="G13285" s="550" t="s">
        <v>4207</v>
      </c>
      <c r="J13285" s="635">
        <f t="shared" si="414"/>
        <v>0</v>
      </c>
    </row>
    <row r="13286" spans="5:10" hidden="1">
      <c r="F13286" s="555">
        <v>543</v>
      </c>
      <c r="G13286" s="550" t="s">
        <v>3848</v>
      </c>
      <c r="J13286" s="635">
        <f t="shared" si="414"/>
        <v>0</v>
      </c>
    </row>
    <row r="13287" spans="5:10" ht="30" hidden="1">
      <c r="F13287" s="555">
        <v>551</v>
      </c>
      <c r="G13287" s="550" t="s">
        <v>4182</v>
      </c>
      <c r="J13287" s="635">
        <f t="shared" si="414"/>
        <v>0</v>
      </c>
    </row>
    <row r="13288" spans="5:10" hidden="1">
      <c r="F13288" s="556">
        <v>611</v>
      </c>
      <c r="G13288" s="554" t="s">
        <v>3854</v>
      </c>
      <c r="J13288" s="635">
        <f t="shared" si="414"/>
        <v>0</v>
      </c>
    </row>
    <row r="13289" spans="5:10" ht="15.75" hidden="1" thickBot="1">
      <c r="F13289" s="556">
        <v>620</v>
      </c>
      <c r="G13289" s="554" t="s">
        <v>88</v>
      </c>
      <c r="J13289" s="635">
        <f t="shared" si="414"/>
        <v>0</v>
      </c>
    </row>
    <row r="13290" spans="5:10" hidden="1">
      <c r="E13290" s="548"/>
      <c r="F13290" s="556"/>
      <c r="G13290" s="371" t="s">
        <v>4370</v>
      </c>
      <c r="H13290" s="636"/>
      <c r="I13290" s="662"/>
      <c r="J13290" s="637"/>
    </row>
    <row r="13291" spans="5:10" hidden="1">
      <c r="E13291" s="267"/>
      <c r="F13291" s="294" t="s">
        <v>234</v>
      </c>
      <c r="G13291" s="297" t="s">
        <v>235</v>
      </c>
      <c r="H13291" s="638">
        <f>SUM(H13230:H13289)</f>
        <v>0</v>
      </c>
      <c r="I13291" s="639"/>
      <c r="J13291" s="639">
        <f>SUM(H13291:I13291)</f>
        <v>0</v>
      </c>
    </row>
    <row r="13292" spans="5:10" hidden="1">
      <c r="F13292" s="294" t="s">
        <v>236</v>
      </c>
      <c r="G13292" s="297" t="s">
        <v>237</v>
      </c>
      <c r="J13292" s="639">
        <f t="shared" ref="J13292:J13306" si="415">SUM(H13292:I13292)</f>
        <v>0</v>
      </c>
    </row>
    <row r="13293" spans="5:10" hidden="1">
      <c r="F13293" s="294" t="s">
        <v>238</v>
      </c>
      <c r="G13293" s="297" t="s">
        <v>239</v>
      </c>
      <c r="J13293" s="639">
        <f t="shared" si="415"/>
        <v>0</v>
      </c>
    </row>
    <row r="13294" spans="5:10" hidden="1">
      <c r="F13294" s="294" t="s">
        <v>240</v>
      </c>
      <c r="G13294" s="297" t="s">
        <v>241</v>
      </c>
      <c r="J13294" s="639">
        <f t="shared" si="415"/>
        <v>0</v>
      </c>
    </row>
    <row r="13295" spans="5:10" hidden="1">
      <c r="F13295" s="294" t="s">
        <v>242</v>
      </c>
      <c r="G13295" s="297" t="s">
        <v>243</v>
      </c>
      <c r="J13295" s="639">
        <f t="shared" si="415"/>
        <v>0</v>
      </c>
    </row>
    <row r="13296" spans="5:10" hidden="1">
      <c r="F13296" s="294" t="s">
        <v>244</v>
      </c>
      <c r="G13296" s="297" t="s">
        <v>245</v>
      </c>
      <c r="J13296" s="639">
        <f t="shared" si="415"/>
        <v>0</v>
      </c>
    </row>
    <row r="13297" spans="5:10" hidden="1">
      <c r="F13297" s="294" t="s">
        <v>246</v>
      </c>
      <c r="G13297" s="683" t="s">
        <v>5121</v>
      </c>
      <c r="J13297" s="639">
        <f t="shared" si="415"/>
        <v>0</v>
      </c>
    </row>
    <row r="13298" spans="5:10" hidden="1">
      <c r="F13298" s="294" t="s">
        <v>247</v>
      </c>
      <c r="G13298" s="683" t="s">
        <v>5120</v>
      </c>
      <c r="J13298" s="639">
        <f t="shared" si="415"/>
        <v>0</v>
      </c>
    </row>
    <row r="13299" spans="5:10" hidden="1">
      <c r="F13299" s="294" t="s">
        <v>248</v>
      </c>
      <c r="G13299" s="297" t="s">
        <v>57</v>
      </c>
      <c r="J13299" s="639">
        <f t="shared" si="415"/>
        <v>0</v>
      </c>
    </row>
    <row r="13300" spans="5:10" hidden="1">
      <c r="F13300" s="294" t="s">
        <v>249</v>
      </c>
      <c r="G13300" s="297" t="s">
        <v>250</v>
      </c>
      <c r="J13300" s="639">
        <f t="shared" si="415"/>
        <v>0</v>
      </c>
    </row>
    <row r="13301" spans="5:10" hidden="1">
      <c r="F13301" s="294" t="s">
        <v>251</v>
      </c>
      <c r="G13301" s="297" t="s">
        <v>252</v>
      </c>
      <c r="J13301" s="639">
        <f t="shared" si="415"/>
        <v>0</v>
      </c>
    </row>
    <row r="13302" spans="5:10" hidden="1">
      <c r="F13302" s="294" t="s">
        <v>253</v>
      </c>
      <c r="G13302" s="297" t="s">
        <v>254</v>
      </c>
      <c r="J13302" s="639">
        <f t="shared" si="415"/>
        <v>0</v>
      </c>
    </row>
    <row r="13303" spans="5:10" hidden="1">
      <c r="F13303" s="294" t="s">
        <v>255</v>
      </c>
      <c r="G13303" s="297" t="s">
        <v>256</v>
      </c>
      <c r="J13303" s="639">
        <f t="shared" si="415"/>
        <v>0</v>
      </c>
    </row>
    <row r="13304" spans="5:10" hidden="1">
      <c r="F13304" s="294" t="s">
        <v>257</v>
      </c>
      <c r="G13304" s="297" t="s">
        <v>258</v>
      </c>
      <c r="J13304" s="639">
        <f t="shared" si="415"/>
        <v>0</v>
      </c>
    </row>
    <row r="13305" spans="5:10" hidden="1">
      <c r="F13305" s="294" t="s">
        <v>259</v>
      </c>
      <c r="G13305" s="297" t="s">
        <v>260</v>
      </c>
      <c r="J13305" s="639">
        <f t="shared" si="415"/>
        <v>0</v>
      </c>
    </row>
    <row r="13306" spans="5:10" ht="15.75" hidden="1" thickBot="1">
      <c r="F13306" s="294" t="s">
        <v>261</v>
      </c>
      <c r="G13306" s="297" t="s">
        <v>262</v>
      </c>
      <c r="H13306" s="638"/>
      <c r="I13306" s="639"/>
      <c r="J13306" s="639">
        <f t="shared" si="415"/>
        <v>0</v>
      </c>
    </row>
    <row r="13307" spans="5:10" ht="15.75" hidden="1" thickBot="1">
      <c r="G13307" s="274" t="s">
        <v>4371</v>
      </c>
      <c r="H13307" s="640">
        <f>SUM(H13291:H13306)</f>
        <v>0</v>
      </c>
      <c r="I13307" s="641">
        <f>SUM(I13292:I13306)</f>
        <v>0</v>
      </c>
      <c r="J13307" s="641">
        <f>SUM(J13291:J13306)</f>
        <v>0</v>
      </c>
    </row>
    <row r="13308" spans="5:10" hidden="1" collapsed="1">
      <c r="E13308" s="548"/>
      <c r="F13308" s="556"/>
      <c r="G13308" s="276" t="s">
        <v>4261</v>
      </c>
      <c r="H13308" s="642"/>
      <c r="I13308" s="663"/>
      <c r="J13308" s="643"/>
    </row>
    <row r="13309" spans="5:10" hidden="1">
      <c r="E13309" s="267"/>
      <c r="F13309" s="294" t="s">
        <v>234</v>
      </c>
      <c r="G13309" s="297" t="s">
        <v>235</v>
      </c>
      <c r="H13309" s="638">
        <f>SUM(H13230:H13289)</f>
        <v>0</v>
      </c>
      <c r="I13309" s="639"/>
      <c r="J13309" s="639">
        <f>SUM(H13309:I13309)</f>
        <v>0</v>
      </c>
    </row>
    <row r="13310" spans="5:10" hidden="1">
      <c r="F13310" s="294" t="s">
        <v>236</v>
      </c>
      <c r="G13310" s="297" t="s">
        <v>237</v>
      </c>
      <c r="J13310" s="639">
        <f t="shared" ref="J13310:J13324" si="416">SUM(H13310:I13310)</f>
        <v>0</v>
      </c>
    </row>
    <row r="13311" spans="5:10" hidden="1">
      <c r="F13311" s="294" t="s">
        <v>238</v>
      </c>
      <c r="G13311" s="297" t="s">
        <v>239</v>
      </c>
      <c r="J13311" s="639">
        <f t="shared" si="416"/>
        <v>0</v>
      </c>
    </row>
    <row r="13312" spans="5:10" hidden="1">
      <c r="F13312" s="294" t="s">
        <v>240</v>
      </c>
      <c r="G13312" s="297" t="s">
        <v>241</v>
      </c>
      <c r="J13312" s="639">
        <f t="shared" si="416"/>
        <v>0</v>
      </c>
    </row>
    <row r="13313" spans="1:25" hidden="1">
      <c r="F13313" s="294" t="s">
        <v>242</v>
      </c>
      <c r="G13313" s="297" t="s">
        <v>243</v>
      </c>
      <c r="J13313" s="639">
        <f t="shared" si="416"/>
        <v>0</v>
      </c>
    </row>
    <row r="13314" spans="1:25" hidden="1">
      <c r="F13314" s="294" t="s">
        <v>244</v>
      </c>
      <c r="G13314" s="297" t="s">
        <v>245</v>
      </c>
      <c r="J13314" s="639">
        <f t="shared" si="416"/>
        <v>0</v>
      </c>
    </row>
    <row r="13315" spans="1:25" hidden="1">
      <c r="F13315" s="294" t="s">
        <v>246</v>
      </c>
      <c r="G13315" s="683" t="s">
        <v>5121</v>
      </c>
      <c r="J13315" s="639">
        <f t="shared" si="416"/>
        <v>0</v>
      </c>
    </row>
    <row r="13316" spans="1:25" hidden="1">
      <c r="F13316" s="294" t="s">
        <v>247</v>
      </c>
      <c r="G13316" s="683" t="s">
        <v>5120</v>
      </c>
      <c r="J13316" s="639">
        <f t="shared" si="416"/>
        <v>0</v>
      </c>
    </row>
    <row r="13317" spans="1:25" hidden="1">
      <c r="F13317" s="294" t="s">
        <v>248</v>
      </c>
      <c r="G13317" s="297" t="s">
        <v>57</v>
      </c>
      <c r="J13317" s="639">
        <f t="shared" si="416"/>
        <v>0</v>
      </c>
    </row>
    <row r="13318" spans="1:25" hidden="1">
      <c r="F13318" s="294" t="s">
        <v>249</v>
      </c>
      <c r="G13318" s="297" t="s">
        <v>250</v>
      </c>
      <c r="J13318" s="639">
        <f t="shared" si="416"/>
        <v>0</v>
      </c>
    </row>
    <row r="13319" spans="1:25" hidden="1">
      <c r="F13319" s="294" t="s">
        <v>251</v>
      </c>
      <c r="G13319" s="297" t="s">
        <v>252</v>
      </c>
      <c r="J13319" s="639">
        <f t="shared" si="416"/>
        <v>0</v>
      </c>
    </row>
    <row r="13320" spans="1:25" hidden="1">
      <c r="F13320" s="294" t="s">
        <v>253</v>
      </c>
      <c r="G13320" s="297" t="s">
        <v>254</v>
      </c>
      <c r="J13320" s="639">
        <f t="shared" si="416"/>
        <v>0</v>
      </c>
    </row>
    <row r="13321" spans="1:25" hidden="1">
      <c r="F13321" s="294" t="s">
        <v>255</v>
      </c>
      <c r="G13321" s="297" t="s">
        <v>256</v>
      </c>
      <c r="J13321" s="639">
        <f t="shared" si="416"/>
        <v>0</v>
      </c>
    </row>
    <row r="13322" spans="1:25" hidden="1">
      <c r="F13322" s="294" t="s">
        <v>257</v>
      </c>
      <c r="G13322" s="297" t="s">
        <v>258</v>
      </c>
      <c r="J13322" s="639">
        <f t="shared" si="416"/>
        <v>0</v>
      </c>
    </row>
    <row r="13323" spans="1:25" hidden="1">
      <c r="F13323" s="294" t="s">
        <v>259</v>
      </c>
      <c r="G13323" s="297" t="s">
        <v>260</v>
      </c>
      <c r="J13323" s="639">
        <f t="shared" si="416"/>
        <v>0</v>
      </c>
    </row>
    <row r="13324" spans="1:25" ht="15.75" hidden="1" thickBot="1">
      <c r="F13324" s="294" t="s">
        <v>261</v>
      </c>
      <c r="G13324" s="297" t="s">
        <v>262</v>
      </c>
      <c r="H13324" s="638"/>
      <c r="I13324" s="639"/>
      <c r="J13324" s="639">
        <f t="shared" si="416"/>
        <v>0</v>
      </c>
    </row>
    <row r="13325" spans="1:25" ht="15.75" hidden="1" collapsed="1" thickBot="1">
      <c r="G13325" s="274" t="s">
        <v>4262</v>
      </c>
      <c r="H13325" s="640">
        <f>SUM(H13309:H13324)</f>
        <v>0</v>
      </c>
      <c r="I13325" s="641">
        <f>SUM(I13310:I13324)</f>
        <v>0</v>
      </c>
      <c r="J13325" s="641">
        <f>SUM(J13309:J13324)</f>
        <v>0</v>
      </c>
    </row>
    <row r="13326" spans="1:25" s="88" customFormat="1" hidden="1">
      <c r="A13326" s="551"/>
      <c r="B13326" s="301"/>
      <c r="C13326" s="310"/>
      <c r="G13326" s="320"/>
      <c r="H13326" s="651"/>
      <c r="I13326" s="652"/>
      <c r="J13326" s="652"/>
      <c r="K13326" s="575"/>
      <c r="L13326" s="575"/>
      <c r="M13326" s="575"/>
      <c r="N13326" s="575"/>
      <c r="O13326" s="575"/>
      <c r="P13326" s="575"/>
      <c r="Q13326" s="575"/>
      <c r="R13326" s="575"/>
      <c r="S13326" s="575"/>
      <c r="T13326" s="575"/>
      <c r="U13326" s="575"/>
      <c r="V13326" s="575"/>
      <c r="W13326" s="575"/>
      <c r="X13326" s="575"/>
      <c r="Y13326" s="575"/>
    </row>
    <row r="13327" spans="1:25" hidden="1">
      <c r="C13327" s="273" t="s">
        <v>4122</v>
      </c>
      <c r="D13327" s="264"/>
      <c r="G13327" s="553" t="s">
        <v>4123</v>
      </c>
    </row>
    <row r="13328" spans="1:25" s="88" customFormat="1" hidden="1">
      <c r="A13328" s="551"/>
      <c r="B13328" s="301"/>
      <c r="C13328" s="361"/>
      <c r="D13328" s="381" t="s">
        <v>3892</v>
      </c>
      <c r="E13328" s="382"/>
      <c r="F13328" s="380"/>
      <c r="G13328" s="359" t="s">
        <v>103</v>
      </c>
      <c r="H13328" s="667"/>
      <c r="I13328" s="650"/>
      <c r="J13328" s="668"/>
      <c r="K13328" s="575"/>
      <c r="L13328" s="575"/>
      <c r="M13328" s="575"/>
      <c r="N13328" s="575"/>
      <c r="O13328" s="575"/>
      <c r="P13328" s="575"/>
      <c r="Q13328" s="575"/>
      <c r="R13328" s="575"/>
      <c r="S13328" s="575"/>
      <c r="T13328" s="575"/>
      <c r="U13328" s="575"/>
      <c r="V13328" s="575"/>
      <c r="W13328" s="575"/>
      <c r="X13328" s="575"/>
      <c r="Y13328" s="575"/>
    </row>
    <row r="13329" spans="6:10" hidden="1">
      <c r="F13329" s="555">
        <v>411</v>
      </c>
      <c r="G13329" s="550" t="s">
        <v>4173</v>
      </c>
      <c r="J13329" s="635">
        <f>SUM(H13329:I13329)</f>
        <v>0</v>
      </c>
    </row>
    <row r="13330" spans="6:10" hidden="1">
      <c r="F13330" s="555">
        <v>412</v>
      </c>
      <c r="G13330" s="547" t="s">
        <v>3770</v>
      </c>
      <c r="J13330" s="635">
        <f t="shared" ref="J13330:J13388" si="417">SUM(H13330:I13330)</f>
        <v>0</v>
      </c>
    </row>
    <row r="13331" spans="6:10" hidden="1">
      <c r="F13331" s="555">
        <v>413</v>
      </c>
      <c r="G13331" s="550" t="s">
        <v>4174</v>
      </c>
      <c r="J13331" s="635">
        <f t="shared" si="417"/>
        <v>0</v>
      </c>
    </row>
    <row r="13332" spans="6:10" hidden="1">
      <c r="F13332" s="555">
        <v>414</v>
      </c>
      <c r="G13332" s="550" t="s">
        <v>3773</v>
      </c>
      <c r="J13332" s="635">
        <f t="shared" si="417"/>
        <v>0</v>
      </c>
    </row>
    <row r="13333" spans="6:10" hidden="1">
      <c r="F13333" s="555">
        <v>415</v>
      </c>
      <c r="G13333" s="550" t="s">
        <v>4183</v>
      </c>
      <c r="J13333" s="635">
        <f t="shared" si="417"/>
        <v>0</v>
      </c>
    </row>
    <row r="13334" spans="6:10" hidden="1">
      <c r="F13334" s="555">
        <v>416</v>
      </c>
      <c r="G13334" s="550" t="s">
        <v>4184</v>
      </c>
      <c r="J13334" s="635">
        <f t="shared" si="417"/>
        <v>0</v>
      </c>
    </row>
    <row r="13335" spans="6:10" hidden="1">
      <c r="F13335" s="555">
        <v>417</v>
      </c>
      <c r="G13335" s="550" t="s">
        <v>4185</v>
      </c>
      <c r="J13335" s="635">
        <f t="shared" si="417"/>
        <v>0</v>
      </c>
    </row>
    <row r="13336" spans="6:10" hidden="1">
      <c r="F13336" s="555">
        <v>418</v>
      </c>
      <c r="G13336" s="550" t="s">
        <v>3779</v>
      </c>
      <c r="J13336" s="635">
        <f t="shared" si="417"/>
        <v>0</v>
      </c>
    </row>
    <row r="13337" spans="6:10" hidden="1">
      <c r="F13337" s="555">
        <v>421</v>
      </c>
      <c r="G13337" s="550" t="s">
        <v>3783</v>
      </c>
      <c r="J13337" s="635">
        <f t="shared" si="417"/>
        <v>0</v>
      </c>
    </row>
    <row r="13338" spans="6:10" hidden="1">
      <c r="F13338" s="555">
        <v>422</v>
      </c>
      <c r="G13338" s="550" t="s">
        <v>3784</v>
      </c>
      <c r="J13338" s="635">
        <f t="shared" si="417"/>
        <v>0</v>
      </c>
    </row>
    <row r="13339" spans="6:10" hidden="1">
      <c r="F13339" s="555">
        <v>423</v>
      </c>
      <c r="G13339" s="550" t="s">
        <v>3785</v>
      </c>
      <c r="J13339" s="635">
        <f t="shared" si="417"/>
        <v>0</v>
      </c>
    </row>
    <row r="13340" spans="6:10" hidden="1">
      <c r="F13340" s="555">
        <v>424</v>
      </c>
      <c r="G13340" s="550" t="s">
        <v>3787</v>
      </c>
      <c r="J13340" s="635">
        <f t="shared" si="417"/>
        <v>0</v>
      </c>
    </row>
    <row r="13341" spans="6:10" hidden="1">
      <c r="F13341" s="555">
        <v>425</v>
      </c>
      <c r="G13341" s="550" t="s">
        <v>4186</v>
      </c>
      <c r="J13341" s="635">
        <f t="shared" si="417"/>
        <v>0</v>
      </c>
    </row>
    <row r="13342" spans="6:10" hidden="1">
      <c r="F13342" s="555">
        <v>426</v>
      </c>
      <c r="G13342" s="550" t="s">
        <v>3791</v>
      </c>
      <c r="J13342" s="635">
        <f t="shared" si="417"/>
        <v>0</v>
      </c>
    </row>
    <row r="13343" spans="6:10" hidden="1">
      <c r="F13343" s="555">
        <v>431</v>
      </c>
      <c r="G13343" s="550" t="s">
        <v>4187</v>
      </c>
      <c r="J13343" s="635">
        <f t="shared" si="417"/>
        <v>0</v>
      </c>
    </row>
    <row r="13344" spans="6:10" hidden="1">
      <c r="F13344" s="555">
        <v>432</v>
      </c>
      <c r="G13344" s="550" t="s">
        <v>4188</v>
      </c>
      <c r="J13344" s="635">
        <f t="shared" si="417"/>
        <v>0</v>
      </c>
    </row>
    <row r="13345" spans="6:10" hidden="1">
      <c r="F13345" s="555">
        <v>433</v>
      </c>
      <c r="G13345" s="550" t="s">
        <v>4189</v>
      </c>
      <c r="J13345" s="635">
        <f t="shared" si="417"/>
        <v>0</v>
      </c>
    </row>
    <row r="13346" spans="6:10" hidden="1">
      <c r="F13346" s="555">
        <v>434</v>
      </c>
      <c r="G13346" s="550" t="s">
        <v>4190</v>
      </c>
      <c r="J13346" s="635">
        <f t="shared" si="417"/>
        <v>0</v>
      </c>
    </row>
    <row r="13347" spans="6:10" hidden="1">
      <c r="F13347" s="555">
        <v>435</v>
      </c>
      <c r="G13347" s="550" t="s">
        <v>3798</v>
      </c>
      <c r="J13347" s="635">
        <f t="shared" si="417"/>
        <v>0</v>
      </c>
    </row>
    <row r="13348" spans="6:10" hidden="1">
      <c r="F13348" s="555">
        <v>441</v>
      </c>
      <c r="G13348" s="550" t="s">
        <v>4191</v>
      </c>
      <c r="J13348" s="635">
        <f t="shared" si="417"/>
        <v>0</v>
      </c>
    </row>
    <row r="13349" spans="6:10" hidden="1">
      <c r="F13349" s="555">
        <v>442</v>
      </c>
      <c r="G13349" s="550" t="s">
        <v>4192</v>
      </c>
      <c r="J13349" s="635">
        <f t="shared" si="417"/>
        <v>0</v>
      </c>
    </row>
    <row r="13350" spans="6:10" hidden="1">
      <c r="F13350" s="555">
        <v>443</v>
      </c>
      <c r="G13350" s="550" t="s">
        <v>3803</v>
      </c>
      <c r="J13350" s="635">
        <f t="shared" si="417"/>
        <v>0</v>
      </c>
    </row>
    <row r="13351" spans="6:10" hidden="1">
      <c r="F13351" s="555">
        <v>444</v>
      </c>
      <c r="G13351" s="550" t="s">
        <v>3804</v>
      </c>
      <c r="J13351" s="635">
        <f t="shared" si="417"/>
        <v>0</v>
      </c>
    </row>
    <row r="13352" spans="6:10" ht="30" hidden="1">
      <c r="F13352" s="555">
        <v>4511</v>
      </c>
      <c r="G13352" s="268" t="s">
        <v>1690</v>
      </c>
      <c r="J13352" s="635">
        <f t="shared" si="417"/>
        <v>0</v>
      </c>
    </row>
    <row r="13353" spans="6:10" ht="30" hidden="1">
      <c r="F13353" s="555">
        <v>4512</v>
      </c>
      <c r="G13353" s="268" t="s">
        <v>1699</v>
      </c>
      <c r="J13353" s="635">
        <f t="shared" si="417"/>
        <v>0</v>
      </c>
    </row>
    <row r="13354" spans="6:10" hidden="1">
      <c r="F13354" s="555">
        <v>452</v>
      </c>
      <c r="G13354" s="550" t="s">
        <v>4193</v>
      </c>
      <c r="J13354" s="635">
        <f t="shared" si="417"/>
        <v>0</v>
      </c>
    </row>
    <row r="13355" spans="6:10" hidden="1">
      <c r="F13355" s="555">
        <v>453</v>
      </c>
      <c r="G13355" s="550" t="s">
        <v>4194</v>
      </c>
      <c r="J13355" s="635">
        <f t="shared" si="417"/>
        <v>0</v>
      </c>
    </row>
    <row r="13356" spans="6:10" hidden="1">
      <c r="F13356" s="555">
        <v>454</v>
      </c>
      <c r="G13356" s="550" t="s">
        <v>3809</v>
      </c>
      <c r="J13356" s="635">
        <f t="shared" si="417"/>
        <v>0</v>
      </c>
    </row>
    <row r="13357" spans="6:10" hidden="1">
      <c r="F13357" s="555">
        <v>461</v>
      </c>
      <c r="G13357" s="550" t="s">
        <v>4175</v>
      </c>
      <c r="J13357" s="635">
        <f t="shared" si="417"/>
        <v>0</v>
      </c>
    </row>
    <row r="13358" spans="6:10" hidden="1">
      <c r="F13358" s="555">
        <v>462</v>
      </c>
      <c r="G13358" s="550" t="s">
        <v>3812</v>
      </c>
      <c r="J13358" s="635">
        <f t="shared" si="417"/>
        <v>0</v>
      </c>
    </row>
    <row r="13359" spans="6:10" hidden="1">
      <c r="F13359" s="555">
        <v>4631</v>
      </c>
      <c r="G13359" s="550" t="s">
        <v>3813</v>
      </c>
      <c r="J13359" s="635">
        <f t="shared" si="417"/>
        <v>0</v>
      </c>
    </row>
    <row r="13360" spans="6:10" hidden="1">
      <c r="F13360" s="555">
        <v>4632</v>
      </c>
      <c r="G13360" s="550" t="s">
        <v>3814</v>
      </c>
      <c r="J13360" s="635">
        <f t="shared" si="417"/>
        <v>0</v>
      </c>
    </row>
    <row r="13361" spans="6:10" hidden="1">
      <c r="F13361" s="555">
        <v>464</v>
      </c>
      <c r="G13361" s="550" t="s">
        <v>3815</v>
      </c>
      <c r="J13361" s="635">
        <f t="shared" si="417"/>
        <v>0</v>
      </c>
    </row>
    <row r="13362" spans="6:10" hidden="1">
      <c r="F13362" s="555">
        <v>465</v>
      </c>
      <c r="G13362" s="550" t="s">
        <v>4176</v>
      </c>
      <c r="J13362" s="635">
        <f t="shared" si="417"/>
        <v>0</v>
      </c>
    </row>
    <row r="13363" spans="6:10" hidden="1">
      <c r="F13363" s="555">
        <v>472</v>
      </c>
      <c r="G13363" s="550" t="s">
        <v>3819</v>
      </c>
      <c r="J13363" s="635">
        <f t="shared" si="417"/>
        <v>0</v>
      </c>
    </row>
    <row r="13364" spans="6:10" hidden="1">
      <c r="F13364" s="555">
        <v>481</v>
      </c>
      <c r="G13364" s="550" t="s">
        <v>4195</v>
      </c>
      <c r="J13364" s="635">
        <f t="shared" si="417"/>
        <v>0</v>
      </c>
    </row>
    <row r="13365" spans="6:10" hidden="1">
      <c r="F13365" s="555">
        <v>482</v>
      </c>
      <c r="G13365" s="550" t="s">
        <v>4196</v>
      </c>
      <c r="J13365" s="635">
        <f t="shared" si="417"/>
        <v>0</v>
      </c>
    </row>
    <row r="13366" spans="6:10" hidden="1">
      <c r="F13366" s="555">
        <v>483</v>
      </c>
      <c r="G13366" s="552" t="s">
        <v>4197</v>
      </c>
      <c r="J13366" s="635">
        <f t="shared" si="417"/>
        <v>0</v>
      </c>
    </row>
    <row r="13367" spans="6:10" ht="30" hidden="1">
      <c r="F13367" s="555">
        <v>484</v>
      </c>
      <c r="G13367" s="550" t="s">
        <v>4198</v>
      </c>
      <c r="J13367" s="635">
        <f t="shared" si="417"/>
        <v>0</v>
      </c>
    </row>
    <row r="13368" spans="6:10" ht="30" hidden="1">
      <c r="F13368" s="555">
        <v>485</v>
      </c>
      <c r="G13368" s="550" t="s">
        <v>4199</v>
      </c>
      <c r="J13368" s="635">
        <f t="shared" si="417"/>
        <v>0</v>
      </c>
    </row>
    <row r="13369" spans="6:10" ht="30" hidden="1">
      <c r="F13369" s="555">
        <v>489</v>
      </c>
      <c r="G13369" s="550" t="s">
        <v>3827</v>
      </c>
      <c r="J13369" s="635">
        <f t="shared" si="417"/>
        <v>0</v>
      </c>
    </row>
    <row r="13370" spans="6:10" hidden="1">
      <c r="F13370" s="555">
        <v>494</v>
      </c>
      <c r="G13370" s="550" t="s">
        <v>4177</v>
      </c>
      <c r="J13370" s="635">
        <f t="shared" si="417"/>
        <v>0</v>
      </c>
    </row>
    <row r="13371" spans="6:10" ht="30" hidden="1">
      <c r="F13371" s="555">
        <v>495</v>
      </c>
      <c r="G13371" s="550" t="s">
        <v>4178</v>
      </c>
      <c r="J13371" s="635">
        <f t="shared" si="417"/>
        <v>0</v>
      </c>
    </row>
    <row r="13372" spans="6:10" ht="30" hidden="1">
      <c r="F13372" s="555">
        <v>496</v>
      </c>
      <c r="G13372" s="550" t="s">
        <v>4179</v>
      </c>
      <c r="J13372" s="635">
        <f t="shared" si="417"/>
        <v>0</v>
      </c>
    </row>
    <row r="13373" spans="6:10" hidden="1">
      <c r="F13373" s="555">
        <v>499</v>
      </c>
      <c r="G13373" s="550" t="s">
        <v>4180</v>
      </c>
      <c r="J13373" s="635">
        <f t="shared" si="417"/>
        <v>0</v>
      </c>
    </row>
    <row r="13374" spans="6:10" hidden="1">
      <c r="F13374" s="555">
        <v>511</v>
      </c>
      <c r="G13374" s="552" t="s">
        <v>4200</v>
      </c>
      <c r="J13374" s="635">
        <f t="shared" si="417"/>
        <v>0</v>
      </c>
    </row>
    <row r="13375" spans="6:10" hidden="1">
      <c r="F13375" s="555">
        <v>512</v>
      </c>
      <c r="G13375" s="552" t="s">
        <v>4201</v>
      </c>
      <c r="J13375" s="635">
        <f t="shared" si="417"/>
        <v>0</v>
      </c>
    </row>
    <row r="13376" spans="6:10" hidden="1">
      <c r="F13376" s="555">
        <v>513</v>
      </c>
      <c r="G13376" s="552" t="s">
        <v>4202</v>
      </c>
      <c r="J13376" s="635">
        <f t="shared" si="417"/>
        <v>0</v>
      </c>
    </row>
    <row r="13377" spans="5:10" hidden="1">
      <c r="F13377" s="555">
        <v>514</v>
      </c>
      <c r="G13377" s="550" t="s">
        <v>4203</v>
      </c>
      <c r="J13377" s="635">
        <f t="shared" si="417"/>
        <v>0</v>
      </c>
    </row>
    <row r="13378" spans="5:10" hidden="1">
      <c r="F13378" s="555">
        <v>515</v>
      </c>
      <c r="G13378" s="550" t="s">
        <v>3838</v>
      </c>
      <c r="J13378" s="635">
        <f t="shared" si="417"/>
        <v>0</v>
      </c>
    </row>
    <row r="13379" spans="5:10" hidden="1">
      <c r="F13379" s="555">
        <v>521</v>
      </c>
      <c r="G13379" s="550" t="s">
        <v>4204</v>
      </c>
      <c r="J13379" s="635">
        <f t="shared" si="417"/>
        <v>0</v>
      </c>
    </row>
    <row r="13380" spans="5:10" hidden="1">
      <c r="F13380" s="555">
        <v>522</v>
      </c>
      <c r="G13380" s="550" t="s">
        <v>4205</v>
      </c>
      <c r="J13380" s="635">
        <f t="shared" si="417"/>
        <v>0</v>
      </c>
    </row>
    <row r="13381" spans="5:10" hidden="1">
      <c r="F13381" s="555">
        <v>523</v>
      </c>
      <c r="G13381" s="550" t="s">
        <v>3843</v>
      </c>
      <c r="J13381" s="635">
        <f t="shared" si="417"/>
        <v>0</v>
      </c>
    </row>
    <row r="13382" spans="5:10" hidden="1">
      <c r="F13382" s="555">
        <v>531</v>
      </c>
      <c r="G13382" s="547" t="s">
        <v>4181</v>
      </c>
      <c r="J13382" s="635">
        <f t="shared" si="417"/>
        <v>0</v>
      </c>
    </row>
    <row r="13383" spans="5:10" hidden="1">
      <c r="F13383" s="555">
        <v>541</v>
      </c>
      <c r="G13383" s="550" t="s">
        <v>4206</v>
      </c>
      <c r="J13383" s="635">
        <f t="shared" si="417"/>
        <v>0</v>
      </c>
    </row>
    <row r="13384" spans="5:10" hidden="1">
      <c r="F13384" s="555">
        <v>542</v>
      </c>
      <c r="G13384" s="550" t="s">
        <v>4207</v>
      </c>
      <c r="J13384" s="635">
        <f t="shared" si="417"/>
        <v>0</v>
      </c>
    </row>
    <row r="13385" spans="5:10" hidden="1">
      <c r="F13385" s="555">
        <v>543</v>
      </c>
      <c r="G13385" s="550" t="s">
        <v>3848</v>
      </c>
      <c r="J13385" s="635">
        <f t="shared" si="417"/>
        <v>0</v>
      </c>
    </row>
    <row r="13386" spans="5:10" ht="30" hidden="1">
      <c r="F13386" s="555">
        <v>551</v>
      </c>
      <c r="G13386" s="550" t="s">
        <v>4182</v>
      </c>
      <c r="J13386" s="635">
        <f t="shared" si="417"/>
        <v>0</v>
      </c>
    </row>
    <row r="13387" spans="5:10" hidden="1">
      <c r="F13387" s="556">
        <v>611</v>
      </c>
      <c r="G13387" s="554" t="s">
        <v>3854</v>
      </c>
      <c r="J13387" s="635">
        <f t="shared" si="417"/>
        <v>0</v>
      </c>
    </row>
    <row r="13388" spans="5:10" ht="15.75" hidden="1" thickBot="1">
      <c r="F13388" s="556">
        <v>620</v>
      </c>
      <c r="G13388" s="554" t="s">
        <v>88</v>
      </c>
      <c r="J13388" s="635">
        <f t="shared" si="417"/>
        <v>0</v>
      </c>
    </row>
    <row r="13389" spans="5:10" hidden="1">
      <c r="E13389" s="548"/>
      <c r="F13389" s="556"/>
      <c r="G13389" s="371" t="s">
        <v>4370</v>
      </c>
      <c r="H13389" s="636"/>
      <c r="I13389" s="662"/>
      <c r="J13389" s="637"/>
    </row>
    <row r="13390" spans="5:10" hidden="1">
      <c r="E13390" s="267"/>
      <c r="F13390" s="294" t="s">
        <v>234</v>
      </c>
      <c r="G13390" s="297" t="s">
        <v>235</v>
      </c>
      <c r="H13390" s="638">
        <f>SUM(H13329:H13388)</f>
        <v>0</v>
      </c>
      <c r="I13390" s="639"/>
      <c r="J13390" s="639">
        <f>SUM(H13390:I13390)</f>
        <v>0</v>
      </c>
    </row>
    <row r="13391" spans="5:10" hidden="1">
      <c r="F13391" s="294" t="s">
        <v>236</v>
      </c>
      <c r="G13391" s="297" t="s">
        <v>237</v>
      </c>
      <c r="J13391" s="639">
        <f t="shared" ref="J13391:J13405" si="418">SUM(H13391:I13391)</f>
        <v>0</v>
      </c>
    </row>
    <row r="13392" spans="5:10" hidden="1">
      <c r="F13392" s="294" t="s">
        <v>238</v>
      </c>
      <c r="G13392" s="297" t="s">
        <v>239</v>
      </c>
      <c r="J13392" s="639">
        <f t="shared" si="418"/>
        <v>0</v>
      </c>
    </row>
    <row r="13393" spans="5:10" hidden="1">
      <c r="F13393" s="294" t="s">
        <v>240</v>
      </c>
      <c r="G13393" s="297" t="s">
        <v>241</v>
      </c>
      <c r="J13393" s="639">
        <f t="shared" si="418"/>
        <v>0</v>
      </c>
    </row>
    <row r="13394" spans="5:10" hidden="1">
      <c r="F13394" s="294" t="s">
        <v>242</v>
      </c>
      <c r="G13394" s="297" t="s">
        <v>243</v>
      </c>
      <c r="J13394" s="639">
        <f t="shared" si="418"/>
        <v>0</v>
      </c>
    </row>
    <row r="13395" spans="5:10" hidden="1">
      <c r="F13395" s="294" t="s">
        <v>244</v>
      </c>
      <c r="G13395" s="297" t="s">
        <v>245</v>
      </c>
      <c r="J13395" s="639">
        <f t="shared" si="418"/>
        <v>0</v>
      </c>
    </row>
    <row r="13396" spans="5:10" hidden="1">
      <c r="F13396" s="294" t="s">
        <v>246</v>
      </c>
      <c r="G13396" s="683" t="s">
        <v>5121</v>
      </c>
      <c r="J13396" s="639">
        <f t="shared" si="418"/>
        <v>0</v>
      </c>
    </row>
    <row r="13397" spans="5:10" hidden="1">
      <c r="F13397" s="294" t="s">
        <v>247</v>
      </c>
      <c r="G13397" s="683" t="s">
        <v>5120</v>
      </c>
      <c r="J13397" s="639">
        <f t="shared" si="418"/>
        <v>0</v>
      </c>
    </row>
    <row r="13398" spans="5:10" hidden="1">
      <c r="F13398" s="294" t="s">
        <v>248</v>
      </c>
      <c r="G13398" s="297" t="s">
        <v>57</v>
      </c>
      <c r="J13398" s="639">
        <f t="shared" si="418"/>
        <v>0</v>
      </c>
    </row>
    <row r="13399" spans="5:10" hidden="1">
      <c r="F13399" s="294" t="s">
        <v>249</v>
      </c>
      <c r="G13399" s="297" t="s">
        <v>250</v>
      </c>
      <c r="J13399" s="639">
        <f t="shared" si="418"/>
        <v>0</v>
      </c>
    </row>
    <row r="13400" spans="5:10" hidden="1">
      <c r="F13400" s="294" t="s">
        <v>251</v>
      </c>
      <c r="G13400" s="297" t="s">
        <v>252</v>
      </c>
      <c r="J13400" s="639">
        <f t="shared" si="418"/>
        <v>0</v>
      </c>
    </row>
    <row r="13401" spans="5:10" hidden="1">
      <c r="F13401" s="294" t="s">
        <v>253</v>
      </c>
      <c r="G13401" s="297" t="s">
        <v>254</v>
      </c>
      <c r="J13401" s="639">
        <f t="shared" si="418"/>
        <v>0</v>
      </c>
    </row>
    <row r="13402" spans="5:10" hidden="1">
      <c r="F13402" s="294" t="s">
        <v>255</v>
      </c>
      <c r="G13402" s="297" t="s">
        <v>256</v>
      </c>
      <c r="J13402" s="639">
        <f t="shared" si="418"/>
        <v>0</v>
      </c>
    </row>
    <row r="13403" spans="5:10" hidden="1">
      <c r="F13403" s="294" t="s">
        <v>257</v>
      </c>
      <c r="G13403" s="297" t="s">
        <v>258</v>
      </c>
      <c r="J13403" s="639">
        <f t="shared" si="418"/>
        <v>0</v>
      </c>
    </row>
    <row r="13404" spans="5:10" hidden="1">
      <c r="F13404" s="294" t="s">
        <v>259</v>
      </c>
      <c r="G13404" s="297" t="s">
        <v>260</v>
      </c>
      <c r="J13404" s="639">
        <f t="shared" si="418"/>
        <v>0</v>
      </c>
    </row>
    <row r="13405" spans="5:10" ht="15.75" hidden="1" thickBot="1">
      <c r="F13405" s="294" t="s">
        <v>261</v>
      </c>
      <c r="G13405" s="297" t="s">
        <v>262</v>
      </c>
      <c r="H13405" s="638"/>
      <c r="I13405" s="639"/>
      <c r="J13405" s="639">
        <f t="shared" si="418"/>
        <v>0</v>
      </c>
    </row>
    <row r="13406" spans="5:10" ht="15.75" hidden="1" thickBot="1">
      <c r="G13406" s="274" t="s">
        <v>4371</v>
      </c>
      <c r="H13406" s="640">
        <f>SUM(H13390:H13405)</f>
        <v>0</v>
      </c>
      <c r="I13406" s="641">
        <f>SUM(I13391:I13405)</f>
        <v>0</v>
      </c>
      <c r="J13406" s="641">
        <f>SUM(J13390:J13405)</f>
        <v>0</v>
      </c>
    </row>
    <row r="13407" spans="5:10" hidden="1" collapsed="1">
      <c r="E13407" s="548"/>
      <c r="F13407" s="556"/>
      <c r="G13407" s="276" t="s">
        <v>4466</v>
      </c>
      <c r="H13407" s="642"/>
      <c r="I13407" s="663"/>
      <c r="J13407" s="643"/>
    </row>
    <row r="13408" spans="5:10" hidden="1">
      <c r="E13408" s="267"/>
      <c r="F13408" s="294" t="s">
        <v>234</v>
      </c>
      <c r="G13408" s="297" t="s">
        <v>235</v>
      </c>
      <c r="H13408" s="638">
        <f>SUM(H13329:H13388)</f>
        <v>0</v>
      </c>
      <c r="I13408" s="639"/>
      <c r="J13408" s="639">
        <f>SUM(H13408:I13408)</f>
        <v>0</v>
      </c>
    </row>
    <row r="13409" spans="6:10" hidden="1">
      <c r="F13409" s="294" t="s">
        <v>236</v>
      </c>
      <c r="G13409" s="297" t="s">
        <v>237</v>
      </c>
      <c r="J13409" s="639">
        <f t="shared" ref="J13409:J13423" si="419">SUM(H13409:I13409)</f>
        <v>0</v>
      </c>
    </row>
    <row r="13410" spans="6:10" hidden="1">
      <c r="F13410" s="294" t="s">
        <v>238</v>
      </c>
      <c r="G13410" s="297" t="s">
        <v>239</v>
      </c>
      <c r="J13410" s="639">
        <f t="shared" si="419"/>
        <v>0</v>
      </c>
    </row>
    <row r="13411" spans="6:10" hidden="1">
      <c r="F13411" s="294" t="s">
        <v>240</v>
      </c>
      <c r="G13411" s="297" t="s">
        <v>241</v>
      </c>
      <c r="J13411" s="639">
        <f t="shared" si="419"/>
        <v>0</v>
      </c>
    </row>
    <row r="13412" spans="6:10" hidden="1">
      <c r="F13412" s="294" t="s">
        <v>242</v>
      </c>
      <c r="G13412" s="297" t="s">
        <v>243</v>
      </c>
      <c r="J13412" s="639">
        <f t="shared" si="419"/>
        <v>0</v>
      </c>
    </row>
    <row r="13413" spans="6:10" hidden="1">
      <c r="F13413" s="294" t="s">
        <v>244</v>
      </c>
      <c r="G13413" s="297" t="s">
        <v>245</v>
      </c>
      <c r="J13413" s="639">
        <f t="shared" si="419"/>
        <v>0</v>
      </c>
    </row>
    <row r="13414" spans="6:10" hidden="1">
      <c r="F13414" s="294" t="s">
        <v>246</v>
      </c>
      <c r="G13414" s="683" t="s">
        <v>5121</v>
      </c>
      <c r="J13414" s="639">
        <f t="shared" si="419"/>
        <v>0</v>
      </c>
    </row>
    <row r="13415" spans="6:10" hidden="1">
      <c r="F13415" s="294" t="s">
        <v>247</v>
      </c>
      <c r="G13415" s="683" t="s">
        <v>5120</v>
      </c>
      <c r="J13415" s="639">
        <f t="shared" si="419"/>
        <v>0</v>
      </c>
    </row>
    <row r="13416" spans="6:10" hidden="1">
      <c r="F13416" s="294" t="s">
        <v>248</v>
      </c>
      <c r="G13416" s="297" t="s">
        <v>57</v>
      </c>
      <c r="J13416" s="639">
        <f t="shared" si="419"/>
        <v>0</v>
      </c>
    </row>
    <row r="13417" spans="6:10" hidden="1">
      <c r="F13417" s="294" t="s">
        <v>249</v>
      </c>
      <c r="G13417" s="297" t="s">
        <v>250</v>
      </c>
      <c r="J13417" s="639">
        <f t="shared" si="419"/>
        <v>0</v>
      </c>
    </row>
    <row r="13418" spans="6:10" hidden="1">
      <c r="F13418" s="294" t="s">
        <v>251</v>
      </c>
      <c r="G13418" s="297" t="s">
        <v>252</v>
      </c>
      <c r="J13418" s="639">
        <f t="shared" si="419"/>
        <v>0</v>
      </c>
    </row>
    <row r="13419" spans="6:10" hidden="1">
      <c r="F13419" s="294" t="s">
        <v>253</v>
      </c>
      <c r="G13419" s="297" t="s">
        <v>254</v>
      </c>
      <c r="J13419" s="639">
        <f t="shared" si="419"/>
        <v>0</v>
      </c>
    </row>
    <row r="13420" spans="6:10" hidden="1">
      <c r="F13420" s="294" t="s">
        <v>255</v>
      </c>
      <c r="G13420" s="297" t="s">
        <v>256</v>
      </c>
      <c r="J13420" s="639">
        <f t="shared" si="419"/>
        <v>0</v>
      </c>
    </row>
    <row r="13421" spans="6:10" hidden="1">
      <c r="F13421" s="294" t="s">
        <v>257</v>
      </c>
      <c r="G13421" s="297" t="s">
        <v>258</v>
      </c>
      <c r="J13421" s="639">
        <f t="shared" si="419"/>
        <v>0</v>
      </c>
    </row>
    <row r="13422" spans="6:10" hidden="1">
      <c r="F13422" s="294" t="s">
        <v>259</v>
      </c>
      <c r="G13422" s="297" t="s">
        <v>260</v>
      </c>
      <c r="J13422" s="639">
        <f t="shared" si="419"/>
        <v>0</v>
      </c>
    </row>
    <row r="13423" spans="6:10" ht="15.75" hidden="1" thickBot="1">
      <c r="F13423" s="294" t="s">
        <v>261</v>
      </c>
      <c r="G13423" s="297" t="s">
        <v>262</v>
      </c>
      <c r="H13423" s="638"/>
      <c r="I13423" s="639"/>
      <c r="J13423" s="639">
        <f t="shared" si="419"/>
        <v>0</v>
      </c>
    </row>
    <row r="13424" spans="6:10" ht="15.75" hidden="1" collapsed="1" thickBot="1">
      <c r="G13424" s="274" t="s">
        <v>4467</v>
      </c>
      <c r="H13424" s="640">
        <f>SUM(H13408:H13423)</f>
        <v>0</v>
      </c>
      <c r="I13424" s="641">
        <f>SUM(I13409:I13423)</f>
        <v>0</v>
      </c>
      <c r="J13424" s="641">
        <f>SUM(J13408:J13423)</f>
        <v>0</v>
      </c>
    </row>
    <row r="13425" spans="1:25" hidden="1">
      <c r="G13425" s="331"/>
      <c r="H13425" s="644"/>
      <c r="I13425" s="645"/>
      <c r="J13425" s="645"/>
    </row>
    <row r="13426" spans="1:25" hidden="1">
      <c r="C13426" s="273" t="s">
        <v>4124</v>
      </c>
      <c r="D13426" s="264"/>
      <c r="G13426" s="553" t="s">
        <v>4125</v>
      </c>
    </row>
    <row r="13427" spans="1:25" s="88" customFormat="1" hidden="1">
      <c r="A13427" s="551"/>
      <c r="B13427" s="301"/>
      <c r="C13427" s="361"/>
      <c r="D13427" s="381" t="s">
        <v>3892</v>
      </c>
      <c r="E13427" s="382"/>
      <c r="F13427" s="380"/>
      <c r="G13427" s="359" t="s">
        <v>103</v>
      </c>
      <c r="H13427" s="667"/>
      <c r="I13427" s="650"/>
      <c r="J13427" s="668"/>
      <c r="K13427" s="575"/>
      <c r="L13427" s="575"/>
      <c r="M13427" s="575"/>
      <c r="N13427" s="575"/>
      <c r="O13427" s="575"/>
      <c r="P13427" s="575"/>
      <c r="Q13427" s="575"/>
      <c r="R13427" s="575"/>
      <c r="S13427" s="575"/>
      <c r="T13427" s="575"/>
      <c r="U13427" s="575"/>
      <c r="V13427" s="575"/>
      <c r="W13427" s="575"/>
      <c r="X13427" s="575"/>
      <c r="Y13427" s="575"/>
    </row>
    <row r="13428" spans="1:25" hidden="1">
      <c r="F13428" s="555">
        <v>411</v>
      </c>
      <c r="G13428" s="550" t="s">
        <v>4173</v>
      </c>
      <c r="J13428" s="635">
        <f>SUM(H13428:I13428)</f>
        <v>0</v>
      </c>
    </row>
    <row r="13429" spans="1:25" hidden="1">
      <c r="F13429" s="555">
        <v>412</v>
      </c>
      <c r="G13429" s="547" t="s">
        <v>3770</v>
      </c>
      <c r="J13429" s="635">
        <f t="shared" ref="J13429:J13487" si="420">SUM(H13429:I13429)</f>
        <v>0</v>
      </c>
    </row>
    <row r="13430" spans="1:25" hidden="1">
      <c r="F13430" s="555">
        <v>413</v>
      </c>
      <c r="G13430" s="550" t="s">
        <v>4174</v>
      </c>
      <c r="J13430" s="635">
        <f t="shared" si="420"/>
        <v>0</v>
      </c>
    </row>
    <row r="13431" spans="1:25" hidden="1">
      <c r="F13431" s="555">
        <v>414</v>
      </c>
      <c r="G13431" s="550" t="s">
        <v>3773</v>
      </c>
      <c r="J13431" s="635">
        <f t="shared" si="420"/>
        <v>0</v>
      </c>
    </row>
    <row r="13432" spans="1:25" hidden="1">
      <c r="F13432" s="555">
        <v>415</v>
      </c>
      <c r="G13432" s="550" t="s">
        <v>4183</v>
      </c>
      <c r="J13432" s="635">
        <f t="shared" si="420"/>
        <v>0</v>
      </c>
    </row>
    <row r="13433" spans="1:25" hidden="1">
      <c r="F13433" s="555">
        <v>416</v>
      </c>
      <c r="G13433" s="550" t="s">
        <v>4184</v>
      </c>
      <c r="J13433" s="635">
        <f t="shared" si="420"/>
        <v>0</v>
      </c>
    </row>
    <row r="13434" spans="1:25" hidden="1">
      <c r="F13434" s="555">
        <v>417</v>
      </c>
      <c r="G13434" s="550" t="s">
        <v>4185</v>
      </c>
      <c r="J13434" s="635">
        <f t="shared" si="420"/>
        <v>0</v>
      </c>
    </row>
    <row r="13435" spans="1:25" hidden="1">
      <c r="F13435" s="555">
        <v>418</v>
      </c>
      <c r="G13435" s="550" t="s">
        <v>3779</v>
      </c>
      <c r="J13435" s="635">
        <f t="shared" si="420"/>
        <v>0</v>
      </c>
    </row>
    <row r="13436" spans="1:25" hidden="1">
      <c r="F13436" s="555">
        <v>421</v>
      </c>
      <c r="G13436" s="550" t="s">
        <v>3783</v>
      </c>
      <c r="J13436" s="635">
        <f t="shared" si="420"/>
        <v>0</v>
      </c>
    </row>
    <row r="13437" spans="1:25" hidden="1">
      <c r="F13437" s="555">
        <v>422</v>
      </c>
      <c r="G13437" s="550" t="s">
        <v>3784</v>
      </c>
      <c r="J13437" s="635">
        <f t="shared" si="420"/>
        <v>0</v>
      </c>
    </row>
    <row r="13438" spans="1:25" hidden="1">
      <c r="F13438" s="555">
        <v>423</v>
      </c>
      <c r="G13438" s="550" t="s">
        <v>3785</v>
      </c>
      <c r="J13438" s="635">
        <f t="shared" si="420"/>
        <v>0</v>
      </c>
    </row>
    <row r="13439" spans="1:25" hidden="1">
      <c r="F13439" s="555">
        <v>424</v>
      </c>
      <c r="G13439" s="550" t="s">
        <v>3787</v>
      </c>
      <c r="J13439" s="635">
        <f t="shared" si="420"/>
        <v>0</v>
      </c>
    </row>
    <row r="13440" spans="1:25" hidden="1">
      <c r="F13440" s="555">
        <v>425</v>
      </c>
      <c r="G13440" s="550" t="s">
        <v>4186</v>
      </c>
      <c r="J13440" s="635">
        <f t="shared" si="420"/>
        <v>0</v>
      </c>
    </row>
    <row r="13441" spans="6:10" hidden="1">
      <c r="F13441" s="555">
        <v>426</v>
      </c>
      <c r="G13441" s="550" t="s">
        <v>3791</v>
      </c>
      <c r="J13441" s="635">
        <f t="shared" si="420"/>
        <v>0</v>
      </c>
    </row>
    <row r="13442" spans="6:10" hidden="1">
      <c r="F13442" s="555">
        <v>431</v>
      </c>
      <c r="G13442" s="550" t="s">
        <v>4187</v>
      </c>
      <c r="J13442" s="635">
        <f t="shared" si="420"/>
        <v>0</v>
      </c>
    </row>
    <row r="13443" spans="6:10" hidden="1">
      <c r="F13443" s="555">
        <v>432</v>
      </c>
      <c r="G13443" s="550" t="s">
        <v>4188</v>
      </c>
      <c r="J13443" s="635">
        <f t="shared" si="420"/>
        <v>0</v>
      </c>
    </row>
    <row r="13444" spans="6:10" hidden="1">
      <c r="F13444" s="555">
        <v>433</v>
      </c>
      <c r="G13444" s="550" t="s">
        <v>4189</v>
      </c>
      <c r="J13444" s="635">
        <f t="shared" si="420"/>
        <v>0</v>
      </c>
    </row>
    <row r="13445" spans="6:10" hidden="1">
      <c r="F13445" s="555">
        <v>434</v>
      </c>
      <c r="G13445" s="550" t="s">
        <v>4190</v>
      </c>
      <c r="J13445" s="635">
        <f t="shared" si="420"/>
        <v>0</v>
      </c>
    </row>
    <row r="13446" spans="6:10" hidden="1">
      <c r="F13446" s="555">
        <v>435</v>
      </c>
      <c r="G13446" s="550" t="s">
        <v>3798</v>
      </c>
      <c r="J13446" s="635">
        <f t="shared" si="420"/>
        <v>0</v>
      </c>
    </row>
    <row r="13447" spans="6:10" hidden="1">
      <c r="F13447" s="555">
        <v>441</v>
      </c>
      <c r="G13447" s="550" t="s">
        <v>4191</v>
      </c>
      <c r="J13447" s="635">
        <f t="shared" si="420"/>
        <v>0</v>
      </c>
    </row>
    <row r="13448" spans="6:10" hidden="1">
      <c r="F13448" s="555">
        <v>442</v>
      </c>
      <c r="G13448" s="550" t="s">
        <v>4192</v>
      </c>
      <c r="J13448" s="635">
        <f t="shared" si="420"/>
        <v>0</v>
      </c>
    </row>
    <row r="13449" spans="6:10" hidden="1">
      <c r="F13449" s="555">
        <v>443</v>
      </c>
      <c r="G13449" s="550" t="s">
        <v>3803</v>
      </c>
      <c r="J13449" s="635">
        <f t="shared" si="420"/>
        <v>0</v>
      </c>
    </row>
    <row r="13450" spans="6:10" hidden="1">
      <c r="F13450" s="555">
        <v>444</v>
      </c>
      <c r="G13450" s="550" t="s">
        <v>3804</v>
      </c>
      <c r="J13450" s="635">
        <f t="shared" si="420"/>
        <v>0</v>
      </c>
    </row>
    <row r="13451" spans="6:10" ht="30" hidden="1">
      <c r="F13451" s="555">
        <v>4511</v>
      </c>
      <c r="G13451" s="268" t="s">
        <v>1690</v>
      </c>
      <c r="J13451" s="635">
        <f t="shared" si="420"/>
        <v>0</v>
      </c>
    </row>
    <row r="13452" spans="6:10" ht="30" hidden="1">
      <c r="F13452" s="555">
        <v>4512</v>
      </c>
      <c r="G13452" s="268" t="s">
        <v>1699</v>
      </c>
      <c r="J13452" s="635">
        <f t="shared" si="420"/>
        <v>0</v>
      </c>
    </row>
    <row r="13453" spans="6:10" hidden="1">
      <c r="F13453" s="555">
        <v>452</v>
      </c>
      <c r="G13453" s="550" t="s">
        <v>4193</v>
      </c>
      <c r="J13453" s="635">
        <f t="shared" si="420"/>
        <v>0</v>
      </c>
    </row>
    <row r="13454" spans="6:10" hidden="1">
      <c r="F13454" s="555">
        <v>453</v>
      </c>
      <c r="G13454" s="550" t="s">
        <v>4194</v>
      </c>
      <c r="J13454" s="635">
        <f t="shared" si="420"/>
        <v>0</v>
      </c>
    </row>
    <row r="13455" spans="6:10" hidden="1">
      <c r="F13455" s="555">
        <v>454</v>
      </c>
      <c r="G13455" s="550" t="s">
        <v>3809</v>
      </c>
      <c r="J13455" s="635">
        <f t="shared" si="420"/>
        <v>0</v>
      </c>
    </row>
    <row r="13456" spans="6:10" hidden="1">
      <c r="F13456" s="555">
        <v>461</v>
      </c>
      <c r="G13456" s="550" t="s">
        <v>4175</v>
      </c>
      <c r="J13456" s="635">
        <f t="shared" si="420"/>
        <v>0</v>
      </c>
    </row>
    <row r="13457" spans="6:10" hidden="1">
      <c r="F13457" s="555">
        <v>462</v>
      </c>
      <c r="G13457" s="550" t="s">
        <v>3812</v>
      </c>
      <c r="J13457" s="635">
        <f t="shared" si="420"/>
        <v>0</v>
      </c>
    </row>
    <row r="13458" spans="6:10" hidden="1">
      <c r="F13458" s="555">
        <v>4631</v>
      </c>
      <c r="G13458" s="550" t="s">
        <v>3813</v>
      </c>
      <c r="J13458" s="635">
        <f t="shared" si="420"/>
        <v>0</v>
      </c>
    </row>
    <row r="13459" spans="6:10" hidden="1">
      <c r="F13459" s="555">
        <v>4632</v>
      </c>
      <c r="G13459" s="550" t="s">
        <v>3814</v>
      </c>
      <c r="J13459" s="635">
        <f t="shared" si="420"/>
        <v>0</v>
      </c>
    </row>
    <row r="13460" spans="6:10" hidden="1">
      <c r="F13460" s="555">
        <v>464</v>
      </c>
      <c r="G13460" s="550" t="s">
        <v>3815</v>
      </c>
      <c r="J13460" s="635">
        <f t="shared" si="420"/>
        <v>0</v>
      </c>
    </row>
    <row r="13461" spans="6:10" hidden="1">
      <c r="F13461" s="555">
        <v>465</v>
      </c>
      <c r="G13461" s="550" t="s">
        <v>4176</v>
      </c>
      <c r="J13461" s="635">
        <f t="shared" si="420"/>
        <v>0</v>
      </c>
    </row>
    <row r="13462" spans="6:10" hidden="1">
      <c r="F13462" s="555">
        <v>472</v>
      </c>
      <c r="G13462" s="550" t="s">
        <v>3819</v>
      </c>
      <c r="J13462" s="635">
        <f t="shared" si="420"/>
        <v>0</v>
      </c>
    </row>
    <row r="13463" spans="6:10" hidden="1">
      <c r="F13463" s="555">
        <v>481</v>
      </c>
      <c r="G13463" s="550" t="s">
        <v>4195</v>
      </c>
      <c r="J13463" s="635">
        <f t="shared" si="420"/>
        <v>0</v>
      </c>
    </row>
    <row r="13464" spans="6:10" hidden="1">
      <c r="F13464" s="555">
        <v>482</v>
      </c>
      <c r="G13464" s="550" t="s">
        <v>4196</v>
      </c>
      <c r="J13464" s="635">
        <f t="shared" si="420"/>
        <v>0</v>
      </c>
    </row>
    <row r="13465" spans="6:10" hidden="1">
      <c r="F13465" s="555">
        <v>483</v>
      </c>
      <c r="G13465" s="552" t="s">
        <v>4197</v>
      </c>
      <c r="J13465" s="635">
        <f t="shared" si="420"/>
        <v>0</v>
      </c>
    </row>
    <row r="13466" spans="6:10" ht="30" hidden="1">
      <c r="F13466" s="555">
        <v>484</v>
      </c>
      <c r="G13466" s="550" t="s">
        <v>4198</v>
      </c>
      <c r="J13466" s="635">
        <f t="shared" si="420"/>
        <v>0</v>
      </c>
    </row>
    <row r="13467" spans="6:10" ht="30" hidden="1">
      <c r="F13467" s="555">
        <v>485</v>
      </c>
      <c r="G13467" s="550" t="s">
        <v>4199</v>
      </c>
      <c r="J13467" s="635">
        <f t="shared" si="420"/>
        <v>0</v>
      </c>
    </row>
    <row r="13468" spans="6:10" ht="30" hidden="1">
      <c r="F13468" s="555">
        <v>489</v>
      </c>
      <c r="G13468" s="550" t="s">
        <v>3827</v>
      </c>
      <c r="J13468" s="635">
        <f t="shared" si="420"/>
        <v>0</v>
      </c>
    </row>
    <row r="13469" spans="6:10" hidden="1">
      <c r="F13469" s="555">
        <v>494</v>
      </c>
      <c r="G13469" s="550" t="s">
        <v>4177</v>
      </c>
      <c r="J13469" s="635">
        <f t="shared" si="420"/>
        <v>0</v>
      </c>
    </row>
    <row r="13470" spans="6:10" ht="30" hidden="1">
      <c r="F13470" s="555">
        <v>495</v>
      </c>
      <c r="G13470" s="550" t="s">
        <v>4178</v>
      </c>
      <c r="J13470" s="635">
        <f t="shared" si="420"/>
        <v>0</v>
      </c>
    </row>
    <row r="13471" spans="6:10" ht="30" hidden="1">
      <c r="F13471" s="555">
        <v>496</v>
      </c>
      <c r="G13471" s="550" t="s">
        <v>4179</v>
      </c>
      <c r="J13471" s="635">
        <f t="shared" si="420"/>
        <v>0</v>
      </c>
    </row>
    <row r="13472" spans="6:10" hidden="1">
      <c r="F13472" s="555">
        <v>499</v>
      </c>
      <c r="G13472" s="550" t="s">
        <v>4180</v>
      </c>
      <c r="J13472" s="635">
        <f t="shared" si="420"/>
        <v>0</v>
      </c>
    </row>
    <row r="13473" spans="5:10" hidden="1">
      <c r="F13473" s="555">
        <v>511</v>
      </c>
      <c r="G13473" s="552" t="s">
        <v>4200</v>
      </c>
      <c r="J13473" s="635">
        <f t="shared" si="420"/>
        <v>0</v>
      </c>
    </row>
    <row r="13474" spans="5:10" hidden="1">
      <c r="F13474" s="555">
        <v>512</v>
      </c>
      <c r="G13474" s="552" t="s">
        <v>4201</v>
      </c>
      <c r="J13474" s="635">
        <f t="shared" si="420"/>
        <v>0</v>
      </c>
    </row>
    <row r="13475" spans="5:10" hidden="1">
      <c r="F13475" s="555">
        <v>513</v>
      </c>
      <c r="G13475" s="552" t="s">
        <v>4202</v>
      </c>
      <c r="J13475" s="635">
        <f t="shared" si="420"/>
        <v>0</v>
      </c>
    </row>
    <row r="13476" spans="5:10" hidden="1">
      <c r="F13476" s="555">
        <v>514</v>
      </c>
      <c r="G13476" s="550" t="s">
        <v>4203</v>
      </c>
      <c r="J13476" s="635">
        <f t="shared" si="420"/>
        <v>0</v>
      </c>
    </row>
    <row r="13477" spans="5:10" hidden="1">
      <c r="F13477" s="555">
        <v>515</v>
      </c>
      <c r="G13477" s="550" t="s">
        <v>3838</v>
      </c>
      <c r="J13477" s="635">
        <f t="shared" si="420"/>
        <v>0</v>
      </c>
    </row>
    <row r="13478" spans="5:10" hidden="1">
      <c r="F13478" s="555">
        <v>521</v>
      </c>
      <c r="G13478" s="550" t="s">
        <v>4204</v>
      </c>
      <c r="J13478" s="635">
        <f t="shared" si="420"/>
        <v>0</v>
      </c>
    </row>
    <row r="13479" spans="5:10" hidden="1">
      <c r="F13479" s="555">
        <v>522</v>
      </c>
      <c r="G13479" s="550" t="s">
        <v>4205</v>
      </c>
      <c r="J13479" s="635">
        <f t="shared" si="420"/>
        <v>0</v>
      </c>
    </row>
    <row r="13480" spans="5:10" hidden="1">
      <c r="F13480" s="555">
        <v>523</v>
      </c>
      <c r="G13480" s="550" t="s">
        <v>3843</v>
      </c>
      <c r="J13480" s="635">
        <f t="shared" si="420"/>
        <v>0</v>
      </c>
    </row>
    <row r="13481" spans="5:10" hidden="1">
      <c r="F13481" s="555">
        <v>531</v>
      </c>
      <c r="G13481" s="547" t="s">
        <v>4181</v>
      </c>
      <c r="J13481" s="635">
        <f t="shared" si="420"/>
        <v>0</v>
      </c>
    </row>
    <row r="13482" spans="5:10" hidden="1">
      <c r="F13482" s="555">
        <v>541</v>
      </c>
      <c r="G13482" s="550" t="s">
        <v>4206</v>
      </c>
      <c r="J13482" s="635">
        <f t="shared" si="420"/>
        <v>0</v>
      </c>
    </row>
    <row r="13483" spans="5:10" hidden="1">
      <c r="F13483" s="555">
        <v>542</v>
      </c>
      <c r="G13483" s="550" t="s">
        <v>4207</v>
      </c>
      <c r="J13483" s="635">
        <f t="shared" si="420"/>
        <v>0</v>
      </c>
    </row>
    <row r="13484" spans="5:10" hidden="1">
      <c r="F13484" s="555">
        <v>543</v>
      </c>
      <c r="G13484" s="550" t="s">
        <v>3848</v>
      </c>
      <c r="J13484" s="635">
        <f t="shared" si="420"/>
        <v>0</v>
      </c>
    </row>
    <row r="13485" spans="5:10" ht="30" hidden="1">
      <c r="F13485" s="555">
        <v>551</v>
      </c>
      <c r="G13485" s="550" t="s">
        <v>4182</v>
      </c>
      <c r="J13485" s="635">
        <f t="shared" si="420"/>
        <v>0</v>
      </c>
    </row>
    <row r="13486" spans="5:10" hidden="1">
      <c r="F13486" s="556">
        <v>611</v>
      </c>
      <c r="G13486" s="554" t="s">
        <v>3854</v>
      </c>
      <c r="J13486" s="635">
        <f t="shared" si="420"/>
        <v>0</v>
      </c>
    </row>
    <row r="13487" spans="5:10" ht="15.75" hidden="1" thickBot="1">
      <c r="F13487" s="556">
        <v>620</v>
      </c>
      <c r="G13487" s="554" t="s">
        <v>88</v>
      </c>
      <c r="J13487" s="635">
        <f t="shared" si="420"/>
        <v>0</v>
      </c>
    </row>
    <row r="13488" spans="5:10" hidden="1">
      <c r="E13488" s="548"/>
      <c r="F13488" s="556"/>
      <c r="G13488" s="371" t="s">
        <v>4370</v>
      </c>
      <c r="H13488" s="636"/>
      <c r="I13488" s="662"/>
      <c r="J13488" s="637"/>
    </row>
    <row r="13489" spans="5:10" hidden="1">
      <c r="E13489" s="267"/>
      <c r="F13489" s="294" t="s">
        <v>234</v>
      </c>
      <c r="G13489" s="297" t="s">
        <v>235</v>
      </c>
      <c r="H13489" s="638">
        <f>SUM(H13428:H13487)</f>
        <v>0</v>
      </c>
      <c r="I13489" s="639"/>
      <c r="J13489" s="639">
        <f>SUM(H13489:I13489)</f>
        <v>0</v>
      </c>
    </row>
    <row r="13490" spans="5:10" hidden="1">
      <c r="F13490" s="294" t="s">
        <v>236</v>
      </c>
      <c r="G13490" s="297" t="s">
        <v>237</v>
      </c>
      <c r="J13490" s="639">
        <f t="shared" ref="J13490:J13504" si="421">SUM(H13490:I13490)</f>
        <v>0</v>
      </c>
    </row>
    <row r="13491" spans="5:10" hidden="1">
      <c r="F13491" s="294" t="s">
        <v>238</v>
      </c>
      <c r="G13491" s="297" t="s">
        <v>239</v>
      </c>
      <c r="J13491" s="639">
        <f t="shared" si="421"/>
        <v>0</v>
      </c>
    </row>
    <row r="13492" spans="5:10" hidden="1">
      <c r="F13492" s="294" t="s">
        <v>240</v>
      </c>
      <c r="G13492" s="297" t="s">
        <v>241</v>
      </c>
      <c r="J13492" s="639">
        <f t="shared" si="421"/>
        <v>0</v>
      </c>
    </row>
    <row r="13493" spans="5:10" hidden="1">
      <c r="F13493" s="294" t="s">
        <v>242</v>
      </c>
      <c r="G13493" s="297" t="s">
        <v>243</v>
      </c>
      <c r="J13493" s="639">
        <f t="shared" si="421"/>
        <v>0</v>
      </c>
    </row>
    <row r="13494" spans="5:10" hidden="1">
      <c r="F13494" s="294" t="s">
        <v>244</v>
      </c>
      <c r="G13494" s="297" t="s">
        <v>245</v>
      </c>
      <c r="J13494" s="639">
        <f t="shared" si="421"/>
        <v>0</v>
      </c>
    </row>
    <row r="13495" spans="5:10" hidden="1">
      <c r="F13495" s="294" t="s">
        <v>246</v>
      </c>
      <c r="G13495" s="683" t="s">
        <v>5121</v>
      </c>
      <c r="J13495" s="639">
        <f t="shared" si="421"/>
        <v>0</v>
      </c>
    </row>
    <row r="13496" spans="5:10" hidden="1">
      <c r="F13496" s="294" t="s">
        <v>247</v>
      </c>
      <c r="G13496" s="683" t="s">
        <v>5120</v>
      </c>
      <c r="J13496" s="639">
        <f t="shared" si="421"/>
        <v>0</v>
      </c>
    </row>
    <row r="13497" spans="5:10" hidden="1">
      <c r="F13497" s="294" t="s">
        <v>248</v>
      </c>
      <c r="G13497" s="297" t="s">
        <v>57</v>
      </c>
      <c r="J13497" s="639">
        <f t="shared" si="421"/>
        <v>0</v>
      </c>
    </row>
    <row r="13498" spans="5:10" hidden="1">
      <c r="F13498" s="294" t="s">
        <v>249</v>
      </c>
      <c r="G13498" s="297" t="s">
        <v>250</v>
      </c>
      <c r="J13498" s="639">
        <f t="shared" si="421"/>
        <v>0</v>
      </c>
    </row>
    <row r="13499" spans="5:10" hidden="1">
      <c r="F13499" s="294" t="s">
        <v>251</v>
      </c>
      <c r="G13499" s="297" t="s">
        <v>252</v>
      </c>
      <c r="J13499" s="639">
        <f t="shared" si="421"/>
        <v>0</v>
      </c>
    </row>
    <row r="13500" spans="5:10" hidden="1">
      <c r="F13500" s="294" t="s">
        <v>253</v>
      </c>
      <c r="G13500" s="297" t="s">
        <v>254</v>
      </c>
      <c r="J13500" s="639">
        <f t="shared" si="421"/>
        <v>0</v>
      </c>
    </row>
    <row r="13501" spans="5:10" hidden="1">
      <c r="F13501" s="294" t="s">
        <v>255</v>
      </c>
      <c r="G13501" s="297" t="s">
        <v>256</v>
      </c>
      <c r="J13501" s="639">
        <f t="shared" si="421"/>
        <v>0</v>
      </c>
    </row>
    <row r="13502" spans="5:10" hidden="1">
      <c r="F13502" s="294" t="s">
        <v>257</v>
      </c>
      <c r="G13502" s="297" t="s">
        <v>258</v>
      </c>
      <c r="J13502" s="639">
        <f t="shared" si="421"/>
        <v>0</v>
      </c>
    </row>
    <row r="13503" spans="5:10" hidden="1">
      <c r="F13503" s="294" t="s">
        <v>259</v>
      </c>
      <c r="G13503" s="297" t="s">
        <v>260</v>
      </c>
      <c r="J13503" s="639">
        <f t="shared" si="421"/>
        <v>0</v>
      </c>
    </row>
    <row r="13504" spans="5:10" ht="15.75" hidden="1" thickBot="1">
      <c r="F13504" s="294" t="s">
        <v>261</v>
      </c>
      <c r="G13504" s="297" t="s">
        <v>262</v>
      </c>
      <c r="H13504" s="638"/>
      <c r="I13504" s="639"/>
      <c r="J13504" s="639">
        <f t="shared" si="421"/>
        <v>0</v>
      </c>
    </row>
    <row r="13505" spans="5:10" ht="15.75" hidden="1" thickBot="1">
      <c r="G13505" s="274" t="s">
        <v>4371</v>
      </c>
      <c r="H13505" s="640">
        <f>SUM(H13489:H13504)</f>
        <v>0</v>
      </c>
      <c r="I13505" s="641">
        <f>SUM(I13490:I13504)</f>
        <v>0</v>
      </c>
      <c r="J13505" s="641">
        <f>SUM(J13489:J13504)</f>
        <v>0</v>
      </c>
    </row>
    <row r="13506" spans="5:10" hidden="1" collapsed="1">
      <c r="E13506" s="548"/>
      <c r="F13506" s="556"/>
      <c r="G13506" s="276" t="s">
        <v>4263</v>
      </c>
      <c r="H13506" s="642"/>
      <c r="I13506" s="663"/>
      <c r="J13506" s="643"/>
    </row>
    <row r="13507" spans="5:10" hidden="1">
      <c r="E13507" s="267"/>
      <c r="F13507" s="294" t="s">
        <v>234</v>
      </c>
      <c r="G13507" s="297" t="s">
        <v>235</v>
      </c>
      <c r="H13507" s="638">
        <f>SUM(H13428:H13487)</f>
        <v>0</v>
      </c>
      <c r="I13507" s="639"/>
      <c r="J13507" s="639">
        <f>SUM(H13507:I13507)</f>
        <v>0</v>
      </c>
    </row>
    <row r="13508" spans="5:10" hidden="1">
      <c r="F13508" s="294" t="s">
        <v>236</v>
      </c>
      <c r="G13508" s="297" t="s">
        <v>237</v>
      </c>
      <c r="J13508" s="639">
        <f t="shared" ref="J13508:J13522" si="422">SUM(H13508:I13508)</f>
        <v>0</v>
      </c>
    </row>
    <row r="13509" spans="5:10" hidden="1">
      <c r="F13509" s="294" t="s">
        <v>238</v>
      </c>
      <c r="G13509" s="297" t="s">
        <v>239</v>
      </c>
      <c r="J13509" s="639">
        <f t="shared" si="422"/>
        <v>0</v>
      </c>
    </row>
    <row r="13510" spans="5:10" hidden="1">
      <c r="F13510" s="294" t="s">
        <v>240</v>
      </c>
      <c r="G13510" s="297" t="s">
        <v>241</v>
      </c>
      <c r="J13510" s="639">
        <f t="shared" si="422"/>
        <v>0</v>
      </c>
    </row>
    <row r="13511" spans="5:10" hidden="1">
      <c r="F13511" s="294" t="s">
        <v>242</v>
      </c>
      <c r="G13511" s="297" t="s">
        <v>243</v>
      </c>
      <c r="J13511" s="639">
        <f t="shared" si="422"/>
        <v>0</v>
      </c>
    </row>
    <row r="13512" spans="5:10" hidden="1">
      <c r="F13512" s="294" t="s">
        <v>244</v>
      </c>
      <c r="G13512" s="297" t="s">
        <v>245</v>
      </c>
      <c r="J13512" s="639">
        <f t="shared" si="422"/>
        <v>0</v>
      </c>
    </row>
    <row r="13513" spans="5:10" hidden="1">
      <c r="F13513" s="294" t="s">
        <v>246</v>
      </c>
      <c r="G13513" s="683" t="s">
        <v>5121</v>
      </c>
      <c r="J13513" s="639">
        <f t="shared" si="422"/>
        <v>0</v>
      </c>
    </row>
    <row r="13514" spans="5:10" hidden="1">
      <c r="F13514" s="294" t="s">
        <v>247</v>
      </c>
      <c r="G13514" s="683" t="s">
        <v>5120</v>
      </c>
      <c r="J13514" s="639">
        <f t="shared" si="422"/>
        <v>0</v>
      </c>
    </row>
    <row r="13515" spans="5:10" hidden="1">
      <c r="F13515" s="294" t="s">
        <v>248</v>
      </c>
      <c r="G13515" s="297" t="s">
        <v>57</v>
      </c>
      <c r="J13515" s="639">
        <f t="shared" si="422"/>
        <v>0</v>
      </c>
    </row>
    <row r="13516" spans="5:10" hidden="1">
      <c r="F13516" s="294" t="s">
        <v>249</v>
      </c>
      <c r="G13516" s="297" t="s">
        <v>250</v>
      </c>
      <c r="J13516" s="639">
        <f t="shared" si="422"/>
        <v>0</v>
      </c>
    </row>
    <row r="13517" spans="5:10" hidden="1">
      <c r="F13517" s="294" t="s">
        <v>251</v>
      </c>
      <c r="G13517" s="297" t="s">
        <v>252</v>
      </c>
      <c r="J13517" s="639">
        <f t="shared" si="422"/>
        <v>0</v>
      </c>
    </row>
    <row r="13518" spans="5:10" hidden="1">
      <c r="F13518" s="294" t="s">
        <v>253</v>
      </c>
      <c r="G13518" s="297" t="s">
        <v>254</v>
      </c>
      <c r="J13518" s="639">
        <f t="shared" si="422"/>
        <v>0</v>
      </c>
    </row>
    <row r="13519" spans="5:10" hidden="1">
      <c r="F13519" s="294" t="s">
        <v>255</v>
      </c>
      <c r="G13519" s="297" t="s">
        <v>256</v>
      </c>
      <c r="J13519" s="639">
        <f t="shared" si="422"/>
        <v>0</v>
      </c>
    </row>
    <row r="13520" spans="5:10" hidden="1">
      <c r="F13520" s="294" t="s">
        <v>257</v>
      </c>
      <c r="G13520" s="297" t="s">
        <v>258</v>
      </c>
      <c r="J13520" s="639">
        <f t="shared" si="422"/>
        <v>0</v>
      </c>
    </row>
    <row r="13521" spans="1:25" hidden="1">
      <c r="F13521" s="294" t="s">
        <v>259</v>
      </c>
      <c r="G13521" s="297" t="s">
        <v>260</v>
      </c>
      <c r="J13521" s="639">
        <f t="shared" si="422"/>
        <v>0</v>
      </c>
    </row>
    <row r="13522" spans="1:25" ht="15.75" hidden="1" thickBot="1">
      <c r="F13522" s="294" t="s">
        <v>261</v>
      </c>
      <c r="G13522" s="297" t="s">
        <v>262</v>
      </c>
      <c r="H13522" s="638"/>
      <c r="I13522" s="639"/>
      <c r="J13522" s="639">
        <f t="shared" si="422"/>
        <v>0</v>
      </c>
    </row>
    <row r="13523" spans="1:25" ht="15.75" hidden="1" collapsed="1" thickBot="1">
      <c r="G13523" s="274" t="s">
        <v>4264</v>
      </c>
      <c r="H13523" s="640">
        <f>SUM(H13507:H13522)</f>
        <v>0</v>
      </c>
      <c r="I13523" s="641">
        <f>SUM(I13508:I13522)</f>
        <v>0</v>
      </c>
      <c r="J13523" s="641">
        <f>SUM(J13507:J13522)</f>
        <v>0</v>
      </c>
    </row>
    <row r="13524" spans="1:25" s="88" customFormat="1" ht="15.75" hidden="1" customHeight="1">
      <c r="A13524" s="551"/>
      <c r="B13524" s="301"/>
      <c r="C13524" s="361"/>
      <c r="D13524" s="296"/>
      <c r="E13524" s="296"/>
      <c r="F13524" s="302"/>
      <c r="G13524" s="549"/>
      <c r="H13524" s="667"/>
      <c r="I13524" s="650"/>
      <c r="J13524" s="668"/>
      <c r="K13524" s="575"/>
      <c r="L13524" s="575"/>
      <c r="M13524" s="575"/>
      <c r="N13524" s="575"/>
      <c r="O13524" s="575"/>
      <c r="P13524" s="575"/>
      <c r="Q13524" s="575"/>
      <c r="R13524" s="575"/>
      <c r="S13524" s="575"/>
      <c r="T13524" s="575"/>
      <c r="U13524" s="575"/>
      <c r="V13524" s="575"/>
      <c r="W13524" s="575"/>
      <c r="X13524" s="575"/>
      <c r="Y13524" s="575"/>
    </row>
    <row r="13525" spans="1:25" s="88" customFormat="1" hidden="1">
      <c r="A13525" s="551"/>
      <c r="B13525" s="301"/>
      <c r="C13525" s="361"/>
      <c r="D13525" s="296"/>
      <c r="E13525" s="296"/>
      <c r="F13525" s="556"/>
      <c r="G13525" s="295" t="s">
        <v>4258</v>
      </c>
      <c r="H13525" s="646"/>
      <c r="I13525" s="664"/>
      <c r="J13525" s="647"/>
      <c r="K13525" s="575"/>
      <c r="L13525" s="575"/>
      <c r="M13525" s="575"/>
      <c r="N13525" s="575"/>
      <c r="O13525" s="575"/>
      <c r="P13525" s="575"/>
      <c r="Q13525" s="575"/>
      <c r="R13525" s="575"/>
      <c r="S13525" s="575"/>
      <c r="T13525" s="575"/>
      <c r="U13525" s="575"/>
      <c r="V13525" s="575"/>
      <c r="W13525" s="575"/>
      <c r="X13525" s="575"/>
      <c r="Y13525" s="575"/>
    </row>
    <row r="13526" spans="1:25" s="88" customFormat="1" hidden="1">
      <c r="A13526" s="551"/>
      <c r="B13526" s="301"/>
      <c r="C13526" s="361"/>
      <c r="D13526" s="296"/>
      <c r="E13526" s="296"/>
      <c r="F13526" s="294" t="s">
        <v>234</v>
      </c>
      <c r="G13526" s="297" t="s">
        <v>235</v>
      </c>
      <c r="H13526" s="638">
        <f>SUM(H13111,H13210,H13309,H13408,H13507)</f>
        <v>0</v>
      </c>
      <c r="I13526" s="639"/>
      <c r="J13526" s="639">
        <f>SUM(H13526:I13526)</f>
        <v>0</v>
      </c>
      <c r="K13526" s="575"/>
      <c r="L13526" s="575"/>
      <c r="M13526" s="575"/>
      <c r="N13526" s="575"/>
      <c r="O13526" s="575"/>
      <c r="P13526" s="575"/>
      <c r="Q13526" s="575"/>
      <c r="R13526" s="575"/>
      <c r="S13526" s="575"/>
      <c r="T13526" s="575"/>
      <c r="U13526" s="575"/>
      <c r="V13526" s="575"/>
      <c r="W13526" s="575"/>
      <c r="X13526" s="575"/>
      <c r="Y13526" s="575"/>
    </row>
    <row r="13527" spans="1:25" s="88" customFormat="1" hidden="1">
      <c r="A13527" s="551"/>
      <c r="B13527" s="301"/>
      <c r="C13527" s="361"/>
      <c r="D13527" s="296"/>
      <c r="E13527" s="296"/>
      <c r="F13527" s="294" t="s">
        <v>236</v>
      </c>
      <c r="G13527" s="297" t="s">
        <v>237</v>
      </c>
      <c r="H13527" s="634"/>
      <c r="I13527" s="635"/>
      <c r="J13527" s="639">
        <f t="shared" ref="J13527:J13541" si="423">SUM(H13527:I13527)</f>
        <v>0</v>
      </c>
      <c r="K13527" s="575"/>
      <c r="L13527" s="575"/>
      <c r="M13527" s="575"/>
      <c r="N13527" s="575"/>
      <c r="O13527" s="575"/>
      <c r="P13527" s="575"/>
      <c r="Q13527" s="575"/>
      <c r="R13527" s="575"/>
      <c r="S13527" s="575"/>
      <c r="T13527" s="575"/>
      <c r="U13527" s="575"/>
      <c r="V13527" s="575"/>
      <c r="W13527" s="575"/>
      <c r="X13527" s="575"/>
      <c r="Y13527" s="575"/>
    </row>
    <row r="13528" spans="1:25" s="88" customFormat="1" hidden="1">
      <c r="A13528" s="551"/>
      <c r="B13528" s="301"/>
      <c r="C13528" s="361"/>
      <c r="D13528" s="296"/>
      <c r="E13528" s="296"/>
      <c r="F13528" s="294" t="s">
        <v>238</v>
      </c>
      <c r="G13528" s="297" t="s">
        <v>239</v>
      </c>
      <c r="H13528" s="634"/>
      <c r="I13528" s="635"/>
      <c r="J13528" s="639">
        <f t="shared" si="423"/>
        <v>0</v>
      </c>
      <c r="K13528" s="575"/>
      <c r="L13528" s="575"/>
      <c r="M13528" s="575"/>
      <c r="N13528" s="575"/>
      <c r="O13528" s="575"/>
      <c r="P13528" s="575"/>
      <c r="Q13528" s="575"/>
      <c r="R13528" s="575"/>
      <c r="S13528" s="575"/>
      <c r="T13528" s="575"/>
      <c r="U13528" s="575"/>
      <c r="V13528" s="575"/>
      <c r="W13528" s="575"/>
      <c r="X13528" s="575"/>
      <c r="Y13528" s="575"/>
    </row>
    <row r="13529" spans="1:25" s="88" customFormat="1" hidden="1">
      <c r="A13529" s="551"/>
      <c r="B13529" s="301"/>
      <c r="C13529" s="361"/>
      <c r="D13529" s="296"/>
      <c r="E13529" s="296"/>
      <c r="F13529" s="294" t="s">
        <v>240</v>
      </c>
      <c r="G13529" s="297" t="s">
        <v>241</v>
      </c>
      <c r="H13529" s="634"/>
      <c r="I13529" s="635"/>
      <c r="J13529" s="639">
        <f t="shared" si="423"/>
        <v>0</v>
      </c>
      <c r="K13529" s="575"/>
      <c r="L13529" s="575"/>
      <c r="M13529" s="575"/>
      <c r="N13529" s="575"/>
      <c r="O13529" s="575"/>
      <c r="P13529" s="575"/>
      <c r="Q13529" s="575"/>
      <c r="R13529" s="575"/>
      <c r="S13529" s="575"/>
      <c r="T13529" s="575"/>
      <c r="U13529" s="575"/>
      <c r="V13529" s="575"/>
      <c r="W13529" s="575"/>
      <c r="X13529" s="575"/>
      <c r="Y13529" s="575"/>
    </row>
    <row r="13530" spans="1:25" s="88" customFormat="1" hidden="1">
      <c r="A13530" s="551"/>
      <c r="B13530" s="301"/>
      <c r="C13530" s="361"/>
      <c r="D13530" s="296"/>
      <c r="E13530" s="296"/>
      <c r="F13530" s="294" t="s">
        <v>242</v>
      </c>
      <c r="G13530" s="297" t="s">
        <v>243</v>
      </c>
      <c r="H13530" s="634"/>
      <c r="I13530" s="635"/>
      <c r="J13530" s="639">
        <f t="shared" si="423"/>
        <v>0</v>
      </c>
      <c r="K13530" s="575"/>
      <c r="L13530" s="575"/>
      <c r="M13530" s="575"/>
      <c r="N13530" s="575"/>
      <c r="O13530" s="575"/>
      <c r="P13530" s="575"/>
      <c r="Q13530" s="575"/>
      <c r="R13530" s="575"/>
      <c r="S13530" s="575"/>
      <c r="T13530" s="575"/>
      <c r="U13530" s="575"/>
      <c r="V13530" s="575"/>
      <c r="W13530" s="575"/>
      <c r="X13530" s="575"/>
      <c r="Y13530" s="575"/>
    </row>
    <row r="13531" spans="1:25" s="88" customFormat="1" hidden="1">
      <c r="A13531" s="551"/>
      <c r="B13531" s="301"/>
      <c r="C13531" s="361"/>
      <c r="D13531" s="296"/>
      <c r="E13531" s="296"/>
      <c r="F13531" s="294" t="s">
        <v>244</v>
      </c>
      <c r="G13531" s="297" t="s">
        <v>245</v>
      </c>
      <c r="H13531" s="634"/>
      <c r="I13531" s="635"/>
      <c r="J13531" s="639">
        <f t="shared" si="423"/>
        <v>0</v>
      </c>
      <c r="K13531" s="575"/>
      <c r="L13531" s="575"/>
      <c r="M13531" s="575"/>
      <c r="N13531" s="575"/>
      <c r="O13531" s="575"/>
      <c r="P13531" s="575"/>
      <c r="Q13531" s="575"/>
      <c r="R13531" s="575"/>
      <c r="S13531" s="575"/>
      <c r="T13531" s="575"/>
      <c r="U13531" s="575"/>
      <c r="V13531" s="575"/>
      <c r="W13531" s="575"/>
      <c r="X13531" s="575"/>
      <c r="Y13531" s="575"/>
    </row>
    <row r="13532" spans="1:25" s="88" customFormat="1" hidden="1">
      <c r="A13532" s="551"/>
      <c r="B13532" s="301"/>
      <c r="C13532" s="361"/>
      <c r="D13532" s="296"/>
      <c r="E13532" s="296"/>
      <c r="F13532" s="294" t="s">
        <v>246</v>
      </c>
      <c r="G13532" s="683" t="s">
        <v>5121</v>
      </c>
      <c r="H13532" s="634"/>
      <c r="I13532" s="635"/>
      <c r="J13532" s="639">
        <f t="shared" si="423"/>
        <v>0</v>
      </c>
      <c r="K13532" s="575"/>
      <c r="L13532" s="575"/>
      <c r="M13532" s="575"/>
      <c r="N13532" s="575"/>
      <c r="O13532" s="575"/>
      <c r="P13532" s="575"/>
      <c r="Q13532" s="575"/>
      <c r="R13532" s="575"/>
      <c r="S13532" s="575"/>
      <c r="T13532" s="575"/>
      <c r="U13532" s="575"/>
      <c r="V13532" s="575"/>
      <c r="W13532" s="575"/>
      <c r="X13532" s="575"/>
      <c r="Y13532" s="575"/>
    </row>
    <row r="13533" spans="1:25" s="88" customFormat="1" hidden="1">
      <c r="A13533" s="551"/>
      <c r="B13533" s="301"/>
      <c r="C13533" s="361"/>
      <c r="D13533" s="296"/>
      <c r="E13533" s="296"/>
      <c r="F13533" s="294" t="s">
        <v>247</v>
      </c>
      <c r="G13533" s="683" t="s">
        <v>5120</v>
      </c>
      <c r="H13533" s="634"/>
      <c r="I13533" s="635"/>
      <c r="J13533" s="639">
        <f t="shared" si="423"/>
        <v>0</v>
      </c>
      <c r="K13533" s="575"/>
      <c r="L13533" s="575"/>
      <c r="M13533" s="575"/>
      <c r="N13533" s="575"/>
      <c r="O13533" s="575"/>
      <c r="P13533" s="575"/>
      <c r="Q13533" s="575"/>
      <c r="R13533" s="575"/>
      <c r="S13533" s="575"/>
      <c r="T13533" s="575"/>
      <c r="U13533" s="575"/>
      <c r="V13533" s="575"/>
      <c r="W13533" s="575"/>
      <c r="X13533" s="575"/>
      <c r="Y13533" s="575"/>
    </row>
    <row r="13534" spans="1:25" s="88" customFormat="1" hidden="1">
      <c r="A13534" s="551"/>
      <c r="B13534" s="301"/>
      <c r="C13534" s="361"/>
      <c r="D13534" s="296"/>
      <c r="E13534" s="296"/>
      <c r="F13534" s="294" t="s">
        <v>248</v>
      </c>
      <c r="G13534" s="297" t="s">
        <v>57</v>
      </c>
      <c r="H13534" s="634"/>
      <c r="I13534" s="635"/>
      <c r="J13534" s="639">
        <f t="shared" si="423"/>
        <v>0</v>
      </c>
      <c r="K13534" s="575"/>
      <c r="L13534" s="575"/>
      <c r="M13534" s="575"/>
      <c r="N13534" s="575"/>
      <c r="O13534" s="575"/>
      <c r="P13534" s="575"/>
      <c r="Q13534" s="575"/>
      <c r="R13534" s="575"/>
      <c r="S13534" s="575"/>
      <c r="T13534" s="575"/>
      <c r="U13534" s="575"/>
      <c r="V13534" s="575"/>
      <c r="W13534" s="575"/>
      <c r="X13534" s="575"/>
      <c r="Y13534" s="575"/>
    </row>
    <row r="13535" spans="1:25" s="88" customFormat="1" hidden="1">
      <c r="A13535" s="551"/>
      <c r="B13535" s="301"/>
      <c r="C13535" s="361"/>
      <c r="D13535" s="296"/>
      <c r="E13535" s="296"/>
      <c r="F13535" s="294" t="s">
        <v>249</v>
      </c>
      <c r="G13535" s="297" t="s">
        <v>250</v>
      </c>
      <c r="H13535" s="634"/>
      <c r="I13535" s="635"/>
      <c r="J13535" s="639">
        <f t="shared" si="423"/>
        <v>0</v>
      </c>
      <c r="K13535" s="575"/>
      <c r="L13535" s="575"/>
      <c r="M13535" s="575"/>
      <c r="N13535" s="575"/>
      <c r="O13535" s="575"/>
      <c r="P13535" s="575"/>
      <c r="Q13535" s="575"/>
      <c r="R13535" s="575"/>
      <c r="S13535" s="575"/>
      <c r="T13535" s="575"/>
      <c r="U13535" s="575"/>
      <c r="V13535" s="575"/>
      <c r="W13535" s="575"/>
      <c r="X13535" s="575"/>
      <c r="Y13535" s="575"/>
    </row>
    <row r="13536" spans="1:25" s="88" customFormat="1" hidden="1">
      <c r="A13536" s="551"/>
      <c r="B13536" s="301"/>
      <c r="C13536" s="361"/>
      <c r="D13536" s="296"/>
      <c r="E13536" s="296"/>
      <c r="F13536" s="294" t="s">
        <v>251</v>
      </c>
      <c r="G13536" s="297" t="s">
        <v>252</v>
      </c>
      <c r="H13536" s="634"/>
      <c r="I13536" s="635"/>
      <c r="J13536" s="639">
        <f t="shared" si="423"/>
        <v>0</v>
      </c>
      <c r="K13536" s="575"/>
      <c r="L13536" s="575"/>
      <c r="M13536" s="575"/>
      <c r="N13536" s="575"/>
      <c r="O13536" s="575"/>
      <c r="P13536" s="575"/>
      <c r="Q13536" s="575"/>
      <c r="R13536" s="575"/>
      <c r="S13536" s="575"/>
      <c r="T13536" s="575"/>
      <c r="U13536" s="575"/>
      <c r="V13536" s="575"/>
      <c r="W13536" s="575"/>
      <c r="X13536" s="575"/>
      <c r="Y13536" s="575"/>
    </row>
    <row r="13537" spans="1:25" s="88" customFormat="1" hidden="1">
      <c r="A13537" s="551"/>
      <c r="B13537" s="301"/>
      <c r="C13537" s="361"/>
      <c r="D13537" s="296"/>
      <c r="E13537" s="296"/>
      <c r="F13537" s="294" t="s">
        <v>253</v>
      </c>
      <c r="G13537" s="297" t="s">
        <v>254</v>
      </c>
      <c r="H13537" s="634"/>
      <c r="I13537" s="635"/>
      <c r="J13537" s="639">
        <f t="shared" si="423"/>
        <v>0</v>
      </c>
      <c r="K13537" s="575"/>
      <c r="L13537" s="575"/>
      <c r="M13537" s="575"/>
      <c r="N13537" s="575"/>
      <c r="O13537" s="575"/>
      <c r="P13537" s="575"/>
      <c r="Q13537" s="575"/>
      <c r="R13537" s="575"/>
      <c r="S13537" s="575"/>
      <c r="T13537" s="575"/>
      <c r="U13537" s="575"/>
      <c r="V13537" s="575"/>
      <c r="W13537" s="575"/>
      <c r="X13537" s="575"/>
      <c r="Y13537" s="575"/>
    </row>
    <row r="13538" spans="1:25" s="88" customFormat="1" hidden="1">
      <c r="A13538" s="551"/>
      <c r="B13538" s="301"/>
      <c r="C13538" s="361"/>
      <c r="D13538" s="296"/>
      <c r="E13538" s="296"/>
      <c r="F13538" s="294" t="s">
        <v>255</v>
      </c>
      <c r="G13538" s="297" t="s">
        <v>256</v>
      </c>
      <c r="H13538" s="634"/>
      <c r="I13538" s="635"/>
      <c r="J13538" s="639">
        <f t="shared" si="423"/>
        <v>0</v>
      </c>
      <c r="K13538" s="575"/>
      <c r="L13538" s="575"/>
      <c r="M13538" s="575"/>
      <c r="N13538" s="575"/>
      <c r="O13538" s="575"/>
      <c r="P13538" s="575"/>
      <c r="Q13538" s="575"/>
      <c r="R13538" s="575"/>
      <c r="S13538" s="575"/>
      <c r="T13538" s="575"/>
      <c r="U13538" s="575"/>
      <c r="V13538" s="575"/>
      <c r="W13538" s="575"/>
      <c r="X13538" s="575"/>
      <c r="Y13538" s="575"/>
    </row>
    <row r="13539" spans="1:25" s="88" customFormat="1" hidden="1">
      <c r="A13539" s="551"/>
      <c r="B13539" s="301"/>
      <c r="C13539" s="361"/>
      <c r="D13539" s="296"/>
      <c r="E13539" s="296"/>
      <c r="F13539" s="294" t="s">
        <v>257</v>
      </c>
      <c r="G13539" s="297" t="s">
        <v>258</v>
      </c>
      <c r="H13539" s="634"/>
      <c r="I13539" s="635"/>
      <c r="J13539" s="639">
        <f t="shared" si="423"/>
        <v>0</v>
      </c>
      <c r="K13539" s="575"/>
      <c r="L13539" s="575"/>
      <c r="M13539" s="575"/>
      <c r="N13539" s="575"/>
      <c r="O13539" s="575"/>
      <c r="P13539" s="575"/>
      <c r="Q13539" s="575"/>
      <c r="R13539" s="575"/>
      <c r="S13539" s="575"/>
      <c r="T13539" s="575"/>
      <c r="U13539" s="575"/>
      <c r="V13539" s="575"/>
      <c r="W13539" s="575"/>
      <c r="X13539" s="575"/>
      <c r="Y13539" s="575"/>
    </row>
    <row r="13540" spans="1:25" s="88" customFormat="1" hidden="1">
      <c r="A13540" s="551"/>
      <c r="B13540" s="301"/>
      <c r="C13540" s="361"/>
      <c r="D13540" s="296"/>
      <c r="E13540" s="296"/>
      <c r="F13540" s="294" t="s">
        <v>259</v>
      </c>
      <c r="G13540" s="297" t="s">
        <v>260</v>
      </c>
      <c r="H13540" s="634"/>
      <c r="I13540" s="635"/>
      <c r="J13540" s="639">
        <f t="shared" si="423"/>
        <v>0</v>
      </c>
      <c r="K13540" s="575"/>
      <c r="L13540" s="575"/>
      <c r="M13540" s="575"/>
      <c r="N13540" s="575"/>
      <c r="O13540" s="575"/>
      <c r="P13540" s="575"/>
      <c r="Q13540" s="575"/>
      <c r="R13540" s="575"/>
      <c r="S13540" s="575"/>
      <c r="T13540" s="575"/>
      <c r="U13540" s="575"/>
      <c r="V13540" s="575"/>
      <c r="W13540" s="575"/>
      <c r="X13540" s="575"/>
      <c r="Y13540" s="575"/>
    </row>
    <row r="13541" spans="1:25" s="88" customFormat="1" ht="15.75" hidden="1" thickBot="1">
      <c r="A13541" s="551"/>
      <c r="B13541" s="301"/>
      <c r="C13541" s="361"/>
      <c r="D13541" s="296"/>
      <c r="E13541" s="296"/>
      <c r="F13541" s="294" t="s">
        <v>261</v>
      </c>
      <c r="G13541" s="297" t="s">
        <v>262</v>
      </c>
      <c r="H13541" s="638"/>
      <c r="I13541" s="639"/>
      <c r="J13541" s="639">
        <f t="shared" si="423"/>
        <v>0</v>
      </c>
      <c r="K13541" s="575"/>
      <c r="L13541" s="575"/>
      <c r="M13541" s="575"/>
      <c r="N13541" s="575"/>
      <c r="O13541" s="575"/>
      <c r="P13541" s="575"/>
      <c r="Q13541" s="575"/>
      <c r="R13541" s="575"/>
      <c r="S13541" s="575"/>
      <c r="T13541" s="575"/>
      <c r="U13541" s="575"/>
      <c r="V13541" s="575"/>
      <c r="W13541" s="575"/>
      <c r="X13541" s="575"/>
      <c r="Y13541" s="575"/>
    </row>
    <row r="13542" spans="1:25" s="88" customFormat="1" ht="15.75" hidden="1" thickBot="1">
      <c r="A13542" s="551"/>
      <c r="B13542" s="301"/>
      <c r="C13542" s="361"/>
      <c r="D13542" s="296"/>
      <c r="E13542" s="296"/>
      <c r="F13542" s="263"/>
      <c r="G13542" s="274" t="s">
        <v>4259</v>
      </c>
      <c r="H13542" s="640">
        <f>SUM(H13526:H13541)</f>
        <v>0</v>
      </c>
      <c r="I13542" s="641">
        <f>SUM(I13527:I13541)</f>
        <v>0</v>
      </c>
      <c r="J13542" s="641">
        <f>SUM(J13526:J13541)</f>
        <v>0</v>
      </c>
      <c r="K13542" s="575"/>
      <c r="L13542" s="575"/>
      <c r="M13542" s="575"/>
      <c r="N13542" s="575"/>
      <c r="O13542" s="575"/>
      <c r="P13542" s="575"/>
      <c r="Q13542" s="575"/>
      <c r="R13542" s="575"/>
      <c r="S13542" s="575"/>
      <c r="T13542" s="575"/>
      <c r="U13542" s="575"/>
      <c r="V13542" s="575"/>
      <c r="W13542" s="575"/>
      <c r="X13542" s="575"/>
      <c r="Y13542" s="575"/>
    </row>
    <row r="13543" spans="1:25" hidden="1"/>
    <row r="13544" spans="1:25" hidden="1">
      <c r="E13544" s="548"/>
      <c r="F13544" s="556"/>
      <c r="G13544" s="295" t="s">
        <v>4458</v>
      </c>
      <c r="H13544" s="646"/>
      <c r="I13544" s="664"/>
      <c r="J13544" s="647"/>
    </row>
    <row r="13545" spans="1:25" hidden="1">
      <c r="E13545" s="267"/>
      <c r="F13545" s="294" t="s">
        <v>234</v>
      </c>
      <c r="G13545" s="297" t="s">
        <v>235</v>
      </c>
      <c r="H13545" s="638">
        <f>SUM(H13526)</f>
        <v>0</v>
      </c>
      <c r="I13545" s="639"/>
      <c r="J13545" s="639">
        <f>SUM(H13545:I13545)</f>
        <v>0</v>
      </c>
    </row>
    <row r="13546" spans="1:25" hidden="1">
      <c r="F13546" s="294" t="s">
        <v>236</v>
      </c>
      <c r="G13546" s="297" t="s">
        <v>237</v>
      </c>
      <c r="J13546" s="639">
        <f t="shared" ref="J13546:J13560" si="424">SUM(H13546:I13546)</f>
        <v>0</v>
      </c>
    </row>
    <row r="13547" spans="1:25" hidden="1">
      <c r="F13547" s="294" t="s">
        <v>238</v>
      </c>
      <c r="G13547" s="297" t="s">
        <v>239</v>
      </c>
      <c r="J13547" s="639">
        <f t="shared" si="424"/>
        <v>0</v>
      </c>
    </row>
    <row r="13548" spans="1:25" hidden="1">
      <c r="F13548" s="294" t="s">
        <v>240</v>
      </c>
      <c r="G13548" s="297" t="s">
        <v>241</v>
      </c>
      <c r="J13548" s="639">
        <f t="shared" si="424"/>
        <v>0</v>
      </c>
    </row>
    <row r="13549" spans="1:25" hidden="1">
      <c r="F13549" s="294" t="s">
        <v>242</v>
      </c>
      <c r="G13549" s="297" t="s">
        <v>243</v>
      </c>
      <c r="J13549" s="639">
        <f t="shared" si="424"/>
        <v>0</v>
      </c>
    </row>
    <row r="13550" spans="1:25" hidden="1">
      <c r="F13550" s="294" t="s">
        <v>244</v>
      </c>
      <c r="G13550" s="297" t="s">
        <v>245</v>
      </c>
      <c r="J13550" s="639">
        <f t="shared" si="424"/>
        <v>0</v>
      </c>
    </row>
    <row r="13551" spans="1:25" hidden="1">
      <c r="F13551" s="294" t="s">
        <v>246</v>
      </c>
      <c r="G13551" s="683" t="s">
        <v>5121</v>
      </c>
      <c r="J13551" s="639">
        <f t="shared" si="424"/>
        <v>0</v>
      </c>
    </row>
    <row r="13552" spans="1:25" hidden="1">
      <c r="F13552" s="294" t="s">
        <v>247</v>
      </c>
      <c r="G13552" s="683" t="s">
        <v>5120</v>
      </c>
      <c r="J13552" s="639">
        <f t="shared" si="424"/>
        <v>0</v>
      </c>
    </row>
    <row r="13553" spans="1:25" hidden="1">
      <c r="F13553" s="294" t="s">
        <v>248</v>
      </c>
      <c r="G13553" s="297" t="s">
        <v>57</v>
      </c>
      <c r="J13553" s="639">
        <f t="shared" si="424"/>
        <v>0</v>
      </c>
    </row>
    <row r="13554" spans="1:25" hidden="1">
      <c r="F13554" s="294" t="s">
        <v>249</v>
      </c>
      <c r="G13554" s="297" t="s">
        <v>250</v>
      </c>
      <c r="J13554" s="639">
        <f t="shared" si="424"/>
        <v>0</v>
      </c>
    </row>
    <row r="13555" spans="1:25" hidden="1">
      <c r="F13555" s="294" t="s">
        <v>251</v>
      </c>
      <c r="G13555" s="297" t="s">
        <v>252</v>
      </c>
      <c r="J13555" s="639">
        <f t="shared" si="424"/>
        <v>0</v>
      </c>
    </row>
    <row r="13556" spans="1:25" hidden="1">
      <c r="F13556" s="294" t="s">
        <v>253</v>
      </c>
      <c r="G13556" s="297" t="s">
        <v>254</v>
      </c>
      <c r="J13556" s="639">
        <f t="shared" si="424"/>
        <v>0</v>
      </c>
    </row>
    <row r="13557" spans="1:25" hidden="1">
      <c r="F13557" s="294" t="s">
        <v>255</v>
      </c>
      <c r="G13557" s="297" t="s">
        <v>256</v>
      </c>
      <c r="J13557" s="639">
        <f t="shared" si="424"/>
        <v>0</v>
      </c>
    </row>
    <row r="13558" spans="1:25" hidden="1">
      <c r="F13558" s="294" t="s">
        <v>257</v>
      </c>
      <c r="G13558" s="297" t="s">
        <v>258</v>
      </c>
      <c r="J13558" s="639">
        <f t="shared" si="424"/>
        <v>0</v>
      </c>
    </row>
    <row r="13559" spans="1:25" hidden="1">
      <c r="F13559" s="294" t="s">
        <v>259</v>
      </c>
      <c r="G13559" s="297" t="s">
        <v>260</v>
      </c>
      <c r="J13559" s="639">
        <f t="shared" si="424"/>
        <v>0</v>
      </c>
    </row>
    <row r="13560" spans="1:25" ht="15.75" hidden="1" thickBot="1">
      <c r="F13560" s="294" t="s">
        <v>261</v>
      </c>
      <c r="G13560" s="297" t="s">
        <v>262</v>
      </c>
      <c r="H13560" s="638"/>
      <c r="I13560" s="639"/>
      <c r="J13560" s="639">
        <f t="shared" si="424"/>
        <v>0</v>
      </c>
    </row>
    <row r="13561" spans="1:25" ht="15.75" hidden="1" thickBot="1">
      <c r="G13561" s="274" t="s">
        <v>4459</v>
      </c>
      <c r="H13561" s="640">
        <f>SUM(H13545:H13560)</f>
        <v>0</v>
      </c>
      <c r="I13561" s="641">
        <f>SUM(I13546:I13560)</f>
        <v>0</v>
      </c>
      <c r="J13561" s="641">
        <f>SUM(J13545:J13560)</f>
        <v>0</v>
      </c>
    </row>
    <row r="13562" spans="1:25" hidden="1"/>
    <row r="13563" spans="1:25" ht="28.5" hidden="1">
      <c r="A13563" s="537">
        <v>4</v>
      </c>
      <c r="B13563" s="536">
        <v>13</v>
      </c>
      <c r="C13563" s="537"/>
      <c r="D13563" s="538"/>
      <c r="E13563" s="539"/>
      <c r="F13563" s="539"/>
      <c r="G13563" s="540" t="s">
        <v>4332</v>
      </c>
      <c r="H13563" s="666"/>
      <c r="I13563" s="671"/>
      <c r="J13563" s="657"/>
      <c r="K13563" s="571"/>
      <c r="L13563" s="571"/>
      <c r="M13563" s="564"/>
      <c r="N13563" s="575"/>
    </row>
    <row r="13564" spans="1:25" s="88" customFormat="1" hidden="1">
      <c r="A13564" s="551"/>
      <c r="B13564" s="301"/>
      <c r="C13564" s="310" t="s">
        <v>3588</v>
      </c>
      <c r="D13564" s="310"/>
      <c r="E13564" s="293"/>
      <c r="F13564" s="293"/>
      <c r="G13564" s="351" t="s">
        <v>4257</v>
      </c>
      <c r="H13564" s="651"/>
      <c r="I13564" s="652"/>
      <c r="J13564" s="652"/>
      <c r="K13564" s="575"/>
      <c r="L13564" s="575"/>
      <c r="M13564" s="575"/>
      <c r="N13564" s="575"/>
      <c r="O13564" s="575"/>
      <c r="P13564" s="575"/>
      <c r="Q13564" s="575"/>
      <c r="R13564" s="575"/>
      <c r="S13564" s="575"/>
      <c r="T13564" s="575"/>
      <c r="U13564" s="575"/>
      <c r="V13564" s="575"/>
      <c r="W13564" s="575"/>
      <c r="X13564" s="575"/>
      <c r="Y13564" s="575"/>
    </row>
    <row r="13565" spans="1:25" hidden="1">
      <c r="C13565" s="273" t="s">
        <v>4118</v>
      </c>
      <c r="D13565" s="264"/>
      <c r="G13565" s="553" t="s">
        <v>4119</v>
      </c>
    </row>
    <row r="13566" spans="1:25" s="88" customFormat="1" hidden="1">
      <c r="A13566" s="551"/>
      <c r="B13566" s="301"/>
      <c r="C13566" s="310"/>
      <c r="D13566" s="379" t="s">
        <v>3888</v>
      </c>
      <c r="E13566" s="374"/>
      <c r="F13566" s="374"/>
      <c r="G13566" s="375" t="s">
        <v>4295</v>
      </c>
      <c r="H13566" s="651"/>
      <c r="I13566" s="652"/>
      <c r="J13566" s="652"/>
      <c r="K13566" s="575"/>
      <c r="L13566" s="575"/>
      <c r="M13566" s="575"/>
      <c r="N13566" s="575"/>
      <c r="O13566" s="575"/>
      <c r="P13566" s="575"/>
      <c r="Q13566" s="575"/>
      <c r="R13566" s="575"/>
      <c r="S13566" s="575"/>
      <c r="T13566" s="575"/>
      <c r="U13566" s="575"/>
      <c r="V13566" s="575"/>
      <c r="W13566" s="575"/>
      <c r="X13566" s="575"/>
      <c r="Y13566" s="575"/>
    </row>
    <row r="13567" spans="1:25" hidden="1">
      <c r="F13567" s="555">
        <v>411</v>
      </c>
      <c r="G13567" s="550" t="s">
        <v>4173</v>
      </c>
      <c r="J13567" s="635">
        <f>SUM(H13567:I13567)</f>
        <v>0</v>
      </c>
    </row>
    <row r="13568" spans="1:25" hidden="1">
      <c r="F13568" s="555">
        <v>412</v>
      </c>
      <c r="G13568" s="547" t="s">
        <v>3770</v>
      </c>
      <c r="J13568" s="635">
        <f t="shared" ref="J13568:J13626" si="425">SUM(H13568:I13568)</f>
        <v>0</v>
      </c>
    </row>
    <row r="13569" spans="6:10" hidden="1">
      <c r="F13569" s="555">
        <v>413</v>
      </c>
      <c r="G13569" s="550" t="s">
        <v>4174</v>
      </c>
      <c r="J13569" s="635">
        <f t="shared" si="425"/>
        <v>0</v>
      </c>
    </row>
    <row r="13570" spans="6:10" hidden="1">
      <c r="F13570" s="555">
        <v>414</v>
      </c>
      <c r="G13570" s="550" t="s">
        <v>3773</v>
      </c>
      <c r="J13570" s="635">
        <f t="shared" si="425"/>
        <v>0</v>
      </c>
    </row>
    <row r="13571" spans="6:10" hidden="1">
      <c r="F13571" s="555">
        <v>415</v>
      </c>
      <c r="G13571" s="550" t="s">
        <v>4183</v>
      </c>
      <c r="J13571" s="635">
        <f t="shared" si="425"/>
        <v>0</v>
      </c>
    </row>
    <row r="13572" spans="6:10" hidden="1">
      <c r="F13572" s="555">
        <v>416</v>
      </c>
      <c r="G13572" s="550" t="s">
        <v>4184</v>
      </c>
      <c r="J13572" s="635">
        <f t="shared" si="425"/>
        <v>0</v>
      </c>
    </row>
    <row r="13573" spans="6:10" hidden="1">
      <c r="F13573" s="555">
        <v>417</v>
      </c>
      <c r="G13573" s="550" t="s">
        <v>4185</v>
      </c>
      <c r="J13573" s="635">
        <f t="shared" si="425"/>
        <v>0</v>
      </c>
    </row>
    <row r="13574" spans="6:10" hidden="1">
      <c r="F13574" s="555">
        <v>418</v>
      </c>
      <c r="G13574" s="550" t="s">
        <v>3779</v>
      </c>
      <c r="J13574" s="635">
        <f t="shared" si="425"/>
        <v>0</v>
      </c>
    </row>
    <row r="13575" spans="6:10" hidden="1">
      <c r="F13575" s="555">
        <v>421</v>
      </c>
      <c r="G13575" s="550" t="s">
        <v>3783</v>
      </c>
      <c r="J13575" s="635">
        <f t="shared" si="425"/>
        <v>0</v>
      </c>
    </row>
    <row r="13576" spans="6:10" hidden="1">
      <c r="F13576" s="555">
        <v>422</v>
      </c>
      <c r="G13576" s="550" t="s">
        <v>3784</v>
      </c>
      <c r="J13576" s="635">
        <f t="shared" si="425"/>
        <v>0</v>
      </c>
    </row>
    <row r="13577" spans="6:10" hidden="1">
      <c r="F13577" s="555">
        <v>423</v>
      </c>
      <c r="G13577" s="550" t="s">
        <v>3785</v>
      </c>
      <c r="J13577" s="635">
        <f t="shared" si="425"/>
        <v>0</v>
      </c>
    </row>
    <row r="13578" spans="6:10" hidden="1">
      <c r="F13578" s="555">
        <v>424</v>
      </c>
      <c r="G13578" s="550" t="s">
        <v>3787</v>
      </c>
      <c r="J13578" s="635">
        <f t="shared" si="425"/>
        <v>0</v>
      </c>
    </row>
    <row r="13579" spans="6:10" hidden="1">
      <c r="F13579" s="555">
        <v>425</v>
      </c>
      <c r="G13579" s="550" t="s">
        <v>4186</v>
      </c>
      <c r="J13579" s="635">
        <f t="shared" si="425"/>
        <v>0</v>
      </c>
    </row>
    <row r="13580" spans="6:10" hidden="1">
      <c r="F13580" s="555">
        <v>426</v>
      </c>
      <c r="G13580" s="550" t="s">
        <v>3791</v>
      </c>
      <c r="J13580" s="635">
        <f t="shared" si="425"/>
        <v>0</v>
      </c>
    </row>
    <row r="13581" spans="6:10" ht="14.25" hidden="1" customHeight="1">
      <c r="F13581" s="555">
        <v>431</v>
      </c>
      <c r="G13581" s="550" t="s">
        <v>4187</v>
      </c>
      <c r="J13581" s="635">
        <f t="shared" si="425"/>
        <v>0</v>
      </c>
    </row>
    <row r="13582" spans="6:10" hidden="1">
      <c r="F13582" s="555">
        <v>432</v>
      </c>
      <c r="G13582" s="550" t="s">
        <v>4188</v>
      </c>
      <c r="J13582" s="635">
        <f t="shared" si="425"/>
        <v>0</v>
      </c>
    </row>
    <row r="13583" spans="6:10" hidden="1">
      <c r="F13583" s="555">
        <v>433</v>
      </c>
      <c r="G13583" s="550" t="s">
        <v>4189</v>
      </c>
      <c r="J13583" s="635">
        <f t="shared" si="425"/>
        <v>0</v>
      </c>
    </row>
    <row r="13584" spans="6:10" hidden="1">
      <c r="F13584" s="555">
        <v>434</v>
      </c>
      <c r="G13584" s="550" t="s">
        <v>4190</v>
      </c>
      <c r="J13584" s="635">
        <f t="shared" si="425"/>
        <v>0</v>
      </c>
    </row>
    <row r="13585" spans="6:10" hidden="1">
      <c r="F13585" s="555">
        <v>435</v>
      </c>
      <c r="G13585" s="550" t="s">
        <v>3798</v>
      </c>
      <c r="J13585" s="635">
        <f t="shared" si="425"/>
        <v>0</v>
      </c>
    </row>
    <row r="13586" spans="6:10" hidden="1">
      <c r="F13586" s="555">
        <v>441</v>
      </c>
      <c r="G13586" s="550" t="s">
        <v>4191</v>
      </c>
      <c r="J13586" s="635">
        <f t="shared" si="425"/>
        <v>0</v>
      </c>
    </row>
    <row r="13587" spans="6:10" hidden="1">
      <c r="F13587" s="555">
        <v>442</v>
      </c>
      <c r="G13587" s="550" t="s">
        <v>4192</v>
      </c>
      <c r="J13587" s="635">
        <f t="shared" si="425"/>
        <v>0</v>
      </c>
    </row>
    <row r="13588" spans="6:10" hidden="1">
      <c r="F13588" s="555">
        <v>443</v>
      </c>
      <c r="G13588" s="550" t="s">
        <v>3803</v>
      </c>
      <c r="J13588" s="635">
        <f t="shared" si="425"/>
        <v>0</v>
      </c>
    </row>
    <row r="13589" spans="6:10" hidden="1">
      <c r="F13589" s="555">
        <v>444</v>
      </c>
      <c r="G13589" s="550" t="s">
        <v>3804</v>
      </c>
      <c r="J13589" s="635">
        <f t="shared" si="425"/>
        <v>0</v>
      </c>
    </row>
    <row r="13590" spans="6:10" ht="30" hidden="1">
      <c r="F13590" s="555">
        <v>4511</v>
      </c>
      <c r="G13590" s="268" t="s">
        <v>1690</v>
      </c>
      <c r="J13590" s="635">
        <f t="shared" si="425"/>
        <v>0</v>
      </c>
    </row>
    <row r="13591" spans="6:10" ht="30" hidden="1">
      <c r="F13591" s="555">
        <v>4512</v>
      </c>
      <c r="G13591" s="268" t="s">
        <v>1699</v>
      </c>
      <c r="J13591" s="635">
        <f t="shared" si="425"/>
        <v>0</v>
      </c>
    </row>
    <row r="13592" spans="6:10" hidden="1">
      <c r="F13592" s="555">
        <v>452</v>
      </c>
      <c r="G13592" s="550" t="s">
        <v>4193</v>
      </c>
      <c r="J13592" s="635">
        <f t="shared" si="425"/>
        <v>0</v>
      </c>
    </row>
    <row r="13593" spans="6:10" hidden="1">
      <c r="F13593" s="555">
        <v>453</v>
      </c>
      <c r="G13593" s="550" t="s">
        <v>4194</v>
      </c>
      <c r="J13593" s="635">
        <f t="shared" si="425"/>
        <v>0</v>
      </c>
    </row>
    <row r="13594" spans="6:10" hidden="1">
      <c r="F13594" s="555">
        <v>454</v>
      </c>
      <c r="G13594" s="550" t="s">
        <v>3809</v>
      </c>
      <c r="J13594" s="635">
        <f t="shared" si="425"/>
        <v>0</v>
      </c>
    </row>
    <row r="13595" spans="6:10" hidden="1">
      <c r="F13595" s="555">
        <v>461</v>
      </c>
      <c r="G13595" s="550" t="s">
        <v>4175</v>
      </c>
      <c r="J13595" s="635">
        <f t="shared" si="425"/>
        <v>0</v>
      </c>
    </row>
    <row r="13596" spans="6:10" hidden="1">
      <c r="F13596" s="555">
        <v>462</v>
      </c>
      <c r="G13596" s="550" t="s">
        <v>3812</v>
      </c>
      <c r="J13596" s="635">
        <f t="shared" si="425"/>
        <v>0</v>
      </c>
    </row>
    <row r="13597" spans="6:10" hidden="1">
      <c r="F13597" s="555">
        <v>4631</v>
      </c>
      <c r="G13597" s="550" t="s">
        <v>3813</v>
      </c>
      <c r="J13597" s="635">
        <f t="shared" si="425"/>
        <v>0</v>
      </c>
    </row>
    <row r="13598" spans="6:10" hidden="1">
      <c r="F13598" s="555">
        <v>4632</v>
      </c>
      <c r="G13598" s="550" t="s">
        <v>3814</v>
      </c>
      <c r="J13598" s="635">
        <f t="shared" si="425"/>
        <v>0</v>
      </c>
    </row>
    <row r="13599" spans="6:10" hidden="1">
      <c r="F13599" s="555">
        <v>464</v>
      </c>
      <c r="G13599" s="550" t="s">
        <v>3815</v>
      </c>
      <c r="J13599" s="635">
        <f t="shared" si="425"/>
        <v>0</v>
      </c>
    </row>
    <row r="13600" spans="6:10" hidden="1">
      <c r="F13600" s="555">
        <v>465</v>
      </c>
      <c r="G13600" s="550" t="s">
        <v>4176</v>
      </c>
      <c r="J13600" s="635">
        <f t="shared" si="425"/>
        <v>0</v>
      </c>
    </row>
    <row r="13601" spans="6:10" hidden="1">
      <c r="F13601" s="555">
        <v>472</v>
      </c>
      <c r="G13601" s="550" t="s">
        <v>3819</v>
      </c>
      <c r="J13601" s="635">
        <f t="shared" si="425"/>
        <v>0</v>
      </c>
    </row>
    <row r="13602" spans="6:10" hidden="1">
      <c r="F13602" s="555">
        <v>481</v>
      </c>
      <c r="G13602" s="550" t="s">
        <v>4195</v>
      </c>
      <c r="J13602" s="635">
        <f t="shared" si="425"/>
        <v>0</v>
      </c>
    </row>
    <row r="13603" spans="6:10" hidden="1">
      <c r="F13603" s="555">
        <v>482</v>
      </c>
      <c r="G13603" s="550" t="s">
        <v>4196</v>
      </c>
      <c r="J13603" s="635">
        <f t="shared" si="425"/>
        <v>0</v>
      </c>
    </row>
    <row r="13604" spans="6:10" hidden="1">
      <c r="F13604" s="555">
        <v>483</v>
      </c>
      <c r="G13604" s="552" t="s">
        <v>4197</v>
      </c>
      <c r="J13604" s="635">
        <f t="shared" si="425"/>
        <v>0</v>
      </c>
    </row>
    <row r="13605" spans="6:10" ht="30" hidden="1">
      <c r="F13605" s="555">
        <v>484</v>
      </c>
      <c r="G13605" s="550" t="s">
        <v>4198</v>
      </c>
      <c r="J13605" s="635">
        <f t="shared" si="425"/>
        <v>0</v>
      </c>
    </row>
    <row r="13606" spans="6:10" ht="30" hidden="1">
      <c r="F13606" s="555">
        <v>485</v>
      </c>
      <c r="G13606" s="550" t="s">
        <v>4199</v>
      </c>
      <c r="J13606" s="635">
        <f t="shared" si="425"/>
        <v>0</v>
      </c>
    </row>
    <row r="13607" spans="6:10" ht="30" hidden="1">
      <c r="F13607" s="555">
        <v>489</v>
      </c>
      <c r="G13607" s="550" t="s">
        <v>3827</v>
      </c>
      <c r="J13607" s="635">
        <f t="shared" si="425"/>
        <v>0</v>
      </c>
    </row>
    <row r="13608" spans="6:10" hidden="1">
      <c r="F13608" s="555">
        <v>494</v>
      </c>
      <c r="G13608" s="550" t="s">
        <v>4177</v>
      </c>
      <c r="J13608" s="635">
        <f t="shared" si="425"/>
        <v>0</v>
      </c>
    </row>
    <row r="13609" spans="6:10" ht="30" hidden="1">
      <c r="F13609" s="555">
        <v>495</v>
      </c>
      <c r="G13609" s="550" t="s">
        <v>4178</v>
      </c>
      <c r="J13609" s="635">
        <f t="shared" si="425"/>
        <v>0</v>
      </c>
    </row>
    <row r="13610" spans="6:10" ht="30" hidden="1">
      <c r="F13610" s="555">
        <v>496</v>
      </c>
      <c r="G13610" s="550" t="s">
        <v>4179</v>
      </c>
      <c r="J13610" s="635">
        <f t="shared" si="425"/>
        <v>0</v>
      </c>
    </row>
    <row r="13611" spans="6:10" hidden="1">
      <c r="F13611" s="555">
        <v>499</v>
      </c>
      <c r="G13611" s="550" t="s">
        <v>4180</v>
      </c>
      <c r="J13611" s="635">
        <f t="shared" si="425"/>
        <v>0</v>
      </c>
    </row>
    <row r="13612" spans="6:10" hidden="1">
      <c r="F13612" s="555">
        <v>511</v>
      </c>
      <c r="G13612" s="552" t="s">
        <v>4200</v>
      </c>
      <c r="J13612" s="635">
        <f t="shared" si="425"/>
        <v>0</v>
      </c>
    </row>
    <row r="13613" spans="6:10" hidden="1">
      <c r="F13613" s="555">
        <v>512</v>
      </c>
      <c r="G13613" s="552" t="s">
        <v>4201</v>
      </c>
      <c r="J13613" s="635">
        <f t="shared" si="425"/>
        <v>0</v>
      </c>
    </row>
    <row r="13614" spans="6:10" hidden="1">
      <c r="F13614" s="555">
        <v>513</v>
      </c>
      <c r="G13614" s="552" t="s">
        <v>4202</v>
      </c>
      <c r="J13614" s="635">
        <f t="shared" si="425"/>
        <v>0</v>
      </c>
    </row>
    <row r="13615" spans="6:10" hidden="1">
      <c r="F13615" s="555">
        <v>514</v>
      </c>
      <c r="G13615" s="550" t="s">
        <v>4203</v>
      </c>
      <c r="J13615" s="635">
        <f t="shared" si="425"/>
        <v>0</v>
      </c>
    </row>
    <row r="13616" spans="6:10" hidden="1">
      <c r="F13616" s="555">
        <v>515</v>
      </c>
      <c r="G13616" s="550" t="s">
        <v>3838</v>
      </c>
      <c r="J13616" s="635">
        <f t="shared" si="425"/>
        <v>0</v>
      </c>
    </row>
    <row r="13617" spans="5:10" hidden="1">
      <c r="F13617" s="555">
        <v>521</v>
      </c>
      <c r="G13617" s="550" t="s">
        <v>4204</v>
      </c>
      <c r="J13617" s="635">
        <f t="shared" si="425"/>
        <v>0</v>
      </c>
    </row>
    <row r="13618" spans="5:10" hidden="1">
      <c r="F13618" s="555">
        <v>522</v>
      </c>
      <c r="G13618" s="550" t="s">
        <v>4205</v>
      </c>
      <c r="J13618" s="635">
        <f t="shared" si="425"/>
        <v>0</v>
      </c>
    </row>
    <row r="13619" spans="5:10" hidden="1">
      <c r="F13619" s="555">
        <v>523</v>
      </c>
      <c r="G13619" s="550" t="s">
        <v>3843</v>
      </c>
      <c r="J13619" s="635">
        <f t="shared" si="425"/>
        <v>0</v>
      </c>
    </row>
    <row r="13620" spans="5:10" hidden="1">
      <c r="F13620" s="555">
        <v>531</v>
      </c>
      <c r="G13620" s="547" t="s">
        <v>4181</v>
      </c>
      <c r="J13620" s="635">
        <f t="shared" si="425"/>
        <v>0</v>
      </c>
    </row>
    <row r="13621" spans="5:10" hidden="1">
      <c r="F13621" s="555">
        <v>541</v>
      </c>
      <c r="G13621" s="550" t="s">
        <v>4206</v>
      </c>
      <c r="J13621" s="635">
        <f t="shared" si="425"/>
        <v>0</v>
      </c>
    </row>
    <row r="13622" spans="5:10" hidden="1">
      <c r="F13622" s="555">
        <v>542</v>
      </c>
      <c r="G13622" s="550" t="s">
        <v>4207</v>
      </c>
      <c r="J13622" s="635">
        <f t="shared" si="425"/>
        <v>0</v>
      </c>
    </row>
    <row r="13623" spans="5:10" hidden="1">
      <c r="F13623" s="555">
        <v>543</v>
      </c>
      <c r="G13623" s="550" t="s">
        <v>3848</v>
      </c>
      <c r="J13623" s="635">
        <f t="shared" si="425"/>
        <v>0</v>
      </c>
    </row>
    <row r="13624" spans="5:10" ht="30" hidden="1">
      <c r="F13624" s="555">
        <v>551</v>
      </c>
      <c r="G13624" s="550" t="s">
        <v>4182</v>
      </c>
      <c r="J13624" s="635">
        <f t="shared" si="425"/>
        <v>0</v>
      </c>
    </row>
    <row r="13625" spans="5:10" hidden="1">
      <c r="F13625" s="556">
        <v>611</v>
      </c>
      <c r="G13625" s="554" t="s">
        <v>3854</v>
      </c>
      <c r="J13625" s="635">
        <f t="shared" si="425"/>
        <v>0</v>
      </c>
    </row>
    <row r="13626" spans="5:10" ht="15.75" hidden="1" thickBot="1">
      <c r="F13626" s="556">
        <v>620</v>
      </c>
      <c r="G13626" s="554" t="s">
        <v>88</v>
      </c>
      <c r="J13626" s="635">
        <f t="shared" si="425"/>
        <v>0</v>
      </c>
    </row>
    <row r="13627" spans="5:10" hidden="1">
      <c r="E13627" s="548"/>
      <c r="F13627" s="556"/>
      <c r="G13627" s="371" t="s">
        <v>4368</v>
      </c>
      <c r="H13627" s="636"/>
      <c r="I13627" s="662"/>
      <c r="J13627" s="637"/>
    </row>
    <row r="13628" spans="5:10" hidden="1">
      <c r="E13628" s="267"/>
      <c r="F13628" s="294" t="s">
        <v>234</v>
      </c>
      <c r="G13628" s="297" t="s">
        <v>235</v>
      </c>
      <c r="H13628" s="638">
        <f>SUM(H13567:H13626)</f>
        <v>0</v>
      </c>
      <c r="I13628" s="639"/>
      <c r="J13628" s="639">
        <f>SUM(H13628:I13628)</f>
        <v>0</v>
      </c>
    </row>
    <row r="13629" spans="5:10" hidden="1">
      <c r="F13629" s="294" t="s">
        <v>236</v>
      </c>
      <c r="G13629" s="297" t="s">
        <v>237</v>
      </c>
      <c r="J13629" s="639">
        <f t="shared" ref="J13629:J13643" si="426">SUM(H13629:I13629)</f>
        <v>0</v>
      </c>
    </row>
    <row r="13630" spans="5:10" hidden="1">
      <c r="F13630" s="294" t="s">
        <v>238</v>
      </c>
      <c r="G13630" s="297" t="s">
        <v>239</v>
      </c>
      <c r="J13630" s="639">
        <f t="shared" si="426"/>
        <v>0</v>
      </c>
    </row>
    <row r="13631" spans="5:10" hidden="1">
      <c r="F13631" s="294" t="s">
        <v>240</v>
      </c>
      <c r="G13631" s="297" t="s">
        <v>241</v>
      </c>
      <c r="J13631" s="639">
        <f t="shared" si="426"/>
        <v>0</v>
      </c>
    </row>
    <row r="13632" spans="5:10" hidden="1">
      <c r="F13632" s="294" t="s">
        <v>242</v>
      </c>
      <c r="G13632" s="297" t="s">
        <v>243</v>
      </c>
      <c r="J13632" s="639">
        <f t="shared" si="426"/>
        <v>0</v>
      </c>
    </row>
    <row r="13633" spans="5:10" hidden="1">
      <c r="F13633" s="294" t="s">
        <v>244</v>
      </c>
      <c r="G13633" s="297" t="s">
        <v>245</v>
      </c>
      <c r="J13633" s="639">
        <f t="shared" si="426"/>
        <v>0</v>
      </c>
    </row>
    <row r="13634" spans="5:10" hidden="1">
      <c r="F13634" s="294" t="s">
        <v>246</v>
      </c>
      <c r="G13634" s="683" t="s">
        <v>5121</v>
      </c>
      <c r="J13634" s="639">
        <f t="shared" si="426"/>
        <v>0</v>
      </c>
    </row>
    <row r="13635" spans="5:10" hidden="1">
      <c r="F13635" s="294" t="s">
        <v>247</v>
      </c>
      <c r="G13635" s="683" t="s">
        <v>5120</v>
      </c>
      <c r="J13635" s="639">
        <f t="shared" si="426"/>
        <v>0</v>
      </c>
    </row>
    <row r="13636" spans="5:10" hidden="1">
      <c r="F13636" s="294" t="s">
        <v>248</v>
      </c>
      <c r="G13636" s="297" t="s">
        <v>57</v>
      </c>
      <c r="J13636" s="639">
        <f t="shared" si="426"/>
        <v>0</v>
      </c>
    </row>
    <row r="13637" spans="5:10" hidden="1">
      <c r="F13637" s="294" t="s">
        <v>249</v>
      </c>
      <c r="G13637" s="297" t="s">
        <v>250</v>
      </c>
      <c r="J13637" s="639">
        <f t="shared" si="426"/>
        <v>0</v>
      </c>
    </row>
    <row r="13638" spans="5:10" hidden="1">
      <c r="F13638" s="294" t="s">
        <v>251</v>
      </c>
      <c r="G13638" s="297" t="s">
        <v>252</v>
      </c>
      <c r="J13638" s="639">
        <f t="shared" si="426"/>
        <v>0</v>
      </c>
    </row>
    <row r="13639" spans="5:10" hidden="1">
      <c r="F13639" s="294" t="s">
        <v>253</v>
      </c>
      <c r="G13639" s="297" t="s">
        <v>254</v>
      </c>
      <c r="J13639" s="639">
        <f t="shared" si="426"/>
        <v>0</v>
      </c>
    </row>
    <row r="13640" spans="5:10" hidden="1">
      <c r="F13640" s="294" t="s">
        <v>255</v>
      </c>
      <c r="G13640" s="297" t="s">
        <v>256</v>
      </c>
      <c r="J13640" s="639">
        <f t="shared" si="426"/>
        <v>0</v>
      </c>
    </row>
    <row r="13641" spans="5:10" hidden="1">
      <c r="F13641" s="294" t="s">
        <v>257</v>
      </c>
      <c r="G13641" s="297" t="s">
        <v>258</v>
      </c>
      <c r="J13641" s="639">
        <f t="shared" si="426"/>
        <v>0</v>
      </c>
    </row>
    <row r="13642" spans="5:10" hidden="1">
      <c r="F13642" s="294" t="s">
        <v>259</v>
      </c>
      <c r="G13642" s="297" t="s">
        <v>260</v>
      </c>
      <c r="J13642" s="639">
        <f t="shared" si="426"/>
        <v>0</v>
      </c>
    </row>
    <row r="13643" spans="5:10" ht="15.75" hidden="1" thickBot="1">
      <c r="F13643" s="294" t="s">
        <v>261</v>
      </c>
      <c r="G13643" s="297" t="s">
        <v>262</v>
      </c>
      <c r="H13643" s="638"/>
      <c r="I13643" s="639"/>
      <c r="J13643" s="639">
        <f t="shared" si="426"/>
        <v>0</v>
      </c>
    </row>
    <row r="13644" spans="5:10" ht="15.75" hidden="1" thickBot="1">
      <c r="G13644" s="274" t="s">
        <v>4369</v>
      </c>
      <c r="H13644" s="640">
        <f>SUM(H13628:H13643)</f>
        <v>0</v>
      </c>
      <c r="I13644" s="641">
        <f>SUM(I13629:I13643)</f>
        <v>0</v>
      </c>
      <c r="J13644" s="641">
        <f>SUM(J13628:J13643)</f>
        <v>0</v>
      </c>
    </row>
    <row r="13645" spans="5:10" hidden="1" collapsed="1">
      <c r="E13645" s="548"/>
      <c r="F13645" s="556"/>
      <c r="G13645" s="276" t="s">
        <v>4333</v>
      </c>
      <c r="H13645" s="642"/>
      <c r="I13645" s="663"/>
      <c r="J13645" s="643"/>
    </row>
    <row r="13646" spans="5:10" hidden="1">
      <c r="E13646" s="267"/>
      <c r="F13646" s="294" t="s">
        <v>234</v>
      </c>
      <c r="G13646" s="297" t="s">
        <v>235</v>
      </c>
      <c r="H13646" s="638">
        <f>SUM(H13567:H13626)</f>
        <v>0</v>
      </c>
      <c r="I13646" s="639"/>
      <c r="J13646" s="639">
        <f>SUM(H13646:I13646)</f>
        <v>0</v>
      </c>
    </row>
    <row r="13647" spans="5:10" hidden="1">
      <c r="F13647" s="294" t="s">
        <v>236</v>
      </c>
      <c r="G13647" s="297" t="s">
        <v>237</v>
      </c>
      <c r="J13647" s="639">
        <f t="shared" ref="J13647:J13661" si="427">SUM(H13647:I13647)</f>
        <v>0</v>
      </c>
    </row>
    <row r="13648" spans="5:10" hidden="1">
      <c r="F13648" s="294" t="s">
        <v>238</v>
      </c>
      <c r="G13648" s="297" t="s">
        <v>239</v>
      </c>
      <c r="J13648" s="639">
        <f t="shared" si="427"/>
        <v>0</v>
      </c>
    </row>
    <row r="13649" spans="3:10" hidden="1">
      <c r="F13649" s="294" t="s">
        <v>240</v>
      </c>
      <c r="G13649" s="297" t="s">
        <v>241</v>
      </c>
      <c r="J13649" s="639">
        <f t="shared" si="427"/>
        <v>0</v>
      </c>
    </row>
    <row r="13650" spans="3:10" hidden="1">
      <c r="F13650" s="294" t="s">
        <v>242</v>
      </c>
      <c r="G13650" s="297" t="s">
        <v>243</v>
      </c>
      <c r="J13650" s="639">
        <f t="shared" si="427"/>
        <v>0</v>
      </c>
    </row>
    <row r="13651" spans="3:10" hidden="1">
      <c r="F13651" s="294" t="s">
        <v>244</v>
      </c>
      <c r="G13651" s="297" t="s">
        <v>245</v>
      </c>
      <c r="J13651" s="639">
        <f t="shared" si="427"/>
        <v>0</v>
      </c>
    </row>
    <row r="13652" spans="3:10" hidden="1">
      <c r="F13652" s="294" t="s">
        <v>246</v>
      </c>
      <c r="G13652" s="683" t="s">
        <v>5121</v>
      </c>
      <c r="J13652" s="639">
        <f t="shared" si="427"/>
        <v>0</v>
      </c>
    </row>
    <row r="13653" spans="3:10" hidden="1">
      <c r="F13653" s="294" t="s">
        <v>247</v>
      </c>
      <c r="G13653" s="683" t="s">
        <v>5120</v>
      </c>
      <c r="J13653" s="639">
        <f t="shared" si="427"/>
        <v>0</v>
      </c>
    </row>
    <row r="13654" spans="3:10" hidden="1">
      <c r="F13654" s="294" t="s">
        <v>248</v>
      </c>
      <c r="G13654" s="297" t="s">
        <v>57</v>
      </c>
      <c r="J13654" s="639">
        <f t="shared" si="427"/>
        <v>0</v>
      </c>
    </row>
    <row r="13655" spans="3:10" hidden="1">
      <c r="F13655" s="294" t="s">
        <v>249</v>
      </c>
      <c r="G13655" s="297" t="s">
        <v>250</v>
      </c>
      <c r="J13655" s="639">
        <f t="shared" si="427"/>
        <v>0</v>
      </c>
    </row>
    <row r="13656" spans="3:10" hidden="1">
      <c r="F13656" s="294" t="s">
        <v>251</v>
      </c>
      <c r="G13656" s="297" t="s">
        <v>252</v>
      </c>
      <c r="J13656" s="639">
        <f t="shared" si="427"/>
        <v>0</v>
      </c>
    </row>
    <row r="13657" spans="3:10" hidden="1">
      <c r="F13657" s="294" t="s">
        <v>253</v>
      </c>
      <c r="G13657" s="297" t="s">
        <v>254</v>
      </c>
      <c r="J13657" s="639">
        <f t="shared" si="427"/>
        <v>0</v>
      </c>
    </row>
    <row r="13658" spans="3:10" hidden="1">
      <c r="F13658" s="294" t="s">
        <v>255</v>
      </c>
      <c r="G13658" s="297" t="s">
        <v>256</v>
      </c>
      <c r="J13658" s="639">
        <f t="shared" si="427"/>
        <v>0</v>
      </c>
    </row>
    <row r="13659" spans="3:10" hidden="1">
      <c r="F13659" s="294" t="s">
        <v>257</v>
      </c>
      <c r="G13659" s="297" t="s">
        <v>258</v>
      </c>
      <c r="J13659" s="639">
        <f t="shared" si="427"/>
        <v>0</v>
      </c>
    </row>
    <row r="13660" spans="3:10" hidden="1">
      <c r="F13660" s="294" t="s">
        <v>259</v>
      </c>
      <c r="G13660" s="297" t="s">
        <v>260</v>
      </c>
      <c r="J13660" s="639">
        <f t="shared" si="427"/>
        <v>0</v>
      </c>
    </row>
    <row r="13661" spans="3:10" ht="15.75" hidden="1" thickBot="1">
      <c r="F13661" s="294" t="s">
        <v>261</v>
      </c>
      <c r="G13661" s="297" t="s">
        <v>262</v>
      </c>
      <c r="H13661" s="638"/>
      <c r="I13661" s="639"/>
      <c r="J13661" s="639">
        <f t="shared" si="427"/>
        <v>0</v>
      </c>
    </row>
    <row r="13662" spans="3:10" ht="15.75" hidden="1" collapsed="1" thickBot="1">
      <c r="G13662" s="274" t="s">
        <v>4334</v>
      </c>
      <c r="H13662" s="640">
        <f>SUM(H13646:H13661)</f>
        <v>0</v>
      </c>
      <c r="I13662" s="641">
        <f>SUM(I13647:I13661)</f>
        <v>0</v>
      </c>
      <c r="J13662" s="641">
        <f>SUM(J13646:J13661)</f>
        <v>0</v>
      </c>
    </row>
    <row r="13663" spans="3:10" hidden="1"/>
    <row r="13664" spans="3:10" hidden="1">
      <c r="C13664" s="273" t="s">
        <v>4122</v>
      </c>
      <c r="D13664" s="264"/>
      <c r="G13664" s="553" t="s">
        <v>4123</v>
      </c>
    </row>
    <row r="13665" spans="1:25" s="88" customFormat="1" hidden="1">
      <c r="A13665" s="551"/>
      <c r="B13665" s="301"/>
      <c r="C13665" s="361"/>
      <c r="D13665" s="381" t="s">
        <v>3892</v>
      </c>
      <c r="E13665" s="382"/>
      <c r="F13665" s="380"/>
      <c r="G13665" s="359" t="s">
        <v>103</v>
      </c>
      <c r="H13665" s="667"/>
      <c r="I13665" s="650"/>
      <c r="J13665" s="668"/>
      <c r="K13665" s="575"/>
      <c r="L13665" s="575"/>
      <c r="M13665" s="575"/>
      <c r="N13665" s="575"/>
      <c r="O13665" s="575"/>
      <c r="P13665" s="575"/>
      <c r="Q13665" s="575"/>
      <c r="R13665" s="575"/>
      <c r="S13665" s="575"/>
      <c r="T13665" s="575"/>
      <c r="U13665" s="575"/>
      <c r="V13665" s="575"/>
      <c r="W13665" s="575"/>
      <c r="X13665" s="575"/>
      <c r="Y13665" s="575"/>
    </row>
    <row r="13666" spans="1:25" hidden="1">
      <c r="F13666" s="555">
        <v>411</v>
      </c>
      <c r="G13666" s="550" t="s">
        <v>4173</v>
      </c>
      <c r="J13666" s="635">
        <f>SUM(H13666:I13666)</f>
        <v>0</v>
      </c>
    </row>
    <row r="13667" spans="1:25" hidden="1">
      <c r="F13667" s="555">
        <v>412</v>
      </c>
      <c r="G13667" s="547" t="s">
        <v>3770</v>
      </c>
      <c r="J13667" s="635">
        <f t="shared" ref="J13667:J13725" si="428">SUM(H13667:I13667)</f>
        <v>0</v>
      </c>
    </row>
    <row r="13668" spans="1:25" hidden="1">
      <c r="F13668" s="555">
        <v>413</v>
      </c>
      <c r="G13668" s="550" t="s">
        <v>4174</v>
      </c>
      <c r="J13668" s="635">
        <f t="shared" si="428"/>
        <v>0</v>
      </c>
    </row>
    <row r="13669" spans="1:25" hidden="1">
      <c r="F13669" s="555">
        <v>414</v>
      </c>
      <c r="G13669" s="550" t="s">
        <v>3773</v>
      </c>
      <c r="J13669" s="635">
        <f t="shared" si="428"/>
        <v>0</v>
      </c>
    </row>
    <row r="13670" spans="1:25" hidden="1">
      <c r="F13670" s="555">
        <v>415</v>
      </c>
      <c r="G13670" s="550" t="s">
        <v>4183</v>
      </c>
      <c r="J13670" s="635">
        <f t="shared" si="428"/>
        <v>0</v>
      </c>
    </row>
    <row r="13671" spans="1:25" hidden="1">
      <c r="F13671" s="555">
        <v>416</v>
      </c>
      <c r="G13671" s="550" t="s">
        <v>4184</v>
      </c>
      <c r="J13671" s="635">
        <f t="shared" si="428"/>
        <v>0</v>
      </c>
    </row>
    <row r="13672" spans="1:25" hidden="1">
      <c r="F13672" s="555">
        <v>417</v>
      </c>
      <c r="G13672" s="550" t="s">
        <v>4185</v>
      </c>
      <c r="J13672" s="635">
        <f t="shared" si="428"/>
        <v>0</v>
      </c>
    </row>
    <row r="13673" spans="1:25" hidden="1">
      <c r="F13673" s="555">
        <v>418</v>
      </c>
      <c r="G13673" s="550" t="s">
        <v>3779</v>
      </c>
      <c r="J13673" s="635">
        <f t="shared" si="428"/>
        <v>0</v>
      </c>
    </row>
    <row r="13674" spans="1:25" hidden="1">
      <c r="F13674" s="555">
        <v>421</v>
      </c>
      <c r="G13674" s="550" t="s">
        <v>3783</v>
      </c>
      <c r="J13674" s="635">
        <f t="shared" si="428"/>
        <v>0</v>
      </c>
    </row>
    <row r="13675" spans="1:25" hidden="1">
      <c r="F13675" s="555">
        <v>422</v>
      </c>
      <c r="G13675" s="550" t="s">
        <v>3784</v>
      </c>
      <c r="J13675" s="635">
        <f t="shared" si="428"/>
        <v>0</v>
      </c>
    </row>
    <row r="13676" spans="1:25" hidden="1">
      <c r="F13676" s="555">
        <v>423</v>
      </c>
      <c r="G13676" s="550" t="s">
        <v>3785</v>
      </c>
      <c r="J13676" s="635">
        <f t="shared" si="428"/>
        <v>0</v>
      </c>
    </row>
    <row r="13677" spans="1:25" hidden="1">
      <c r="F13677" s="555">
        <v>424</v>
      </c>
      <c r="G13677" s="550" t="s">
        <v>3787</v>
      </c>
      <c r="J13677" s="635">
        <f t="shared" si="428"/>
        <v>0</v>
      </c>
    </row>
    <row r="13678" spans="1:25" hidden="1">
      <c r="F13678" s="555">
        <v>425</v>
      </c>
      <c r="G13678" s="550" t="s">
        <v>4186</v>
      </c>
      <c r="J13678" s="635">
        <f t="shared" si="428"/>
        <v>0</v>
      </c>
    </row>
    <row r="13679" spans="1:25" hidden="1">
      <c r="F13679" s="555">
        <v>426</v>
      </c>
      <c r="G13679" s="550" t="s">
        <v>3791</v>
      </c>
      <c r="J13679" s="635">
        <f t="shared" si="428"/>
        <v>0</v>
      </c>
    </row>
    <row r="13680" spans="1:25" hidden="1">
      <c r="F13680" s="555">
        <v>431</v>
      </c>
      <c r="G13680" s="550" t="s">
        <v>4187</v>
      </c>
      <c r="J13680" s="635">
        <f t="shared" si="428"/>
        <v>0</v>
      </c>
    </row>
    <row r="13681" spans="6:10" hidden="1">
      <c r="F13681" s="555">
        <v>432</v>
      </c>
      <c r="G13681" s="550" t="s">
        <v>4188</v>
      </c>
      <c r="J13681" s="635">
        <f t="shared" si="428"/>
        <v>0</v>
      </c>
    </row>
    <row r="13682" spans="6:10" hidden="1">
      <c r="F13682" s="555">
        <v>433</v>
      </c>
      <c r="G13682" s="550" t="s">
        <v>4189</v>
      </c>
      <c r="J13682" s="635">
        <f t="shared" si="428"/>
        <v>0</v>
      </c>
    </row>
    <row r="13683" spans="6:10" hidden="1">
      <c r="F13683" s="555">
        <v>434</v>
      </c>
      <c r="G13683" s="550" t="s">
        <v>4190</v>
      </c>
      <c r="J13683" s="635">
        <f t="shared" si="428"/>
        <v>0</v>
      </c>
    </row>
    <row r="13684" spans="6:10" hidden="1">
      <c r="F13684" s="555">
        <v>435</v>
      </c>
      <c r="G13684" s="550" t="s">
        <v>3798</v>
      </c>
      <c r="J13684" s="635">
        <f t="shared" si="428"/>
        <v>0</v>
      </c>
    </row>
    <row r="13685" spans="6:10" hidden="1">
      <c r="F13685" s="555">
        <v>441</v>
      </c>
      <c r="G13685" s="550" t="s">
        <v>4191</v>
      </c>
      <c r="J13685" s="635">
        <f t="shared" si="428"/>
        <v>0</v>
      </c>
    </row>
    <row r="13686" spans="6:10" hidden="1">
      <c r="F13686" s="555">
        <v>442</v>
      </c>
      <c r="G13686" s="550" t="s">
        <v>4192</v>
      </c>
      <c r="J13686" s="635">
        <f t="shared" si="428"/>
        <v>0</v>
      </c>
    </row>
    <row r="13687" spans="6:10" hidden="1">
      <c r="F13687" s="555">
        <v>443</v>
      </c>
      <c r="G13687" s="550" t="s">
        <v>3803</v>
      </c>
      <c r="J13687" s="635">
        <f t="shared" si="428"/>
        <v>0</v>
      </c>
    </row>
    <row r="13688" spans="6:10" hidden="1">
      <c r="F13688" s="555">
        <v>444</v>
      </c>
      <c r="G13688" s="550" t="s">
        <v>3804</v>
      </c>
      <c r="J13688" s="635">
        <f t="shared" si="428"/>
        <v>0</v>
      </c>
    </row>
    <row r="13689" spans="6:10" ht="30" hidden="1">
      <c r="F13689" s="555">
        <v>4511</v>
      </c>
      <c r="G13689" s="268" t="s">
        <v>1690</v>
      </c>
      <c r="J13689" s="635">
        <f t="shared" si="428"/>
        <v>0</v>
      </c>
    </row>
    <row r="13690" spans="6:10" ht="30" hidden="1">
      <c r="F13690" s="555">
        <v>4512</v>
      </c>
      <c r="G13690" s="268" t="s">
        <v>1699</v>
      </c>
      <c r="J13690" s="635">
        <f t="shared" si="428"/>
        <v>0</v>
      </c>
    </row>
    <row r="13691" spans="6:10" hidden="1">
      <c r="F13691" s="555">
        <v>452</v>
      </c>
      <c r="G13691" s="550" t="s">
        <v>4193</v>
      </c>
      <c r="J13691" s="635">
        <f t="shared" si="428"/>
        <v>0</v>
      </c>
    </row>
    <row r="13692" spans="6:10" hidden="1">
      <c r="F13692" s="555">
        <v>453</v>
      </c>
      <c r="G13692" s="550" t="s">
        <v>4194</v>
      </c>
      <c r="J13692" s="635">
        <f t="shared" si="428"/>
        <v>0</v>
      </c>
    </row>
    <row r="13693" spans="6:10" hidden="1">
      <c r="F13693" s="555">
        <v>454</v>
      </c>
      <c r="G13693" s="550" t="s">
        <v>3809</v>
      </c>
      <c r="J13693" s="635">
        <f t="shared" si="428"/>
        <v>0</v>
      </c>
    </row>
    <row r="13694" spans="6:10" hidden="1">
      <c r="F13694" s="555">
        <v>461</v>
      </c>
      <c r="G13694" s="550" t="s">
        <v>4175</v>
      </c>
      <c r="J13694" s="635">
        <f t="shared" si="428"/>
        <v>0</v>
      </c>
    </row>
    <row r="13695" spans="6:10" hidden="1">
      <c r="F13695" s="555">
        <v>462</v>
      </c>
      <c r="G13695" s="550" t="s">
        <v>3812</v>
      </c>
      <c r="J13695" s="635">
        <f t="shared" si="428"/>
        <v>0</v>
      </c>
    </row>
    <row r="13696" spans="6:10" hidden="1">
      <c r="F13696" s="555">
        <v>4631</v>
      </c>
      <c r="G13696" s="550" t="s">
        <v>3813</v>
      </c>
      <c r="J13696" s="635">
        <f t="shared" si="428"/>
        <v>0</v>
      </c>
    </row>
    <row r="13697" spans="6:10" hidden="1">
      <c r="F13697" s="555">
        <v>4632</v>
      </c>
      <c r="G13697" s="550" t="s">
        <v>3814</v>
      </c>
      <c r="J13697" s="635">
        <f t="shared" si="428"/>
        <v>0</v>
      </c>
    </row>
    <row r="13698" spans="6:10" hidden="1">
      <c r="F13698" s="555">
        <v>464</v>
      </c>
      <c r="G13698" s="550" t="s">
        <v>3815</v>
      </c>
      <c r="J13698" s="635">
        <f t="shared" si="428"/>
        <v>0</v>
      </c>
    </row>
    <row r="13699" spans="6:10" hidden="1">
      <c r="F13699" s="555">
        <v>465</v>
      </c>
      <c r="G13699" s="550" t="s">
        <v>4176</v>
      </c>
      <c r="J13699" s="635">
        <f t="shared" si="428"/>
        <v>0</v>
      </c>
    </row>
    <row r="13700" spans="6:10" hidden="1">
      <c r="F13700" s="555">
        <v>472</v>
      </c>
      <c r="G13700" s="550" t="s">
        <v>3819</v>
      </c>
      <c r="J13700" s="635">
        <f t="shared" si="428"/>
        <v>0</v>
      </c>
    </row>
    <row r="13701" spans="6:10" hidden="1">
      <c r="F13701" s="555">
        <v>481</v>
      </c>
      <c r="G13701" s="550" t="s">
        <v>4195</v>
      </c>
      <c r="J13701" s="635">
        <f t="shared" si="428"/>
        <v>0</v>
      </c>
    </row>
    <row r="13702" spans="6:10" hidden="1">
      <c r="F13702" s="555">
        <v>482</v>
      </c>
      <c r="G13702" s="550" t="s">
        <v>4196</v>
      </c>
      <c r="J13702" s="635">
        <f t="shared" si="428"/>
        <v>0</v>
      </c>
    </row>
    <row r="13703" spans="6:10" hidden="1">
      <c r="F13703" s="555">
        <v>483</v>
      </c>
      <c r="G13703" s="552" t="s">
        <v>4197</v>
      </c>
      <c r="J13703" s="635">
        <f t="shared" si="428"/>
        <v>0</v>
      </c>
    </row>
    <row r="13704" spans="6:10" ht="30" hidden="1">
      <c r="F13704" s="555">
        <v>484</v>
      </c>
      <c r="G13704" s="550" t="s">
        <v>4198</v>
      </c>
      <c r="J13704" s="635">
        <f t="shared" si="428"/>
        <v>0</v>
      </c>
    </row>
    <row r="13705" spans="6:10" ht="30" hidden="1">
      <c r="F13705" s="555">
        <v>485</v>
      </c>
      <c r="G13705" s="550" t="s">
        <v>4199</v>
      </c>
      <c r="J13705" s="635">
        <f t="shared" si="428"/>
        <v>0</v>
      </c>
    </row>
    <row r="13706" spans="6:10" ht="30" hidden="1">
      <c r="F13706" s="555">
        <v>489</v>
      </c>
      <c r="G13706" s="550" t="s">
        <v>3827</v>
      </c>
      <c r="J13706" s="635">
        <f t="shared" si="428"/>
        <v>0</v>
      </c>
    </row>
    <row r="13707" spans="6:10" hidden="1">
      <c r="F13707" s="555">
        <v>494</v>
      </c>
      <c r="G13707" s="550" t="s">
        <v>4177</v>
      </c>
      <c r="J13707" s="635">
        <f t="shared" si="428"/>
        <v>0</v>
      </c>
    </row>
    <row r="13708" spans="6:10" ht="30" hidden="1">
      <c r="F13708" s="555">
        <v>495</v>
      </c>
      <c r="G13708" s="550" t="s">
        <v>4178</v>
      </c>
      <c r="J13708" s="635">
        <f t="shared" si="428"/>
        <v>0</v>
      </c>
    </row>
    <row r="13709" spans="6:10" ht="30" hidden="1">
      <c r="F13709" s="555">
        <v>496</v>
      </c>
      <c r="G13709" s="550" t="s">
        <v>4179</v>
      </c>
      <c r="J13709" s="635">
        <f t="shared" si="428"/>
        <v>0</v>
      </c>
    </row>
    <row r="13710" spans="6:10" hidden="1">
      <c r="F13710" s="555">
        <v>499</v>
      </c>
      <c r="G13710" s="550" t="s">
        <v>4180</v>
      </c>
      <c r="J13710" s="635">
        <f t="shared" si="428"/>
        <v>0</v>
      </c>
    </row>
    <row r="13711" spans="6:10" hidden="1">
      <c r="F13711" s="555">
        <v>511</v>
      </c>
      <c r="G13711" s="552" t="s">
        <v>4200</v>
      </c>
      <c r="J13711" s="635">
        <f t="shared" si="428"/>
        <v>0</v>
      </c>
    </row>
    <row r="13712" spans="6:10" hidden="1">
      <c r="F13712" s="555">
        <v>512</v>
      </c>
      <c r="G13712" s="552" t="s">
        <v>4201</v>
      </c>
      <c r="J13712" s="635">
        <f t="shared" si="428"/>
        <v>0</v>
      </c>
    </row>
    <row r="13713" spans="5:10" hidden="1">
      <c r="F13713" s="555">
        <v>513</v>
      </c>
      <c r="G13713" s="552" t="s">
        <v>4202</v>
      </c>
      <c r="J13713" s="635">
        <f t="shared" si="428"/>
        <v>0</v>
      </c>
    </row>
    <row r="13714" spans="5:10" hidden="1">
      <c r="F13714" s="555">
        <v>514</v>
      </c>
      <c r="G13714" s="550" t="s">
        <v>4203</v>
      </c>
      <c r="J13714" s="635">
        <f t="shared" si="428"/>
        <v>0</v>
      </c>
    </row>
    <row r="13715" spans="5:10" hidden="1">
      <c r="F13715" s="555">
        <v>515</v>
      </c>
      <c r="G13715" s="550" t="s">
        <v>3838</v>
      </c>
      <c r="J13715" s="635">
        <f t="shared" si="428"/>
        <v>0</v>
      </c>
    </row>
    <row r="13716" spans="5:10" hidden="1">
      <c r="F13716" s="555">
        <v>521</v>
      </c>
      <c r="G13716" s="550" t="s">
        <v>4204</v>
      </c>
      <c r="J13716" s="635">
        <f t="shared" si="428"/>
        <v>0</v>
      </c>
    </row>
    <row r="13717" spans="5:10" hidden="1">
      <c r="F13717" s="555">
        <v>522</v>
      </c>
      <c r="G13717" s="550" t="s">
        <v>4205</v>
      </c>
      <c r="J13717" s="635">
        <f t="shared" si="428"/>
        <v>0</v>
      </c>
    </row>
    <row r="13718" spans="5:10" hidden="1">
      <c r="F13718" s="555">
        <v>523</v>
      </c>
      <c r="G13718" s="550" t="s">
        <v>3843</v>
      </c>
      <c r="J13718" s="635">
        <f t="shared" si="428"/>
        <v>0</v>
      </c>
    </row>
    <row r="13719" spans="5:10" hidden="1">
      <c r="F13719" s="555">
        <v>531</v>
      </c>
      <c r="G13719" s="547" t="s">
        <v>4181</v>
      </c>
      <c r="J13719" s="635">
        <f t="shared" si="428"/>
        <v>0</v>
      </c>
    </row>
    <row r="13720" spans="5:10" hidden="1">
      <c r="F13720" s="555">
        <v>541</v>
      </c>
      <c r="G13720" s="550" t="s">
        <v>4206</v>
      </c>
      <c r="J13720" s="635">
        <f t="shared" si="428"/>
        <v>0</v>
      </c>
    </row>
    <row r="13721" spans="5:10" hidden="1">
      <c r="F13721" s="555">
        <v>542</v>
      </c>
      <c r="G13721" s="550" t="s">
        <v>4207</v>
      </c>
      <c r="J13721" s="635">
        <f t="shared" si="428"/>
        <v>0</v>
      </c>
    </row>
    <row r="13722" spans="5:10" hidden="1">
      <c r="F13722" s="555">
        <v>543</v>
      </c>
      <c r="G13722" s="550" t="s">
        <v>3848</v>
      </c>
      <c r="J13722" s="635">
        <f t="shared" si="428"/>
        <v>0</v>
      </c>
    </row>
    <row r="13723" spans="5:10" ht="30" hidden="1">
      <c r="F13723" s="555">
        <v>551</v>
      </c>
      <c r="G13723" s="550" t="s">
        <v>4182</v>
      </c>
      <c r="J13723" s="635">
        <f t="shared" si="428"/>
        <v>0</v>
      </c>
    </row>
    <row r="13724" spans="5:10" hidden="1">
      <c r="F13724" s="556">
        <v>611</v>
      </c>
      <c r="G13724" s="554" t="s">
        <v>3854</v>
      </c>
      <c r="J13724" s="635">
        <f t="shared" si="428"/>
        <v>0</v>
      </c>
    </row>
    <row r="13725" spans="5:10" ht="15.75" hidden="1" thickBot="1">
      <c r="F13725" s="556">
        <v>620</v>
      </c>
      <c r="G13725" s="554" t="s">
        <v>88</v>
      </c>
      <c r="J13725" s="635">
        <f t="shared" si="428"/>
        <v>0</v>
      </c>
    </row>
    <row r="13726" spans="5:10" hidden="1">
      <c r="E13726" s="548"/>
      <c r="F13726" s="556"/>
      <c r="G13726" s="371" t="s">
        <v>4370</v>
      </c>
      <c r="H13726" s="636"/>
      <c r="I13726" s="662"/>
      <c r="J13726" s="637"/>
    </row>
    <row r="13727" spans="5:10" hidden="1">
      <c r="E13727" s="267"/>
      <c r="F13727" s="294" t="s">
        <v>234</v>
      </c>
      <c r="G13727" s="297" t="s">
        <v>235</v>
      </c>
      <c r="H13727" s="638">
        <f>SUM(H13666:H13725)</f>
        <v>0</v>
      </c>
      <c r="I13727" s="639"/>
      <c r="J13727" s="639">
        <f>SUM(H13727:I13727)</f>
        <v>0</v>
      </c>
    </row>
    <row r="13728" spans="5:10" hidden="1">
      <c r="F13728" s="294" t="s">
        <v>236</v>
      </c>
      <c r="G13728" s="297" t="s">
        <v>237</v>
      </c>
      <c r="J13728" s="639">
        <f t="shared" ref="J13728:J13742" si="429">SUM(H13728:I13728)</f>
        <v>0</v>
      </c>
    </row>
    <row r="13729" spans="5:10" hidden="1">
      <c r="F13729" s="294" t="s">
        <v>238</v>
      </c>
      <c r="G13729" s="297" t="s">
        <v>239</v>
      </c>
      <c r="J13729" s="639">
        <f t="shared" si="429"/>
        <v>0</v>
      </c>
    </row>
    <row r="13730" spans="5:10" hidden="1">
      <c r="F13730" s="294" t="s">
        <v>240</v>
      </c>
      <c r="G13730" s="297" t="s">
        <v>241</v>
      </c>
      <c r="J13730" s="639">
        <f t="shared" si="429"/>
        <v>0</v>
      </c>
    </row>
    <row r="13731" spans="5:10" hidden="1">
      <c r="F13731" s="294" t="s">
        <v>242</v>
      </c>
      <c r="G13731" s="297" t="s">
        <v>243</v>
      </c>
      <c r="J13731" s="639">
        <f t="shared" si="429"/>
        <v>0</v>
      </c>
    </row>
    <row r="13732" spans="5:10" hidden="1">
      <c r="F13732" s="294" t="s">
        <v>244</v>
      </c>
      <c r="G13732" s="297" t="s">
        <v>245</v>
      </c>
      <c r="J13732" s="639">
        <f t="shared" si="429"/>
        <v>0</v>
      </c>
    </row>
    <row r="13733" spans="5:10" hidden="1">
      <c r="F13733" s="294" t="s">
        <v>246</v>
      </c>
      <c r="G13733" s="683" t="s">
        <v>5121</v>
      </c>
      <c r="J13733" s="639">
        <f t="shared" si="429"/>
        <v>0</v>
      </c>
    </row>
    <row r="13734" spans="5:10" hidden="1">
      <c r="F13734" s="294" t="s">
        <v>247</v>
      </c>
      <c r="G13734" s="683" t="s">
        <v>5120</v>
      </c>
      <c r="J13734" s="639">
        <f t="shared" si="429"/>
        <v>0</v>
      </c>
    </row>
    <row r="13735" spans="5:10" hidden="1">
      <c r="F13735" s="294" t="s">
        <v>248</v>
      </c>
      <c r="G13735" s="297" t="s">
        <v>57</v>
      </c>
      <c r="J13735" s="639">
        <f t="shared" si="429"/>
        <v>0</v>
      </c>
    </row>
    <row r="13736" spans="5:10" hidden="1">
      <c r="F13736" s="294" t="s">
        <v>249</v>
      </c>
      <c r="G13736" s="297" t="s">
        <v>250</v>
      </c>
      <c r="J13736" s="639">
        <f t="shared" si="429"/>
        <v>0</v>
      </c>
    </row>
    <row r="13737" spans="5:10" hidden="1">
      <c r="F13737" s="294" t="s">
        <v>251</v>
      </c>
      <c r="G13737" s="297" t="s">
        <v>252</v>
      </c>
      <c r="J13737" s="639">
        <f t="shared" si="429"/>
        <v>0</v>
      </c>
    </row>
    <row r="13738" spans="5:10" hidden="1">
      <c r="F13738" s="294" t="s">
        <v>253</v>
      </c>
      <c r="G13738" s="297" t="s">
        <v>254</v>
      </c>
      <c r="J13738" s="639">
        <f t="shared" si="429"/>
        <v>0</v>
      </c>
    </row>
    <row r="13739" spans="5:10" hidden="1">
      <c r="F13739" s="294" t="s">
        <v>255</v>
      </c>
      <c r="G13739" s="297" t="s">
        <v>256</v>
      </c>
      <c r="J13739" s="639">
        <f t="shared" si="429"/>
        <v>0</v>
      </c>
    </row>
    <row r="13740" spans="5:10" hidden="1">
      <c r="F13740" s="294" t="s">
        <v>257</v>
      </c>
      <c r="G13740" s="297" t="s">
        <v>258</v>
      </c>
      <c r="J13740" s="639">
        <f t="shared" si="429"/>
        <v>0</v>
      </c>
    </row>
    <row r="13741" spans="5:10" hidden="1">
      <c r="F13741" s="294" t="s">
        <v>259</v>
      </c>
      <c r="G13741" s="297" t="s">
        <v>260</v>
      </c>
      <c r="J13741" s="639">
        <f t="shared" si="429"/>
        <v>0</v>
      </c>
    </row>
    <row r="13742" spans="5:10" ht="15.75" hidden="1" thickBot="1">
      <c r="F13742" s="294" t="s">
        <v>261</v>
      </c>
      <c r="G13742" s="297" t="s">
        <v>262</v>
      </c>
      <c r="H13742" s="638"/>
      <c r="I13742" s="639"/>
      <c r="J13742" s="639">
        <f t="shared" si="429"/>
        <v>0</v>
      </c>
    </row>
    <row r="13743" spans="5:10" ht="15.75" hidden="1" thickBot="1">
      <c r="G13743" s="274" t="s">
        <v>4371</v>
      </c>
      <c r="H13743" s="640">
        <f>SUM(H13727:H13742)</f>
        <v>0</v>
      </c>
      <c r="I13743" s="641">
        <f>SUM(I13728:I13742)</f>
        <v>0</v>
      </c>
      <c r="J13743" s="641">
        <f>SUM(J13727:J13742)</f>
        <v>0</v>
      </c>
    </row>
    <row r="13744" spans="5:10" hidden="1" collapsed="1">
      <c r="E13744" s="548"/>
      <c r="F13744" s="556"/>
      <c r="G13744" s="276" t="s">
        <v>4466</v>
      </c>
      <c r="H13744" s="642"/>
      <c r="I13744" s="663"/>
      <c r="J13744" s="643"/>
    </row>
    <row r="13745" spans="5:10" hidden="1">
      <c r="E13745" s="267"/>
      <c r="F13745" s="294" t="s">
        <v>234</v>
      </c>
      <c r="G13745" s="297" t="s">
        <v>235</v>
      </c>
      <c r="H13745" s="638">
        <f>SUM(H13666:H13725)</f>
        <v>0</v>
      </c>
      <c r="I13745" s="639"/>
      <c r="J13745" s="639">
        <f>SUM(H13745:I13745)</f>
        <v>0</v>
      </c>
    </row>
    <row r="13746" spans="5:10" hidden="1">
      <c r="F13746" s="294" t="s">
        <v>236</v>
      </c>
      <c r="G13746" s="297" t="s">
        <v>237</v>
      </c>
      <c r="J13746" s="639">
        <f t="shared" ref="J13746:J13760" si="430">SUM(H13746:I13746)</f>
        <v>0</v>
      </c>
    </row>
    <row r="13747" spans="5:10" hidden="1">
      <c r="F13747" s="294" t="s">
        <v>238</v>
      </c>
      <c r="G13747" s="297" t="s">
        <v>239</v>
      </c>
      <c r="J13747" s="639">
        <f t="shared" si="430"/>
        <v>0</v>
      </c>
    </row>
    <row r="13748" spans="5:10" hidden="1">
      <c r="F13748" s="294" t="s">
        <v>240</v>
      </c>
      <c r="G13748" s="297" t="s">
        <v>241</v>
      </c>
      <c r="J13748" s="639">
        <f t="shared" si="430"/>
        <v>0</v>
      </c>
    </row>
    <row r="13749" spans="5:10" hidden="1">
      <c r="F13749" s="294" t="s">
        <v>242</v>
      </c>
      <c r="G13749" s="297" t="s">
        <v>243</v>
      </c>
      <c r="J13749" s="639">
        <f t="shared" si="430"/>
        <v>0</v>
      </c>
    </row>
    <row r="13750" spans="5:10" hidden="1">
      <c r="F13750" s="294" t="s">
        <v>244</v>
      </c>
      <c r="G13750" s="297" t="s">
        <v>245</v>
      </c>
      <c r="J13750" s="639">
        <f t="shared" si="430"/>
        <v>0</v>
      </c>
    </row>
    <row r="13751" spans="5:10" hidden="1">
      <c r="F13751" s="294" t="s">
        <v>246</v>
      </c>
      <c r="G13751" s="683" t="s">
        <v>5121</v>
      </c>
      <c r="J13751" s="639">
        <f t="shared" si="430"/>
        <v>0</v>
      </c>
    </row>
    <row r="13752" spans="5:10" hidden="1">
      <c r="F13752" s="294" t="s">
        <v>247</v>
      </c>
      <c r="G13752" s="683" t="s">
        <v>5120</v>
      </c>
      <c r="J13752" s="639">
        <f t="shared" si="430"/>
        <v>0</v>
      </c>
    </row>
    <row r="13753" spans="5:10" hidden="1">
      <c r="F13753" s="294" t="s">
        <v>248</v>
      </c>
      <c r="G13753" s="297" t="s">
        <v>57</v>
      </c>
      <c r="J13753" s="639">
        <f t="shared" si="430"/>
        <v>0</v>
      </c>
    </row>
    <row r="13754" spans="5:10" hidden="1">
      <c r="F13754" s="294" t="s">
        <v>249</v>
      </c>
      <c r="G13754" s="297" t="s">
        <v>250</v>
      </c>
      <c r="J13754" s="639">
        <f t="shared" si="430"/>
        <v>0</v>
      </c>
    </row>
    <row r="13755" spans="5:10" hidden="1">
      <c r="F13755" s="294" t="s">
        <v>251</v>
      </c>
      <c r="G13755" s="297" t="s">
        <v>252</v>
      </c>
      <c r="J13755" s="639">
        <f t="shared" si="430"/>
        <v>0</v>
      </c>
    </row>
    <row r="13756" spans="5:10" hidden="1">
      <c r="F13756" s="294" t="s">
        <v>253</v>
      </c>
      <c r="G13756" s="297" t="s">
        <v>254</v>
      </c>
      <c r="J13756" s="639">
        <f t="shared" si="430"/>
        <v>0</v>
      </c>
    </row>
    <row r="13757" spans="5:10" hidden="1">
      <c r="F13757" s="294" t="s">
        <v>255</v>
      </c>
      <c r="G13757" s="297" t="s">
        <v>256</v>
      </c>
      <c r="J13757" s="639">
        <f t="shared" si="430"/>
        <v>0</v>
      </c>
    </row>
    <row r="13758" spans="5:10" hidden="1">
      <c r="F13758" s="294" t="s">
        <v>257</v>
      </c>
      <c r="G13758" s="297" t="s">
        <v>258</v>
      </c>
      <c r="J13758" s="639">
        <f t="shared" si="430"/>
        <v>0</v>
      </c>
    </row>
    <row r="13759" spans="5:10" hidden="1">
      <c r="F13759" s="294" t="s">
        <v>259</v>
      </c>
      <c r="G13759" s="297" t="s">
        <v>260</v>
      </c>
      <c r="J13759" s="639">
        <f t="shared" si="430"/>
        <v>0</v>
      </c>
    </row>
    <row r="13760" spans="5:10" ht="15.75" hidden="1" thickBot="1">
      <c r="F13760" s="294" t="s">
        <v>261</v>
      </c>
      <c r="G13760" s="297" t="s">
        <v>262</v>
      </c>
      <c r="H13760" s="638"/>
      <c r="I13760" s="639"/>
      <c r="J13760" s="639">
        <f t="shared" si="430"/>
        <v>0</v>
      </c>
    </row>
    <row r="13761" spans="1:25" ht="15.75" hidden="1" collapsed="1" thickBot="1">
      <c r="G13761" s="274" t="s">
        <v>4467</v>
      </c>
      <c r="H13761" s="640">
        <f>SUM(H13745:H13760)</f>
        <v>0</v>
      </c>
      <c r="I13761" s="641">
        <f>SUM(I13746:I13760)</f>
        <v>0</v>
      </c>
      <c r="J13761" s="641">
        <f>SUM(J13745:J13760)</f>
        <v>0</v>
      </c>
    </row>
    <row r="13762" spans="1:25" hidden="1"/>
    <row r="13763" spans="1:25" s="88" customFormat="1" hidden="1">
      <c r="A13763" s="551"/>
      <c r="B13763" s="301"/>
      <c r="C13763" s="361"/>
      <c r="D13763" s="296"/>
      <c r="E13763" s="296"/>
      <c r="F13763" s="556"/>
      <c r="G13763" s="295" t="s">
        <v>4258</v>
      </c>
      <c r="H13763" s="646"/>
      <c r="I13763" s="664"/>
      <c r="J13763" s="647"/>
      <c r="K13763" s="575"/>
      <c r="L13763" s="575"/>
      <c r="M13763" s="575"/>
      <c r="N13763" s="575"/>
      <c r="O13763" s="575"/>
      <c r="P13763" s="575"/>
      <c r="Q13763" s="575"/>
      <c r="R13763" s="575"/>
      <c r="S13763" s="575"/>
      <c r="T13763" s="575"/>
      <c r="U13763" s="575"/>
      <c r="V13763" s="575"/>
      <c r="W13763" s="575"/>
      <c r="X13763" s="575"/>
      <c r="Y13763" s="575"/>
    </row>
    <row r="13764" spans="1:25" s="88" customFormat="1" hidden="1">
      <c r="A13764" s="551"/>
      <c r="B13764" s="301"/>
      <c r="C13764" s="361"/>
      <c r="D13764" s="296"/>
      <c r="E13764" s="296"/>
      <c r="F13764" s="294" t="s">
        <v>234</v>
      </c>
      <c r="G13764" s="297" t="s">
        <v>235</v>
      </c>
      <c r="H13764" s="638">
        <f>SUM(H13745,H13646,)</f>
        <v>0</v>
      </c>
      <c r="I13764" s="639"/>
      <c r="J13764" s="639">
        <f>SUM(H13764:I13764)</f>
        <v>0</v>
      </c>
      <c r="K13764" s="575"/>
      <c r="L13764" s="575"/>
      <c r="M13764" s="575"/>
      <c r="N13764" s="575"/>
      <c r="O13764" s="575"/>
      <c r="P13764" s="575"/>
      <c r="Q13764" s="575"/>
      <c r="R13764" s="575"/>
      <c r="S13764" s="575"/>
      <c r="T13764" s="575"/>
      <c r="U13764" s="575"/>
      <c r="V13764" s="575"/>
      <c r="W13764" s="575"/>
      <c r="X13764" s="575"/>
      <c r="Y13764" s="575"/>
    </row>
    <row r="13765" spans="1:25" s="88" customFormat="1" hidden="1">
      <c r="A13765" s="551"/>
      <c r="B13765" s="301"/>
      <c r="C13765" s="361"/>
      <c r="D13765" s="296"/>
      <c r="E13765" s="296"/>
      <c r="F13765" s="294" t="s">
        <v>236</v>
      </c>
      <c r="G13765" s="297" t="s">
        <v>237</v>
      </c>
      <c r="H13765" s="634"/>
      <c r="I13765" s="635"/>
      <c r="J13765" s="639">
        <f t="shared" ref="J13765:J13779" si="431">SUM(H13765:I13765)</f>
        <v>0</v>
      </c>
      <c r="K13765" s="575"/>
      <c r="L13765" s="575"/>
      <c r="M13765" s="575"/>
      <c r="N13765" s="575"/>
      <c r="O13765" s="575"/>
      <c r="P13765" s="575"/>
      <c r="Q13765" s="575"/>
      <c r="R13765" s="575"/>
      <c r="S13765" s="575"/>
      <c r="T13765" s="575"/>
      <c r="U13765" s="575"/>
      <c r="V13765" s="575"/>
      <c r="W13765" s="575"/>
      <c r="X13765" s="575"/>
      <c r="Y13765" s="575"/>
    </row>
    <row r="13766" spans="1:25" s="88" customFormat="1" hidden="1">
      <c r="A13766" s="551"/>
      <c r="B13766" s="301"/>
      <c r="C13766" s="361"/>
      <c r="D13766" s="296"/>
      <c r="E13766" s="296"/>
      <c r="F13766" s="294" t="s">
        <v>238</v>
      </c>
      <c r="G13766" s="297" t="s">
        <v>239</v>
      </c>
      <c r="H13766" s="634"/>
      <c r="I13766" s="635"/>
      <c r="J13766" s="639">
        <f t="shared" si="431"/>
        <v>0</v>
      </c>
      <c r="K13766" s="575"/>
      <c r="L13766" s="575"/>
      <c r="M13766" s="575"/>
      <c r="N13766" s="575"/>
      <c r="O13766" s="575"/>
      <c r="P13766" s="575"/>
      <c r="Q13766" s="575"/>
      <c r="R13766" s="575"/>
      <c r="S13766" s="575"/>
      <c r="T13766" s="575"/>
      <c r="U13766" s="575"/>
      <c r="V13766" s="575"/>
      <c r="W13766" s="575"/>
      <c r="X13766" s="575"/>
      <c r="Y13766" s="575"/>
    </row>
    <row r="13767" spans="1:25" s="88" customFormat="1" hidden="1">
      <c r="A13767" s="551"/>
      <c r="B13767" s="301"/>
      <c r="C13767" s="361"/>
      <c r="D13767" s="296"/>
      <c r="E13767" s="296"/>
      <c r="F13767" s="294" t="s">
        <v>240</v>
      </c>
      <c r="G13767" s="297" t="s">
        <v>241</v>
      </c>
      <c r="H13767" s="634"/>
      <c r="I13767" s="635"/>
      <c r="J13767" s="639">
        <f t="shared" si="431"/>
        <v>0</v>
      </c>
      <c r="K13767" s="575"/>
      <c r="L13767" s="575"/>
      <c r="M13767" s="575"/>
      <c r="N13767" s="575"/>
      <c r="O13767" s="575"/>
      <c r="P13767" s="575"/>
      <c r="Q13767" s="575"/>
      <c r="R13767" s="575"/>
      <c r="S13767" s="575"/>
      <c r="T13767" s="575"/>
      <c r="U13767" s="575"/>
      <c r="V13767" s="575"/>
      <c r="W13767" s="575"/>
      <c r="X13767" s="575"/>
      <c r="Y13767" s="575"/>
    </row>
    <row r="13768" spans="1:25" s="88" customFormat="1" hidden="1">
      <c r="A13768" s="551"/>
      <c r="B13768" s="301"/>
      <c r="C13768" s="361"/>
      <c r="D13768" s="296"/>
      <c r="E13768" s="296"/>
      <c r="F13768" s="294" t="s">
        <v>242</v>
      </c>
      <c r="G13768" s="297" t="s">
        <v>243</v>
      </c>
      <c r="H13768" s="634"/>
      <c r="I13768" s="635"/>
      <c r="J13768" s="639">
        <f t="shared" si="431"/>
        <v>0</v>
      </c>
      <c r="K13768" s="575"/>
      <c r="L13768" s="575"/>
      <c r="M13768" s="575"/>
      <c r="N13768" s="575"/>
      <c r="O13768" s="575"/>
      <c r="P13768" s="575"/>
      <c r="Q13768" s="575"/>
      <c r="R13768" s="575"/>
      <c r="S13768" s="575"/>
      <c r="T13768" s="575"/>
      <c r="U13768" s="575"/>
      <c r="V13768" s="575"/>
      <c r="W13768" s="575"/>
      <c r="X13768" s="575"/>
      <c r="Y13768" s="575"/>
    </row>
    <row r="13769" spans="1:25" s="88" customFormat="1" hidden="1">
      <c r="A13769" s="551"/>
      <c r="B13769" s="301"/>
      <c r="C13769" s="361"/>
      <c r="D13769" s="296"/>
      <c r="E13769" s="296"/>
      <c r="F13769" s="294" t="s">
        <v>244</v>
      </c>
      <c r="G13769" s="297" t="s">
        <v>245</v>
      </c>
      <c r="H13769" s="634"/>
      <c r="I13769" s="635"/>
      <c r="J13769" s="639">
        <f t="shared" si="431"/>
        <v>0</v>
      </c>
      <c r="K13769" s="575"/>
      <c r="L13769" s="575"/>
      <c r="M13769" s="575"/>
      <c r="N13769" s="575"/>
      <c r="O13769" s="575"/>
      <c r="P13769" s="575"/>
      <c r="Q13769" s="575"/>
      <c r="R13769" s="575"/>
      <c r="S13769" s="575"/>
      <c r="T13769" s="575"/>
      <c r="U13769" s="575"/>
      <c r="V13769" s="575"/>
      <c r="W13769" s="575"/>
      <c r="X13769" s="575"/>
      <c r="Y13769" s="575"/>
    </row>
    <row r="13770" spans="1:25" s="88" customFormat="1" hidden="1">
      <c r="A13770" s="551"/>
      <c r="B13770" s="301"/>
      <c r="C13770" s="361"/>
      <c r="D13770" s="296"/>
      <c r="E13770" s="296"/>
      <c r="F13770" s="294" t="s">
        <v>246</v>
      </c>
      <c r="G13770" s="683" t="s">
        <v>5121</v>
      </c>
      <c r="H13770" s="634"/>
      <c r="I13770" s="635"/>
      <c r="J13770" s="639">
        <f t="shared" si="431"/>
        <v>0</v>
      </c>
      <c r="K13770" s="575"/>
      <c r="L13770" s="575"/>
      <c r="M13770" s="575"/>
      <c r="N13770" s="575"/>
      <c r="O13770" s="575"/>
      <c r="P13770" s="575"/>
      <c r="Q13770" s="575"/>
      <c r="R13770" s="575"/>
      <c r="S13770" s="575"/>
      <c r="T13770" s="575"/>
      <c r="U13770" s="575"/>
      <c r="V13770" s="575"/>
      <c r="W13770" s="575"/>
      <c r="X13770" s="575"/>
      <c r="Y13770" s="575"/>
    </row>
    <row r="13771" spans="1:25" s="88" customFormat="1" hidden="1">
      <c r="A13771" s="551"/>
      <c r="B13771" s="301"/>
      <c r="C13771" s="361"/>
      <c r="D13771" s="296"/>
      <c r="E13771" s="296"/>
      <c r="F13771" s="294" t="s">
        <v>247</v>
      </c>
      <c r="G13771" s="683" t="s">
        <v>5120</v>
      </c>
      <c r="H13771" s="634"/>
      <c r="I13771" s="635"/>
      <c r="J13771" s="639">
        <f t="shared" si="431"/>
        <v>0</v>
      </c>
      <c r="K13771" s="575"/>
      <c r="L13771" s="575"/>
      <c r="M13771" s="575"/>
      <c r="N13771" s="575"/>
      <c r="O13771" s="575"/>
      <c r="P13771" s="575"/>
      <c r="Q13771" s="575"/>
      <c r="R13771" s="575"/>
      <c r="S13771" s="575"/>
      <c r="T13771" s="575"/>
      <c r="U13771" s="575"/>
      <c r="V13771" s="575"/>
      <c r="W13771" s="575"/>
      <c r="X13771" s="575"/>
      <c r="Y13771" s="575"/>
    </row>
    <row r="13772" spans="1:25" s="88" customFormat="1" hidden="1">
      <c r="A13772" s="551"/>
      <c r="B13772" s="301"/>
      <c r="C13772" s="361"/>
      <c r="D13772" s="296"/>
      <c r="E13772" s="296"/>
      <c r="F13772" s="294" t="s">
        <v>248</v>
      </c>
      <c r="G13772" s="297" t="s">
        <v>57</v>
      </c>
      <c r="H13772" s="634"/>
      <c r="I13772" s="635"/>
      <c r="J13772" s="639">
        <f t="shared" si="431"/>
        <v>0</v>
      </c>
      <c r="K13772" s="575"/>
      <c r="L13772" s="575"/>
      <c r="M13772" s="575"/>
      <c r="N13772" s="575"/>
      <c r="O13772" s="575"/>
      <c r="P13772" s="575"/>
      <c r="Q13772" s="575"/>
      <c r="R13772" s="575"/>
      <c r="S13772" s="575"/>
      <c r="T13772" s="575"/>
      <c r="U13772" s="575"/>
      <c r="V13772" s="575"/>
      <c r="W13772" s="575"/>
      <c r="X13772" s="575"/>
      <c r="Y13772" s="575"/>
    </row>
    <row r="13773" spans="1:25" s="88" customFormat="1" hidden="1">
      <c r="A13773" s="551"/>
      <c r="B13773" s="301"/>
      <c r="C13773" s="361"/>
      <c r="D13773" s="296"/>
      <c r="E13773" s="296"/>
      <c r="F13773" s="294" t="s">
        <v>249</v>
      </c>
      <c r="G13773" s="297" t="s">
        <v>250</v>
      </c>
      <c r="H13773" s="634"/>
      <c r="I13773" s="635"/>
      <c r="J13773" s="639">
        <f t="shared" si="431"/>
        <v>0</v>
      </c>
      <c r="K13773" s="575"/>
      <c r="L13773" s="575"/>
      <c r="M13773" s="575"/>
      <c r="N13773" s="575"/>
      <c r="O13773" s="575"/>
      <c r="P13773" s="575"/>
      <c r="Q13773" s="575"/>
      <c r="R13773" s="575"/>
      <c r="S13773" s="575"/>
      <c r="T13773" s="575"/>
      <c r="U13773" s="575"/>
      <c r="V13773" s="575"/>
      <c r="W13773" s="575"/>
      <c r="X13773" s="575"/>
      <c r="Y13773" s="575"/>
    </row>
    <row r="13774" spans="1:25" s="88" customFormat="1" hidden="1">
      <c r="A13774" s="551"/>
      <c r="B13774" s="301"/>
      <c r="C13774" s="361"/>
      <c r="D13774" s="296"/>
      <c r="E13774" s="296"/>
      <c r="F13774" s="294" t="s">
        <v>251</v>
      </c>
      <c r="G13774" s="297" t="s">
        <v>252</v>
      </c>
      <c r="H13774" s="634"/>
      <c r="I13774" s="635"/>
      <c r="J13774" s="639">
        <f t="shared" si="431"/>
        <v>0</v>
      </c>
      <c r="K13774" s="575"/>
      <c r="L13774" s="575"/>
      <c r="M13774" s="575"/>
      <c r="N13774" s="575"/>
      <c r="O13774" s="575"/>
      <c r="P13774" s="575"/>
      <c r="Q13774" s="575"/>
      <c r="R13774" s="575"/>
      <c r="S13774" s="575"/>
      <c r="T13774" s="575"/>
      <c r="U13774" s="575"/>
      <c r="V13774" s="575"/>
      <c r="W13774" s="575"/>
      <c r="X13774" s="575"/>
      <c r="Y13774" s="575"/>
    </row>
    <row r="13775" spans="1:25" s="88" customFormat="1" hidden="1">
      <c r="A13775" s="551"/>
      <c r="B13775" s="301"/>
      <c r="C13775" s="361"/>
      <c r="D13775" s="296"/>
      <c r="E13775" s="296"/>
      <c r="F13775" s="294" t="s">
        <v>253</v>
      </c>
      <c r="G13775" s="297" t="s">
        <v>254</v>
      </c>
      <c r="H13775" s="634"/>
      <c r="I13775" s="635"/>
      <c r="J13775" s="639">
        <f t="shared" si="431"/>
        <v>0</v>
      </c>
      <c r="K13775" s="575"/>
      <c r="L13775" s="575"/>
      <c r="M13775" s="575"/>
      <c r="N13775" s="575"/>
      <c r="O13775" s="575"/>
      <c r="P13775" s="575"/>
      <c r="Q13775" s="575"/>
      <c r="R13775" s="575"/>
      <c r="S13775" s="575"/>
      <c r="T13775" s="575"/>
      <c r="U13775" s="575"/>
      <c r="V13775" s="575"/>
      <c r="W13775" s="575"/>
      <c r="X13775" s="575"/>
      <c r="Y13775" s="575"/>
    </row>
    <row r="13776" spans="1:25" s="88" customFormat="1" hidden="1">
      <c r="A13776" s="551"/>
      <c r="B13776" s="301"/>
      <c r="C13776" s="361"/>
      <c r="D13776" s="296"/>
      <c r="E13776" s="296"/>
      <c r="F13776" s="294" t="s">
        <v>255</v>
      </c>
      <c r="G13776" s="297" t="s">
        <v>256</v>
      </c>
      <c r="H13776" s="634"/>
      <c r="I13776" s="635"/>
      <c r="J13776" s="639">
        <f t="shared" si="431"/>
        <v>0</v>
      </c>
      <c r="K13776" s="575"/>
      <c r="L13776" s="575"/>
      <c r="M13776" s="575"/>
      <c r="N13776" s="575"/>
      <c r="O13776" s="575"/>
      <c r="P13776" s="575"/>
      <c r="Q13776" s="575"/>
      <c r="R13776" s="575"/>
      <c r="S13776" s="575"/>
      <c r="T13776" s="575"/>
      <c r="U13776" s="575"/>
      <c r="V13776" s="575"/>
      <c r="W13776" s="575"/>
      <c r="X13776" s="575"/>
      <c r="Y13776" s="575"/>
    </row>
    <row r="13777" spans="1:25" s="88" customFormat="1" hidden="1">
      <c r="A13777" s="551"/>
      <c r="B13777" s="301"/>
      <c r="C13777" s="361"/>
      <c r="D13777" s="296"/>
      <c r="E13777" s="296"/>
      <c r="F13777" s="294" t="s">
        <v>257</v>
      </c>
      <c r="G13777" s="297" t="s">
        <v>258</v>
      </c>
      <c r="H13777" s="634"/>
      <c r="I13777" s="635"/>
      <c r="J13777" s="639">
        <f t="shared" si="431"/>
        <v>0</v>
      </c>
      <c r="K13777" s="575"/>
      <c r="L13777" s="575"/>
      <c r="M13777" s="575"/>
      <c r="N13777" s="575"/>
      <c r="O13777" s="575"/>
      <c r="P13777" s="575"/>
      <c r="Q13777" s="575"/>
      <c r="R13777" s="575"/>
      <c r="S13777" s="575"/>
      <c r="T13777" s="575"/>
      <c r="U13777" s="575"/>
      <c r="V13777" s="575"/>
      <c r="W13777" s="575"/>
      <c r="X13777" s="575"/>
      <c r="Y13777" s="575"/>
    </row>
    <row r="13778" spans="1:25" s="88" customFormat="1" hidden="1">
      <c r="A13778" s="551"/>
      <c r="B13778" s="301"/>
      <c r="C13778" s="361"/>
      <c r="D13778" s="296"/>
      <c r="E13778" s="296"/>
      <c r="F13778" s="294" t="s">
        <v>259</v>
      </c>
      <c r="G13778" s="297" t="s">
        <v>260</v>
      </c>
      <c r="H13778" s="634"/>
      <c r="I13778" s="635"/>
      <c r="J13778" s="639">
        <f t="shared" si="431"/>
        <v>0</v>
      </c>
      <c r="K13778" s="575"/>
      <c r="L13778" s="575"/>
      <c r="M13778" s="575"/>
      <c r="N13778" s="575"/>
      <c r="O13778" s="575"/>
      <c r="P13778" s="575"/>
      <c r="Q13778" s="575"/>
      <c r="R13778" s="575"/>
      <c r="S13778" s="575"/>
      <c r="T13778" s="575"/>
      <c r="U13778" s="575"/>
      <c r="V13778" s="575"/>
      <c r="W13778" s="575"/>
      <c r="X13778" s="575"/>
      <c r="Y13778" s="575"/>
    </row>
    <row r="13779" spans="1:25" s="88" customFormat="1" ht="15.75" hidden="1" thickBot="1">
      <c r="A13779" s="551"/>
      <c r="B13779" s="301"/>
      <c r="C13779" s="361"/>
      <c r="D13779" s="296"/>
      <c r="E13779" s="296"/>
      <c r="F13779" s="294" t="s">
        <v>261</v>
      </c>
      <c r="G13779" s="297" t="s">
        <v>262</v>
      </c>
      <c r="H13779" s="638"/>
      <c r="I13779" s="639"/>
      <c r="J13779" s="639">
        <f t="shared" si="431"/>
        <v>0</v>
      </c>
      <c r="K13779" s="575"/>
      <c r="L13779" s="575"/>
      <c r="M13779" s="575"/>
      <c r="N13779" s="575"/>
      <c r="O13779" s="575"/>
      <c r="P13779" s="575"/>
      <c r="Q13779" s="575"/>
      <c r="R13779" s="575"/>
      <c r="S13779" s="575"/>
      <c r="T13779" s="575"/>
      <c r="U13779" s="575"/>
      <c r="V13779" s="575"/>
      <c r="W13779" s="575"/>
      <c r="X13779" s="575"/>
      <c r="Y13779" s="575"/>
    </row>
    <row r="13780" spans="1:25" s="88" customFormat="1" ht="15.75" hidden="1" thickBot="1">
      <c r="A13780" s="551"/>
      <c r="B13780" s="301"/>
      <c r="C13780" s="361"/>
      <c r="D13780" s="296"/>
      <c r="E13780" s="296"/>
      <c r="F13780" s="263"/>
      <c r="G13780" s="274" t="s">
        <v>4259</v>
      </c>
      <c r="H13780" s="640">
        <f>SUM(H13764:H13779)</f>
        <v>0</v>
      </c>
      <c r="I13780" s="641">
        <f>SUM(I13765:I13779)</f>
        <v>0</v>
      </c>
      <c r="J13780" s="641">
        <f>SUM(J13764:J13779)</f>
        <v>0</v>
      </c>
      <c r="K13780" s="575"/>
      <c r="L13780" s="575"/>
      <c r="M13780" s="575"/>
      <c r="N13780" s="575"/>
      <c r="O13780" s="575"/>
      <c r="P13780" s="575"/>
      <c r="Q13780" s="575"/>
      <c r="R13780" s="575"/>
      <c r="S13780" s="575"/>
      <c r="T13780" s="575"/>
      <c r="U13780" s="575"/>
      <c r="V13780" s="575"/>
      <c r="W13780" s="575"/>
      <c r="X13780" s="575"/>
      <c r="Y13780" s="575"/>
    </row>
    <row r="13781" spans="1:25" hidden="1"/>
    <row r="13782" spans="1:25" hidden="1">
      <c r="E13782" s="548"/>
      <c r="F13782" s="556"/>
      <c r="G13782" s="295" t="s">
        <v>4460</v>
      </c>
      <c r="H13782" s="646"/>
      <c r="I13782" s="664"/>
      <c r="J13782" s="647"/>
    </row>
    <row r="13783" spans="1:25" hidden="1">
      <c r="E13783" s="267"/>
      <c r="F13783" s="294" t="s">
        <v>234</v>
      </c>
      <c r="G13783" s="297" t="s">
        <v>235</v>
      </c>
      <c r="H13783" s="638">
        <f>SUM(H13764)</f>
        <v>0</v>
      </c>
      <c r="I13783" s="639"/>
      <c r="J13783" s="639">
        <f>SUM(H13783:I13783)</f>
        <v>0</v>
      </c>
    </row>
    <row r="13784" spans="1:25" hidden="1">
      <c r="F13784" s="294" t="s">
        <v>236</v>
      </c>
      <c r="G13784" s="297" t="s">
        <v>237</v>
      </c>
      <c r="J13784" s="639">
        <f t="shared" ref="J13784:J13798" si="432">SUM(H13784:I13784)</f>
        <v>0</v>
      </c>
    </row>
    <row r="13785" spans="1:25" hidden="1">
      <c r="F13785" s="294" t="s">
        <v>238</v>
      </c>
      <c r="G13785" s="297" t="s">
        <v>239</v>
      </c>
      <c r="J13785" s="639">
        <f t="shared" si="432"/>
        <v>0</v>
      </c>
    </row>
    <row r="13786" spans="1:25" hidden="1">
      <c r="F13786" s="294" t="s">
        <v>240</v>
      </c>
      <c r="G13786" s="297" t="s">
        <v>241</v>
      </c>
      <c r="J13786" s="639">
        <f t="shared" si="432"/>
        <v>0</v>
      </c>
    </row>
    <row r="13787" spans="1:25" hidden="1">
      <c r="F13787" s="294" t="s">
        <v>242</v>
      </c>
      <c r="G13787" s="297" t="s">
        <v>243</v>
      </c>
      <c r="J13787" s="639">
        <f t="shared" si="432"/>
        <v>0</v>
      </c>
    </row>
    <row r="13788" spans="1:25" hidden="1">
      <c r="F13788" s="294" t="s">
        <v>244</v>
      </c>
      <c r="G13788" s="297" t="s">
        <v>245</v>
      </c>
      <c r="J13788" s="639">
        <f t="shared" si="432"/>
        <v>0</v>
      </c>
    </row>
    <row r="13789" spans="1:25" hidden="1">
      <c r="F13789" s="294" t="s">
        <v>246</v>
      </c>
      <c r="G13789" s="683" t="s">
        <v>5121</v>
      </c>
      <c r="J13789" s="639">
        <f t="shared" si="432"/>
        <v>0</v>
      </c>
    </row>
    <row r="13790" spans="1:25" hidden="1">
      <c r="F13790" s="294" t="s">
        <v>247</v>
      </c>
      <c r="G13790" s="683" t="s">
        <v>5120</v>
      </c>
      <c r="J13790" s="639">
        <f t="shared" si="432"/>
        <v>0</v>
      </c>
    </row>
    <row r="13791" spans="1:25" hidden="1">
      <c r="F13791" s="294" t="s">
        <v>248</v>
      </c>
      <c r="G13791" s="297" t="s">
        <v>57</v>
      </c>
      <c r="J13791" s="639">
        <f t="shared" si="432"/>
        <v>0</v>
      </c>
    </row>
    <row r="13792" spans="1:25" hidden="1">
      <c r="F13792" s="294" t="s">
        <v>249</v>
      </c>
      <c r="G13792" s="297" t="s">
        <v>250</v>
      </c>
      <c r="J13792" s="639">
        <f t="shared" si="432"/>
        <v>0</v>
      </c>
    </row>
    <row r="13793" spans="1:10" hidden="1">
      <c r="F13793" s="294" t="s">
        <v>251</v>
      </c>
      <c r="G13793" s="297" t="s">
        <v>252</v>
      </c>
      <c r="J13793" s="639">
        <f t="shared" si="432"/>
        <v>0</v>
      </c>
    </row>
    <row r="13794" spans="1:10" hidden="1">
      <c r="F13794" s="294" t="s">
        <v>253</v>
      </c>
      <c r="G13794" s="297" t="s">
        <v>254</v>
      </c>
      <c r="J13794" s="639">
        <f t="shared" si="432"/>
        <v>0</v>
      </c>
    </row>
    <row r="13795" spans="1:10" hidden="1">
      <c r="F13795" s="294" t="s">
        <v>255</v>
      </c>
      <c r="G13795" s="297" t="s">
        <v>256</v>
      </c>
      <c r="J13795" s="639">
        <f t="shared" si="432"/>
        <v>0</v>
      </c>
    </row>
    <row r="13796" spans="1:10" hidden="1">
      <c r="F13796" s="294" t="s">
        <v>257</v>
      </c>
      <c r="G13796" s="297" t="s">
        <v>258</v>
      </c>
      <c r="J13796" s="639">
        <f t="shared" si="432"/>
        <v>0</v>
      </c>
    </row>
    <row r="13797" spans="1:10" hidden="1">
      <c r="F13797" s="294" t="s">
        <v>259</v>
      </c>
      <c r="G13797" s="297" t="s">
        <v>260</v>
      </c>
      <c r="J13797" s="639">
        <f t="shared" si="432"/>
        <v>0</v>
      </c>
    </row>
    <row r="13798" spans="1:10" ht="15.75" hidden="1" thickBot="1">
      <c r="F13798" s="294" t="s">
        <v>261</v>
      </c>
      <c r="G13798" s="297" t="s">
        <v>262</v>
      </c>
      <c r="H13798" s="638"/>
      <c r="I13798" s="639"/>
      <c r="J13798" s="639">
        <f t="shared" si="432"/>
        <v>0</v>
      </c>
    </row>
    <row r="13799" spans="1:10" ht="15.75" hidden="1" thickBot="1">
      <c r="G13799" s="274" t="s">
        <v>4461</v>
      </c>
      <c r="H13799" s="640">
        <f>SUM(H13783:H13798)</f>
        <v>0</v>
      </c>
      <c r="I13799" s="641">
        <f>SUM(I13784:I13798)</f>
        <v>0</v>
      </c>
      <c r="J13799" s="641">
        <f>SUM(J13783:J13798)</f>
        <v>0</v>
      </c>
    </row>
    <row r="13800" spans="1:10" hidden="1">
      <c r="G13800" s="331"/>
      <c r="H13800" s="644"/>
      <c r="I13800" s="645"/>
      <c r="J13800" s="645"/>
    </row>
    <row r="13801" spans="1:10" ht="0.75" hidden="1" customHeight="1">
      <c r="A13801" s="619"/>
      <c r="B13801" s="619"/>
      <c r="C13801" s="620"/>
      <c r="D13801" s="619"/>
      <c r="E13801" s="619"/>
      <c r="F13801" s="619"/>
      <c r="G13801" s="621"/>
      <c r="H13801" s="660"/>
      <c r="I13801" s="661"/>
      <c r="J13801" s="661"/>
    </row>
    <row r="13802" spans="1:10">
      <c r="A13802" s="261"/>
      <c r="B13802" s="261"/>
      <c r="C13802" s="265"/>
      <c r="D13802" s="261"/>
      <c r="E13802" s="767"/>
      <c r="F13802" s="768"/>
      <c r="G13802" s="769" t="s">
        <v>4462</v>
      </c>
      <c r="H13802" s="770"/>
      <c r="I13802" s="681"/>
      <c r="J13802" s="770"/>
    </row>
    <row r="13803" spans="1:10">
      <c r="E13803" s="267"/>
      <c r="F13803" s="294" t="s">
        <v>234</v>
      </c>
      <c r="G13803" s="297" t="s">
        <v>235</v>
      </c>
      <c r="H13803" s="638">
        <f>SUM(H12424,H12330,H9925,H7380,H6646,H5951,H5374,H4703)</f>
        <v>442107100</v>
      </c>
      <c r="I13803" s="639"/>
      <c r="J13803" s="639">
        <f>SUM(H13803:I13803)</f>
        <v>442107100</v>
      </c>
    </row>
    <row r="13804" spans="1:10" hidden="1">
      <c r="F13804" s="294" t="s">
        <v>236</v>
      </c>
      <c r="G13804" s="297" t="s">
        <v>237</v>
      </c>
      <c r="J13804" s="639">
        <f t="shared" ref="J13804:J13818" si="433">SUM(H13804:I13804)</f>
        <v>0</v>
      </c>
    </row>
    <row r="13805" spans="1:10" hidden="1">
      <c r="F13805" s="294" t="s">
        <v>238</v>
      </c>
      <c r="G13805" s="297" t="s">
        <v>239</v>
      </c>
      <c r="J13805" s="639">
        <f t="shared" si="433"/>
        <v>0</v>
      </c>
    </row>
    <row r="13806" spans="1:10">
      <c r="F13806" s="294" t="s">
        <v>240</v>
      </c>
      <c r="G13806" s="297" t="s">
        <v>241</v>
      </c>
      <c r="I13806" s="635">
        <f>SUM(I13799,I12317,I9912,I7379)</f>
        <v>8481426</v>
      </c>
      <c r="J13806" s="639">
        <f t="shared" si="433"/>
        <v>8481426</v>
      </c>
    </row>
    <row r="13807" spans="1:10" hidden="1">
      <c r="F13807" s="294" t="s">
        <v>242</v>
      </c>
      <c r="G13807" s="297" t="s">
        <v>243</v>
      </c>
      <c r="J13807" s="639">
        <f t="shared" si="433"/>
        <v>0</v>
      </c>
    </row>
    <row r="13808" spans="1:10" hidden="1">
      <c r="F13808" s="294" t="s">
        <v>244</v>
      </c>
      <c r="G13808" s="297" t="s">
        <v>245</v>
      </c>
      <c r="J13808" s="639">
        <f t="shared" si="433"/>
        <v>0</v>
      </c>
    </row>
    <row r="13809" spans="1:13" ht="15.75" thickBot="1">
      <c r="F13809" s="294" t="s">
        <v>246</v>
      </c>
      <c r="G13809" s="683" t="s">
        <v>5121</v>
      </c>
      <c r="I13809" s="635">
        <f>SUM(I12320)</f>
        <v>5292345</v>
      </c>
      <c r="J13809" s="639">
        <f t="shared" si="433"/>
        <v>5292345</v>
      </c>
    </row>
    <row r="13810" spans="1:13" hidden="1">
      <c r="F13810" s="294" t="s">
        <v>247</v>
      </c>
      <c r="G13810" s="683" t="s">
        <v>5120</v>
      </c>
      <c r="J13810" s="639">
        <f t="shared" si="433"/>
        <v>0</v>
      </c>
    </row>
    <row r="13811" spans="1:13" hidden="1">
      <c r="F13811" s="294" t="s">
        <v>248</v>
      </c>
      <c r="G13811" s="297" t="s">
        <v>57</v>
      </c>
      <c r="J13811" s="639">
        <f t="shared" si="433"/>
        <v>0</v>
      </c>
    </row>
    <row r="13812" spans="1:13" hidden="1">
      <c r="F13812" s="294" t="s">
        <v>249</v>
      </c>
      <c r="G13812" s="297" t="s">
        <v>250</v>
      </c>
      <c r="J13812" s="639">
        <f t="shared" si="433"/>
        <v>0</v>
      </c>
    </row>
    <row r="13813" spans="1:13" hidden="1">
      <c r="F13813" s="294" t="s">
        <v>251</v>
      </c>
      <c r="G13813" s="297" t="s">
        <v>252</v>
      </c>
      <c r="J13813" s="639">
        <f t="shared" si="433"/>
        <v>0</v>
      </c>
    </row>
    <row r="13814" spans="1:13" hidden="1">
      <c r="F13814" s="294" t="s">
        <v>253</v>
      </c>
      <c r="G13814" s="297" t="s">
        <v>254</v>
      </c>
      <c r="J13814" s="639">
        <f t="shared" si="433"/>
        <v>0</v>
      </c>
    </row>
    <row r="13815" spans="1:13" hidden="1">
      <c r="F13815" s="294" t="s">
        <v>255</v>
      </c>
      <c r="G13815" s="297" t="s">
        <v>256</v>
      </c>
      <c r="J13815" s="639">
        <f t="shared" si="433"/>
        <v>0</v>
      </c>
    </row>
    <row r="13816" spans="1:13" hidden="1">
      <c r="F13816" s="294" t="s">
        <v>257</v>
      </c>
      <c r="G13816" s="297" t="s">
        <v>258</v>
      </c>
      <c r="J13816" s="639">
        <f t="shared" si="433"/>
        <v>0</v>
      </c>
    </row>
    <row r="13817" spans="1:13" hidden="1">
      <c r="F13817" s="294" t="s">
        <v>259</v>
      </c>
      <c r="G13817" s="297" t="s">
        <v>260</v>
      </c>
      <c r="J13817" s="639">
        <f t="shared" si="433"/>
        <v>0</v>
      </c>
    </row>
    <row r="13818" spans="1:13" ht="15.75" hidden="1" thickBot="1">
      <c r="F13818" s="294" t="s">
        <v>261</v>
      </c>
      <c r="G13818" s="297" t="s">
        <v>262</v>
      </c>
      <c r="H13818" s="638"/>
      <c r="I13818" s="639"/>
      <c r="J13818" s="639">
        <f t="shared" si="433"/>
        <v>0</v>
      </c>
    </row>
    <row r="13819" spans="1:13" ht="14.25" customHeight="1" thickBot="1">
      <c r="G13819" s="274" t="s">
        <v>4463</v>
      </c>
      <c r="H13819" s="640">
        <f>SUM(H13803:H13818)</f>
        <v>442107100</v>
      </c>
      <c r="I13819" s="641">
        <f>SUM(I13806:I13809)</f>
        <v>13773771</v>
      </c>
      <c r="J13819" s="641">
        <f>SUM(J13803:J13818)</f>
        <v>455880871</v>
      </c>
    </row>
    <row r="13820" spans="1:13" hidden="1">
      <c r="G13820" s="331"/>
      <c r="H13820" s="644"/>
      <c r="I13820" s="645"/>
      <c r="J13820" s="645"/>
    </row>
    <row r="13821" spans="1:13" hidden="1">
      <c r="A13821" s="543">
        <v>5</v>
      </c>
      <c r="B13821" s="542">
        <v>1</v>
      </c>
      <c r="C13821" s="543"/>
      <c r="D13821" s="544"/>
      <c r="E13821" s="545"/>
      <c r="F13821" s="545"/>
      <c r="G13821" s="546" t="s">
        <v>3661</v>
      </c>
      <c r="H13821" s="676"/>
      <c r="I13821" s="677"/>
      <c r="J13821" s="657"/>
      <c r="K13821" s="564"/>
      <c r="L13821" s="564"/>
      <c r="M13821" s="564"/>
    </row>
    <row r="13822" spans="1:13" hidden="1">
      <c r="C13822" s="273" t="s">
        <v>3600</v>
      </c>
      <c r="D13822" s="264"/>
      <c r="G13822" s="553" t="s">
        <v>4208</v>
      </c>
    </row>
    <row r="13823" spans="1:13" hidden="1">
      <c r="C13823" s="273" t="s">
        <v>4145</v>
      </c>
      <c r="D13823" s="264"/>
      <c r="G13823" s="581" t="s">
        <v>3664</v>
      </c>
    </row>
    <row r="13824" spans="1:13" hidden="1">
      <c r="C13824" s="273"/>
      <c r="D13824" s="357">
        <v>330</v>
      </c>
      <c r="E13824" s="357"/>
      <c r="F13824" s="357"/>
      <c r="G13824" s="358" t="s">
        <v>130</v>
      </c>
    </row>
    <row r="13825" spans="6:10" hidden="1">
      <c r="F13825" s="555">
        <v>411</v>
      </c>
      <c r="G13825" s="550" t="s">
        <v>4173</v>
      </c>
      <c r="J13825" s="635">
        <f>SUM(H13825:I13825)</f>
        <v>0</v>
      </c>
    </row>
    <row r="13826" spans="6:10" hidden="1">
      <c r="F13826" s="555">
        <v>412</v>
      </c>
      <c r="G13826" s="547" t="s">
        <v>3770</v>
      </c>
      <c r="J13826" s="635">
        <f t="shared" ref="J13826:J13884" si="434">SUM(H13826:I13826)</f>
        <v>0</v>
      </c>
    </row>
    <row r="13827" spans="6:10" hidden="1">
      <c r="F13827" s="555">
        <v>413</v>
      </c>
      <c r="G13827" s="550" t="s">
        <v>4174</v>
      </c>
      <c r="J13827" s="635">
        <f t="shared" si="434"/>
        <v>0</v>
      </c>
    </row>
    <row r="13828" spans="6:10" hidden="1">
      <c r="F13828" s="555">
        <v>414</v>
      </c>
      <c r="G13828" s="550" t="s">
        <v>3773</v>
      </c>
      <c r="J13828" s="635">
        <f t="shared" si="434"/>
        <v>0</v>
      </c>
    </row>
    <row r="13829" spans="6:10" hidden="1">
      <c r="F13829" s="555">
        <v>415</v>
      </c>
      <c r="G13829" s="550" t="s">
        <v>4183</v>
      </c>
      <c r="J13829" s="635">
        <f t="shared" si="434"/>
        <v>0</v>
      </c>
    </row>
    <row r="13830" spans="6:10" hidden="1">
      <c r="F13830" s="555">
        <v>416</v>
      </c>
      <c r="G13830" s="550" t="s">
        <v>4184</v>
      </c>
      <c r="J13830" s="635">
        <f t="shared" si="434"/>
        <v>0</v>
      </c>
    </row>
    <row r="13831" spans="6:10" hidden="1">
      <c r="F13831" s="555">
        <v>417</v>
      </c>
      <c r="G13831" s="550" t="s">
        <v>4185</v>
      </c>
      <c r="J13831" s="635">
        <f t="shared" si="434"/>
        <v>0</v>
      </c>
    </row>
    <row r="13832" spans="6:10" hidden="1">
      <c r="F13832" s="555">
        <v>418</v>
      </c>
      <c r="G13832" s="550" t="s">
        <v>3779</v>
      </c>
      <c r="J13832" s="635">
        <f t="shared" si="434"/>
        <v>0</v>
      </c>
    </row>
    <row r="13833" spans="6:10" hidden="1">
      <c r="F13833" s="555">
        <v>421</v>
      </c>
      <c r="G13833" s="550" t="s">
        <v>3783</v>
      </c>
      <c r="J13833" s="635">
        <f t="shared" si="434"/>
        <v>0</v>
      </c>
    </row>
    <row r="13834" spans="6:10" hidden="1">
      <c r="F13834" s="555">
        <v>422</v>
      </c>
      <c r="G13834" s="550" t="s">
        <v>3784</v>
      </c>
      <c r="J13834" s="635">
        <f t="shared" si="434"/>
        <v>0</v>
      </c>
    </row>
    <row r="13835" spans="6:10" hidden="1">
      <c r="F13835" s="555">
        <v>423</v>
      </c>
      <c r="G13835" s="550" t="s">
        <v>3785</v>
      </c>
      <c r="J13835" s="635">
        <f t="shared" si="434"/>
        <v>0</v>
      </c>
    </row>
    <row r="13836" spans="6:10" hidden="1">
      <c r="F13836" s="555">
        <v>424</v>
      </c>
      <c r="G13836" s="550" t="s">
        <v>3787</v>
      </c>
      <c r="J13836" s="635">
        <f t="shared" si="434"/>
        <v>0</v>
      </c>
    </row>
    <row r="13837" spans="6:10" hidden="1">
      <c r="F13837" s="555">
        <v>425</v>
      </c>
      <c r="G13837" s="550" t="s">
        <v>4186</v>
      </c>
      <c r="J13837" s="635">
        <f t="shared" si="434"/>
        <v>0</v>
      </c>
    </row>
    <row r="13838" spans="6:10" ht="15.75" hidden="1" thickBot="1">
      <c r="F13838" s="555">
        <v>426</v>
      </c>
      <c r="G13838" s="550" t="s">
        <v>3791</v>
      </c>
      <c r="J13838" s="635">
        <f t="shared" si="434"/>
        <v>0</v>
      </c>
    </row>
    <row r="13839" spans="6:10" ht="15.75" hidden="1" thickBot="1">
      <c r="F13839" s="555">
        <v>431</v>
      </c>
      <c r="G13839" s="550" t="s">
        <v>4187</v>
      </c>
      <c r="J13839" s="635">
        <f t="shared" si="434"/>
        <v>0</v>
      </c>
    </row>
    <row r="13840" spans="6:10" ht="15.75" hidden="1" thickBot="1">
      <c r="F13840" s="555">
        <v>432</v>
      </c>
      <c r="G13840" s="550" t="s">
        <v>4188</v>
      </c>
      <c r="J13840" s="635">
        <f t="shared" si="434"/>
        <v>0</v>
      </c>
    </row>
    <row r="13841" spans="6:10" ht="15.75" hidden="1" thickBot="1">
      <c r="F13841" s="555">
        <v>433</v>
      </c>
      <c r="G13841" s="550" t="s">
        <v>4189</v>
      </c>
      <c r="J13841" s="635">
        <f t="shared" si="434"/>
        <v>0</v>
      </c>
    </row>
    <row r="13842" spans="6:10" ht="15.75" hidden="1" thickBot="1">
      <c r="F13842" s="555">
        <v>434</v>
      </c>
      <c r="G13842" s="550" t="s">
        <v>4190</v>
      </c>
      <c r="J13842" s="635">
        <f t="shared" si="434"/>
        <v>0</v>
      </c>
    </row>
    <row r="13843" spans="6:10" ht="15.75" hidden="1" thickBot="1">
      <c r="F13843" s="555">
        <v>435</v>
      </c>
      <c r="G13843" s="550" t="s">
        <v>3798</v>
      </c>
      <c r="J13843" s="635">
        <f t="shared" si="434"/>
        <v>0</v>
      </c>
    </row>
    <row r="13844" spans="6:10" ht="15.75" hidden="1" thickBot="1">
      <c r="F13844" s="555">
        <v>441</v>
      </c>
      <c r="G13844" s="550" t="s">
        <v>4191</v>
      </c>
      <c r="J13844" s="635">
        <f t="shared" si="434"/>
        <v>0</v>
      </c>
    </row>
    <row r="13845" spans="6:10" ht="15.75" hidden="1" thickBot="1">
      <c r="F13845" s="555">
        <v>442</v>
      </c>
      <c r="G13845" s="550" t="s">
        <v>4192</v>
      </c>
      <c r="J13845" s="635">
        <f t="shared" si="434"/>
        <v>0</v>
      </c>
    </row>
    <row r="13846" spans="6:10" ht="15.75" hidden="1" thickBot="1">
      <c r="F13846" s="555">
        <v>443</v>
      </c>
      <c r="G13846" s="550" t="s">
        <v>3803</v>
      </c>
      <c r="J13846" s="635">
        <f t="shared" si="434"/>
        <v>0</v>
      </c>
    </row>
    <row r="13847" spans="6:10" ht="15.75" hidden="1" thickBot="1">
      <c r="F13847" s="555">
        <v>444</v>
      </c>
      <c r="G13847" s="550" t="s">
        <v>3804</v>
      </c>
      <c r="J13847" s="635">
        <f t="shared" si="434"/>
        <v>0</v>
      </c>
    </row>
    <row r="13848" spans="6:10" ht="30.75" hidden="1" thickBot="1">
      <c r="F13848" s="555">
        <v>4511</v>
      </c>
      <c r="G13848" s="268" t="s">
        <v>1690</v>
      </c>
      <c r="J13848" s="635">
        <f t="shared" si="434"/>
        <v>0</v>
      </c>
    </row>
    <row r="13849" spans="6:10" ht="19.5" hidden="1" customHeight="1">
      <c r="F13849" s="555">
        <v>4512</v>
      </c>
      <c r="G13849" s="268" t="s">
        <v>1699</v>
      </c>
      <c r="J13849" s="635">
        <f t="shared" si="434"/>
        <v>0</v>
      </c>
    </row>
    <row r="13850" spans="6:10" ht="15.75" hidden="1" thickBot="1">
      <c r="F13850" s="555">
        <v>452</v>
      </c>
      <c r="G13850" s="550" t="s">
        <v>4193</v>
      </c>
      <c r="J13850" s="635">
        <f t="shared" si="434"/>
        <v>0</v>
      </c>
    </row>
    <row r="13851" spans="6:10" ht="15.75" hidden="1" thickBot="1">
      <c r="F13851" s="555">
        <v>453</v>
      </c>
      <c r="G13851" s="550" t="s">
        <v>4194</v>
      </c>
      <c r="J13851" s="635">
        <f t="shared" si="434"/>
        <v>0</v>
      </c>
    </row>
    <row r="13852" spans="6:10" ht="15.75" hidden="1" thickBot="1">
      <c r="F13852" s="555">
        <v>454</v>
      </c>
      <c r="G13852" s="550" t="s">
        <v>3809</v>
      </c>
      <c r="J13852" s="635">
        <f t="shared" si="434"/>
        <v>0</v>
      </c>
    </row>
    <row r="13853" spans="6:10" ht="15.75" hidden="1" thickBot="1">
      <c r="F13853" s="555">
        <v>461</v>
      </c>
      <c r="G13853" s="550" t="s">
        <v>4175</v>
      </c>
      <c r="J13853" s="635">
        <f t="shared" si="434"/>
        <v>0</v>
      </c>
    </row>
    <row r="13854" spans="6:10" ht="15.75" hidden="1" thickBot="1">
      <c r="F13854" s="555">
        <v>462</v>
      </c>
      <c r="G13854" s="550" t="s">
        <v>3812</v>
      </c>
      <c r="J13854" s="635">
        <f t="shared" si="434"/>
        <v>0</v>
      </c>
    </row>
    <row r="13855" spans="6:10" ht="15.75" hidden="1" thickBot="1">
      <c r="F13855" s="555">
        <v>4631</v>
      </c>
      <c r="G13855" s="550" t="s">
        <v>3813</v>
      </c>
      <c r="J13855" s="635">
        <f t="shared" si="434"/>
        <v>0</v>
      </c>
    </row>
    <row r="13856" spans="6:10" ht="15.75" hidden="1" thickBot="1">
      <c r="F13856" s="555">
        <v>4632</v>
      </c>
      <c r="G13856" s="550" t="s">
        <v>3814</v>
      </c>
      <c r="J13856" s="635">
        <f t="shared" si="434"/>
        <v>0</v>
      </c>
    </row>
    <row r="13857" spans="6:10" ht="15.75" hidden="1" thickBot="1">
      <c r="F13857" s="555">
        <v>464</v>
      </c>
      <c r="G13857" s="550" t="s">
        <v>3815</v>
      </c>
      <c r="J13857" s="635">
        <f t="shared" si="434"/>
        <v>0</v>
      </c>
    </row>
    <row r="13858" spans="6:10" ht="15.75" hidden="1" thickBot="1">
      <c r="F13858" s="555">
        <v>465</v>
      </c>
      <c r="G13858" s="550" t="s">
        <v>4176</v>
      </c>
      <c r="J13858" s="635">
        <f t="shared" si="434"/>
        <v>0</v>
      </c>
    </row>
    <row r="13859" spans="6:10" ht="15.75" hidden="1" thickBot="1">
      <c r="F13859" s="555">
        <v>472</v>
      </c>
      <c r="G13859" s="550" t="s">
        <v>3819</v>
      </c>
      <c r="J13859" s="635">
        <f t="shared" si="434"/>
        <v>0</v>
      </c>
    </row>
    <row r="13860" spans="6:10" ht="15.75" hidden="1" thickBot="1">
      <c r="F13860" s="555">
        <v>481</v>
      </c>
      <c r="G13860" s="550" t="s">
        <v>4195</v>
      </c>
      <c r="J13860" s="635">
        <f t="shared" si="434"/>
        <v>0</v>
      </c>
    </row>
    <row r="13861" spans="6:10" ht="15.75" hidden="1" thickBot="1">
      <c r="F13861" s="555">
        <v>482</v>
      </c>
      <c r="G13861" s="550" t="s">
        <v>4196</v>
      </c>
      <c r="J13861" s="635">
        <f t="shared" si="434"/>
        <v>0</v>
      </c>
    </row>
    <row r="13862" spans="6:10" ht="15.75" hidden="1" thickBot="1">
      <c r="F13862" s="555">
        <v>483</v>
      </c>
      <c r="G13862" s="552" t="s">
        <v>4197</v>
      </c>
      <c r="J13862" s="635">
        <f t="shared" si="434"/>
        <v>0</v>
      </c>
    </row>
    <row r="13863" spans="6:10" ht="30.75" hidden="1" thickBot="1">
      <c r="F13863" s="555">
        <v>484</v>
      </c>
      <c r="G13863" s="550" t="s">
        <v>4198</v>
      </c>
      <c r="J13863" s="635">
        <f t="shared" si="434"/>
        <v>0</v>
      </c>
    </row>
    <row r="13864" spans="6:10" ht="30.75" hidden="1" thickBot="1">
      <c r="F13864" s="555">
        <v>485</v>
      </c>
      <c r="G13864" s="550" t="s">
        <v>4199</v>
      </c>
      <c r="J13864" s="635">
        <f t="shared" si="434"/>
        <v>0</v>
      </c>
    </row>
    <row r="13865" spans="6:10" ht="30.75" hidden="1" thickBot="1">
      <c r="F13865" s="555">
        <v>489</v>
      </c>
      <c r="G13865" s="550" t="s">
        <v>3827</v>
      </c>
      <c r="J13865" s="635">
        <f t="shared" si="434"/>
        <v>0</v>
      </c>
    </row>
    <row r="13866" spans="6:10" ht="15.75" hidden="1" thickBot="1">
      <c r="F13866" s="555">
        <v>494</v>
      </c>
      <c r="G13866" s="550" t="s">
        <v>4177</v>
      </c>
      <c r="J13866" s="635">
        <f t="shared" si="434"/>
        <v>0</v>
      </c>
    </row>
    <row r="13867" spans="6:10" ht="30.75" hidden="1" thickBot="1">
      <c r="F13867" s="555">
        <v>495</v>
      </c>
      <c r="G13867" s="550" t="s">
        <v>4178</v>
      </c>
      <c r="J13867" s="635">
        <f t="shared" si="434"/>
        <v>0</v>
      </c>
    </row>
    <row r="13868" spans="6:10" ht="30.75" hidden="1" thickBot="1">
      <c r="F13868" s="555">
        <v>496</v>
      </c>
      <c r="G13868" s="550" t="s">
        <v>4179</v>
      </c>
      <c r="J13868" s="635">
        <f t="shared" si="434"/>
        <v>0</v>
      </c>
    </row>
    <row r="13869" spans="6:10" ht="15.75" hidden="1" thickBot="1">
      <c r="F13869" s="555">
        <v>499</v>
      </c>
      <c r="G13869" s="550" t="s">
        <v>4180</v>
      </c>
      <c r="J13869" s="635">
        <f t="shared" si="434"/>
        <v>0</v>
      </c>
    </row>
    <row r="13870" spans="6:10" ht="15.75" hidden="1" thickBot="1">
      <c r="F13870" s="555">
        <v>511</v>
      </c>
      <c r="G13870" s="552" t="s">
        <v>4200</v>
      </c>
      <c r="J13870" s="635">
        <f t="shared" si="434"/>
        <v>0</v>
      </c>
    </row>
    <row r="13871" spans="6:10" ht="15.75" hidden="1" thickBot="1">
      <c r="F13871" s="555">
        <v>512</v>
      </c>
      <c r="G13871" s="552" t="s">
        <v>4201</v>
      </c>
      <c r="J13871" s="635">
        <f t="shared" si="434"/>
        <v>0</v>
      </c>
    </row>
    <row r="13872" spans="6:10" ht="15.75" hidden="1" thickBot="1">
      <c r="F13872" s="555">
        <v>513</v>
      </c>
      <c r="G13872" s="552" t="s">
        <v>4202</v>
      </c>
      <c r="J13872" s="635">
        <f t="shared" si="434"/>
        <v>0</v>
      </c>
    </row>
    <row r="13873" spans="5:10" ht="15.75" hidden="1" thickBot="1">
      <c r="F13873" s="555">
        <v>514</v>
      </c>
      <c r="G13873" s="550" t="s">
        <v>4203</v>
      </c>
      <c r="J13873" s="635">
        <f t="shared" si="434"/>
        <v>0</v>
      </c>
    </row>
    <row r="13874" spans="5:10" ht="15.75" hidden="1" thickBot="1">
      <c r="F13874" s="555">
        <v>515</v>
      </c>
      <c r="G13874" s="550" t="s">
        <v>3838</v>
      </c>
      <c r="J13874" s="635">
        <f t="shared" si="434"/>
        <v>0</v>
      </c>
    </row>
    <row r="13875" spans="5:10" ht="15.75" hidden="1" thickBot="1">
      <c r="F13875" s="555">
        <v>521</v>
      </c>
      <c r="G13875" s="550" t="s">
        <v>4204</v>
      </c>
      <c r="J13875" s="635">
        <f t="shared" si="434"/>
        <v>0</v>
      </c>
    </row>
    <row r="13876" spans="5:10" ht="15.75" hidden="1" thickBot="1">
      <c r="F13876" s="555">
        <v>522</v>
      </c>
      <c r="G13876" s="550" t="s">
        <v>4205</v>
      </c>
      <c r="J13876" s="635">
        <f t="shared" si="434"/>
        <v>0</v>
      </c>
    </row>
    <row r="13877" spans="5:10" ht="15.75" hidden="1" thickBot="1">
      <c r="F13877" s="555">
        <v>523</v>
      </c>
      <c r="G13877" s="550" t="s">
        <v>3843</v>
      </c>
      <c r="J13877" s="635">
        <f t="shared" si="434"/>
        <v>0</v>
      </c>
    </row>
    <row r="13878" spans="5:10" ht="15.75" hidden="1" thickBot="1">
      <c r="F13878" s="555">
        <v>531</v>
      </c>
      <c r="G13878" s="547" t="s">
        <v>4181</v>
      </c>
      <c r="J13878" s="635">
        <f t="shared" si="434"/>
        <v>0</v>
      </c>
    </row>
    <row r="13879" spans="5:10" ht="15.75" hidden="1" thickBot="1">
      <c r="F13879" s="555">
        <v>541</v>
      </c>
      <c r="G13879" s="550" t="s">
        <v>4206</v>
      </c>
      <c r="J13879" s="635">
        <f t="shared" si="434"/>
        <v>0</v>
      </c>
    </row>
    <row r="13880" spans="5:10" ht="15.75" hidden="1" thickBot="1">
      <c r="F13880" s="555">
        <v>542</v>
      </c>
      <c r="G13880" s="550" t="s">
        <v>4207</v>
      </c>
      <c r="J13880" s="635">
        <f t="shared" si="434"/>
        <v>0</v>
      </c>
    </row>
    <row r="13881" spans="5:10" ht="15.75" hidden="1" thickBot="1">
      <c r="F13881" s="555">
        <v>543</v>
      </c>
      <c r="G13881" s="550" t="s">
        <v>3848</v>
      </c>
      <c r="J13881" s="635">
        <f t="shared" si="434"/>
        <v>0</v>
      </c>
    </row>
    <row r="13882" spans="5:10" ht="30.75" hidden="1" thickBot="1">
      <c r="F13882" s="555">
        <v>551</v>
      </c>
      <c r="G13882" s="550" t="s">
        <v>4182</v>
      </c>
      <c r="J13882" s="635">
        <f t="shared" si="434"/>
        <v>0</v>
      </c>
    </row>
    <row r="13883" spans="5:10" ht="15.75" hidden="1" thickBot="1">
      <c r="F13883" s="556">
        <v>611</v>
      </c>
      <c r="G13883" s="554" t="s">
        <v>3854</v>
      </c>
      <c r="J13883" s="635">
        <f t="shared" si="434"/>
        <v>0</v>
      </c>
    </row>
    <row r="13884" spans="5:10" ht="15.75" hidden="1" thickBot="1">
      <c r="F13884" s="556">
        <v>620</v>
      </c>
      <c r="G13884" s="554" t="s">
        <v>88</v>
      </c>
      <c r="J13884" s="635">
        <f t="shared" si="434"/>
        <v>0</v>
      </c>
    </row>
    <row r="13885" spans="5:10" hidden="1">
      <c r="E13885" s="548"/>
      <c r="F13885" s="556"/>
      <c r="G13885" s="372" t="s">
        <v>4349</v>
      </c>
      <c r="H13885" s="636"/>
      <c r="I13885" s="662"/>
      <c r="J13885" s="637"/>
    </row>
    <row r="13886" spans="5:10" ht="15.75" hidden="1" thickBot="1">
      <c r="E13886" s="267"/>
      <c r="F13886" s="294" t="s">
        <v>234</v>
      </c>
      <c r="G13886" s="297" t="s">
        <v>235</v>
      </c>
      <c r="H13886" s="638">
        <f>SUM(H13825:H13884)</f>
        <v>0</v>
      </c>
      <c r="I13886" s="639"/>
      <c r="J13886" s="639">
        <f t="shared" ref="J13886:J13901" si="435">SUM(H13886:I13886)</f>
        <v>0</v>
      </c>
    </row>
    <row r="13887" spans="5:10" ht="15.75" hidden="1" thickBot="1">
      <c r="F13887" s="294" t="s">
        <v>236</v>
      </c>
      <c r="G13887" s="297" t="s">
        <v>237</v>
      </c>
      <c r="J13887" s="639">
        <f t="shared" si="435"/>
        <v>0</v>
      </c>
    </row>
    <row r="13888" spans="5:10" ht="15.75" hidden="1" thickBot="1">
      <c r="F13888" s="294" t="s">
        <v>238</v>
      </c>
      <c r="G13888" s="297" t="s">
        <v>239</v>
      </c>
      <c r="J13888" s="639">
        <f t="shared" si="435"/>
        <v>0</v>
      </c>
    </row>
    <row r="13889" spans="5:10" ht="15.75" hidden="1" thickBot="1">
      <c r="F13889" s="294" t="s">
        <v>240</v>
      </c>
      <c r="G13889" s="297" t="s">
        <v>241</v>
      </c>
      <c r="J13889" s="639">
        <f t="shared" si="435"/>
        <v>0</v>
      </c>
    </row>
    <row r="13890" spans="5:10" ht="15.75" hidden="1" thickBot="1">
      <c r="F13890" s="294" t="s">
        <v>242</v>
      </c>
      <c r="G13890" s="297" t="s">
        <v>243</v>
      </c>
      <c r="J13890" s="639">
        <f t="shared" si="435"/>
        <v>0</v>
      </c>
    </row>
    <row r="13891" spans="5:10" ht="15.75" hidden="1" thickBot="1">
      <c r="F13891" s="294" t="s">
        <v>244</v>
      </c>
      <c r="G13891" s="297" t="s">
        <v>245</v>
      </c>
      <c r="J13891" s="639">
        <f t="shared" si="435"/>
        <v>0</v>
      </c>
    </row>
    <row r="13892" spans="5:10" ht="15.75" hidden="1" thickBot="1">
      <c r="F13892" s="294" t="s">
        <v>246</v>
      </c>
      <c r="G13892" s="683" t="s">
        <v>5121</v>
      </c>
      <c r="J13892" s="639">
        <f t="shared" si="435"/>
        <v>0</v>
      </c>
    </row>
    <row r="13893" spans="5:10" ht="15.75" hidden="1" thickBot="1">
      <c r="F13893" s="294" t="s">
        <v>247</v>
      </c>
      <c r="G13893" s="683" t="s">
        <v>5120</v>
      </c>
      <c r="J13893" s="639">
        <f t="shared" si="435"/>
        <v>0</v>
      </c>
    </row>
    <row r="13894" spans="5:10" ht="15.75" hidden="1" thickBot="1">
      <c r="F13894" s="294" t="s">
        <v>248</v>
      </c>
      <c r="G13894" s="297" t="s">
        <v>57</v>
      </c>
      <c r="J13894" s="639">
        <f t="shared" si="435"/>
        <v>0</v>
      </c>
    </row>
    <row r="13895" spans="5:10" ht="15.75" hidden="1" thickBot="1">
      <c r="F13895" s="294" t="s">
        <v>249</v>
      </c>
      <c r="G13895" s="297" t="s">
        <v>250</v>
      </c>
      <c r="J13895" s="639">
        <f t="shared" si="435"/>
        <v>0</v>
      </c>
    </row>
    <row r="13896" spans="5:10" ht="15.75" hidden="1" thickBot="1">
      <c r="F13896" s="294" t="s">
        <v>251</v>
      </c>
      <c r="G13896" s="297" t="s">
        <v>252</v>
      </c>
      <c r="J13896" s="639">
        <f t="shared" si="435"/>
        <v>0</v>
      </c>
    </row>
    <row r="13897" spans="5:10" ht="15.75" hidden="1" thickBot="1">
      <c r="F13897" s="294" t="s">
        <v>253</v>
      </c>
      <c r="G13897" s="297" t="s">
        <v>254</v>
      </c>
      <c r="J13897" s="639">
        <f t="shared" si="435"/>
        <v>0</v>
      </c>
    </row>
    <row r="13898" spans="5:10" ht="15.75" hidden="1" thickBot="1">
      <c r="F13898" s="294" t="s">
        <v>255</v>
      </c>
      <c r="G13898" s="297" t="s">
        <v>256</v>
      </c>
      <c r="J13898" s="639">
        <f t="shared" si="435"/>
        <v>0</v>
      </c>
    </row>
    <row r="13899" spans="5:10" ht="15.75" hidden="1" thickBot="1">
      <c r="F13899" s="294" t="s">
        <v>257</v>
      </c>
      <c r="G13899" s="297" t="s">
        <v>258</v>
      </c>
      <c r="J13899" s="639">
        <f t="shared" si="435"/>
        <v>0</v>
      </c>
    </row>
    <row r="13900" spans="5:10" ht="15.75" hidden="1" thickBot="1">
      <c r="F13900" s="294" t="s">
        <v>259</v>
      </c>
      <c r="G13900" s="297" t="s">
        <v>260</v>
      </c>
      <c r="J13900" s="639">
        <f t="shared" si="435"/>
        <v>0</v>
      </c>
    </row>
    <row r="13901" spans="5:10" ht="15.75" hidden="1" thickBot="1">
      <c r="F13901" s="294" t="s">
        <v>261</v>
      </c>
      <c r="G13901" s="297" t="s">
        <v>262</v>
      </c>
      <c r="H13901" s="638"/>
      <c r="I13901" s="639"/>
      <c r="J13901" s="639">
        <f t="shared" si="435"/>
        <v>0</v>
      </c>
    </row>
    <row r="13902" spans="5:10" ht="15.75" hidden="1" thickBot="1">
      <c r="G13902" s="274" t="s">
        <v>4290</v>
      </c>
      <c r="H13902" s="640">
        <f>SUM(H13886:H13901)</f>
        <v>0</v>
      </c>
      <c r="I13902" s="641">
        <f>SUM(I13887:I13901)</f>
        <v>0</v>
      </c>
      <c r="J13902" s="641">
        <f>SUM(J13886:J13901)</f>
        <v>0</v>
      </c>
    </row>
    <row r="13903" spans="5:10" hidden="1" collapsed="1">
      <c r="E13903" s="548"/>
      <c r="F13903" s="556"/>
      <c r="G13903" s="276" t="s">
        <v>4464</v>
      </c>
      <c r="H13903" s="642"/>
      <c r="I13903" s="663"/>
      <c r="J13903" s="643"/>
    </row>
    <row r="13904" spans="5:10" hidden="1">
      <c r="E13904" s="267"/>
      <c r="F13904" s="294" t="s">
        <v>234</v>
      </c>
      <c r="G13904" s="297" t="s">
        <v>235</v>
      </c>
      <c r="H13904" s="638">
        <f>SUM(H13825:H13884)</f>
        <v>0</v>
      </c>
      <c r="I13904" s="639"/>
      <c r="J13904" s="639">
        <f>SUM(H13904:I13904)</f>
        <v>0</v>
      </c>
    </row>
    <row r="13905" spans="6:10" ht="15.75" hidden="1" thickBot="1">
      <c r="F13905" s="294" t="s">
        <v>236</v>
      </c>
      <c r="G13905" s="297" t="s">
        <v>237</v>
      </c>
      <c r="J13905" s="639">
        <f t="shared" ref="J13905:J13919" si="436">SUM(H13905:I13905)</f>
        <v>0</v>
      </c>
    </row>
    <row r="13906" spans="6:10" ht="15.75" hidden="1" thickBot="1">
      <c r="F13906" s="294" t="s">
        <v>238</v>
      </c>
      <c r="G13906" s="297" t="s">
        <v>239</v>
      </c>
      <c r="J13906" s="639">
        <f t="shared" si="436"/>
        <v>0</v>
      </c>
    </row>
    <row r="13907" spans="6:10" ht="15.75" hidden="1" thickBot="1">
      <c r="F13907" s="294" t="s">
        <v>240</v>
      </c>
      <c r="G13907" s="297" t="s">
        <v>241</v>
      </c>
      <c r="J13907" s="639">
        <f t="shared" si="436"/>
        <v>0</v>
      </c>
    </row>
    <row r="13908" spans="6:10" ht="15.75" hidden="1" thickBot="1">
      <c r="F13908" s="294" t="s">
        <v>242</v>
      </c>
      <c r="G13908" s="297" t="s">
        <v>243</v>
      </c>
      <c r="J13908" s="639">
        <f t="shared" si="436"/>
        <v>0</v>
      </c>
    </row>
    <row r="13909" spans="6:10" ht="15.75" hidden="1" thickBot="1">
      <c r="F13909" s="294" t="s">
        <v>244</v>
      </c>
      <c r="G13909" s="297" t="s">
        <v>245</v>
      </c>
      <c r="J13909" s="639">
        <f t="shared" si="436"/>
        <v>0</v>
      </c>
    </row>
    <row r="13910" spans="6:10" ht="15.75" hidden="1" thickBot="1">
      <c r="F13910" s="294" t="s">
        <v>246</v>
      </c>
      <c r="G13910" s="683" t="s">
        <v>5121</v>
      </c>
      <c r="J13910" s="639">
        <f t="shared" si="436"/>
        <v>0</v>
      </c>
    </row>
    <row r="13911" spans="6:10" ht="15.75" hidden="1" thickBot="1">
      <c r="F13911" s="294" t="s">
        <v>247</v>
      </c>
      <c r="G13911" s="683" t="s">
        <v>5120</v>
      </c>
      <c r="J13911" s="639">
        <f t="shared" si="436"/>
        <v>0</v>
      </c>
    </row>
    <row r="13912" spans="6:10" ht="15.75" hidden="1" thickBot="1">
      <c r="F13912" s="294" t="s">
        <v>248</v>
      </c>
      <c r="G13912" s="297" t="s">
        <v>57</v>
      </c>
      <c r="J13912" s="639">
        <f t="shared" si="436"/>
        <v>0</v>
      </c>
    </row>
    <row r="13913" spans="6:10" ht="15.75" hidden="1" thickBot="1">
      <c r="F13913" s="294" t="s">
        <v>249</v>
      </c>
      <c r="G13913" s="297" t="s">
        <v>250</v>
      </c>
      <c r="J13913" s="639">
        <f t="shared" si="436"/>
        <v>0</v>
      </c>
    </row>
    <row r="13914" spans="6:10" ht="15.75" hidden="1" thickBot="1">
      <c r="F13914" s="294" t="s">
        <v>251</v>
      </c>
      <c r="G13914" s="297" t="s">
        <v>252</v>
      </c>
      <c r="J13914" s="639">
        <f t="shared" si="436"/>
        <v>0</v>
      </c>
    </row>
    <row r="13915" spans="6:10" ht="15.75" hidden="1" thickBot="1">
      <c r="F13915" s="294" t="s">
        <v>253</v>
      </c>
      <c r="G13915" s="297" t="s">
        <v>254</v>
      </c>
      <c r="J13915" s="639">
        <f t="shared" si="436"/>
        <v>0</v>
      </c>
    </row>
    <row r="13916" spans="6:10" ht="15.75" hidden="1" thickBot="1">
      <c r="F13916" s="294" t="s">
        <v>255</v>
      </c>
      <c r="G13916" s="297" t="s">
        <v>256</v>
      </c>
      <c r="J13916" s="639">
        <f t="shared" si="436"/>
        <v>0</v>
      </c>
    </row>
    <row r="13917" spans="6:10" ht="15.75" hidden="1" thickBot="1">
      <c r="F13917" s="294" t="s">
        <v>257</v>
      </c>
      <c r="G13917" s="297" t="s">
        <v>258</v>
      </c>
      <c r="J13917" s="639">
        <f t="shared" si="436"/>
        <v>0</v>
      </c>
    </row>
    <row r="13918" spans="6:10" ht="15.75" hidden="1" thickBot="1">
      <c r="F13918" s="294" t="s">
        <v>259</v>
      </c>
      <c r="G13918" s="297" t="s">
        <v>260</v>
      </c>
      <c r="J13918" s="639">
        <f t="shared" si="436"/>
        <v>0</v>
      </c>
    </row>
    <row r="13919" spans="6:10" ht="15.75" hidden="1" thickBot="1">
      <c r="F13919" s="294" t="s">
        <v>261</v>
      </c>
      <c r="G13919" s="297" t="s">
        <v>262</v>
      </c>
      <c r="H13919" s="638"/>
      <c r="I13919" s="639"/>
      <c r="J13919" s="639">
        <f t="shared" si="436"/>
        <v>0</v>
      </c>
    </row>
    <row r="13920" spans="6:10" ht="15.75" hidden="1" collapsed="1" thickBot="1">
      <c r="G13920" s="274" t="s">
        <v>4465</v>
      </c>
      <c r="H13920" s="640">
        <f>SUM(H13904:H13919)</f>
        <v>0</v>
      </c>
      <c r="I13920" s="641">
        <f>SUM(I13905:I13919)</f>
        <v>0</v>
      </c>
      <c r="J13920" s="641">
        <f>SUM(J13904:J13919)</f>
        <v>0</v>
      </c>
    </row>
    <row r="13921" spans="1:25" hidden="1">
      <c r="G13921" s="547"/>
    </row>
    <row r="13922" spans="1:25" s="88" customFormat="1" hidden="1">
      <c r="A13922" s="551"/>
      <c r="B13922" s="301"/>
      <c r="C13922" s="361"/>
      <c r="D13922" s="296"/>
      <c r="E13922" s="296"/>
      <c r="F13922" s="556"/>
      <c r="G13922" s="295" t="s">
        <v>4209</v>
      </c>
      <c r="H13922" s="646"/>
      <c r="I13922" s="664"/>
      <c r="J13922" s="647"/>
      <c r="K13922" s="575"/>
      <c r="L13922" s="575"/>
      <c r="M13922" s="575"/>
      <c r="N13922" s="575"/>
      <c r="O13922" s="575"/>
      <c r="P13922" s="575"/>
      <c r="Q13922" s="575"/>
      <c r="R13922" s="575"/>
      <c r="S13922" s="575"/>
      <c r="T13922" s="575"/>
      <c r="U13922" s="575"/>
      <c r="V13922" s="575"/>
      <c r="W13922" s="575"/>
      <c r="X13922" s="575"/>
      <c r="Y13922" s="575"/>
    </row>
    <row r="13923" spans="1:25" s="88" customFormat="1" ht="15.75" hidden="1" thickBot="1">
      <c r="A13923" s="551"/>
      <c r="B13923" s="301"/>
      <c r="C13923" s="361"/>
      <c r="D13923" s="296"/>
      <c r="E13923" s="296"/>
      <c r="F13923" s="294" t="s">
        <v>234</v>
      </c>
      <c r="G13923" s="297" t="s">
        <v>235</v>
      </c>
      <c r="H13923" s="638">
        <f>SUM(H13904)</f>
        <v>0</v>
      </c>
      <c r="I13923" s="639"/>
      <c r="J13923" s="639">
        <f>SUM(H13923:I13923)</f>
        <v>0</v>
      </c>
      <c r="K13923" s="575"/>
      <c r="L13923" s="575"/>
      <c r="M13923" s="575"/>
      <c r="N13923" s="575"/>
      <c r="O13923" s="575"/>
      <c r="P13923" s="575"/>
      <c r="Q13923" s="575"/>
      <c r="R13923" s="575"/>
      <c r="S13923" s="575"/>
      <c r="T13923" s="575"/>
      <c r="U13923" s="575"/>
      <c r="V13923" s="575"/>
      <c r="W13923" s="575"/>
      <c r="X13923" s="575"/>
      <c r="Y13923" s="575"/>
    </row>
    <row r="13924" spans="1:25" s="88" customFormat="1" ht="15.75" hidden="1" thickBot="1">
      <c r="A13924" s="551"/>
      <c r="B13924" s="301"/>
      <c r="C13924" s="361"/>
      <c r="D13924" s="296"/>
      <c r="E13924" s="296"/>
      <c r="F13924" s="294" t="s">
        <v>236</v>
      </c>
      <c r="G13924" s="297" t="s">
        <v>237</v>
      </c>
      <c r="H13924" s="634"/>
      <c r="I13924" s="635"/>
      <c r="J13924" s="639">
        <f t="shared" ref="J13924:J13938" si="437">SUM(H13924:I13924)</f>
        <v>0</v>
      </c>
      <c r="K13924" s="575"/>
      <c r="L13924" s="575"/>
      <c r="M13924" s="575"/>
      <c r="N13924" s="575"/>
      <c r="O13924" s="575"/>
      <c r="P13924" s="575"/>
      <c r="Q13924" s="575"/>
      <c r="R13924" s="575"/>
      <c r="S13924" s="575"/>
      <c r="T13924" s="575"/>
      <c r="U13924" s="575"/>
      <c r="V13924" s="575"/>
      <c r="W13924" s="575"/>
      <c r="X13924" s="575"/>
      <c r="Y13924" s="575"/>
    </row>
    <row r="13925" spans="1:25" s="88" customFormat="1" ht="15.75" hidden="1" thickBot="1">
      <c r="A13925" s="551"/>
      <c r="B13925" s="301"/>
      <c r="C13925" s="361"/>
      <c r="D13925" s="296"/>
      <c r="E13925" s="296"/>
      <c r="F13925" s="294" t="s">
        <v>238</v>
      </c>
      <c r="G13925" s="297" t="s">
        <v>239</v>
      </c>
      <c r="H13925" s="634"/>
      <c r="I13925" s="635"/>
      <c r="J13925" s="639">
        <f t="shared" si="437"/>
        <v>0</v>
      </c>
      <c r="K13925" s="575"/>
      <c r="L13925" s="575"/>
      <c r="M13925" s="575"/>
      <c r="N13925" s="575"/>
      <c r="O13925" s="575"/>
      <c r="P13925" s="575"/>
      <c r="Q13925" s="575"/>
      <c r="R13925" s="575"/>
      <c r="S13925" s="575"/>
      <c r="T13925" s="575"/>
      <c r="U13925" s="575"/>
      <c r="V13925" s="575"/>
      <c r="W13925" s="575"/>
      <c r="X13925" s="575"/>
      <c r="Y13925" s="575"/>
    </row>
    <row r="13926" spans="1:25" s="88" customFormat="1" ht="15.75" hidden="1" thickBot="1">
      <c r="A13926" s="551"/>
      <c r="B13926" s="301"/>
      <c r="C13926" s="361"/>
      <c r="D13926" s="296"/>
      <c r="E13926" s="296"/>
      <c r="F13926" s="294" t="s">
        <v>240</v>
      </c>
      <c r="G13926" s="297" t="s">
        <v>241</v>
      </c>
      <c r="H13926" s="634"/>
      <c r="I13926" s="635"/>
      <c r="J13926" s="639">
        <f t="shared" si="437"/>
        <v>0</v>
      </c>
      <c r="K13926" s="575"/>
      <c r="L13926" s="575"/>
      <c r="M13926" s="575"/>
      <c r="N13926" s="575"/>
      <c r="O13926" s="575"/>
      <c r="P13926" s="575"/>
      <c r="Q13926" s="575"/>
      <c r="R13926" s="575"/>
      <c r="S13926" s="575"/>
      <c r="T13926" s="575"/>
      <c r="U13926" s="575"/>
      <c r="V13926" s="575"/>
      <c r="W13926" s="575"/>
      <c r="X13926" s="575"/>
      <c r="Y13926" s="575"/>
    </row>
    <row r="13927" spans="1:25" s="88" customFormat="1" ht="15.75" hidden="1" thickBot="1">
      <c r="A13927" s="551"/>
      <c r="B13927" s="301"/>
      <c r="C13927" s="361"/>
      <c r="D13927" s="296"/>
      <c r="E13927" s="296"/>
      <c r="F13927" s="294" t="s">
        <v>242</v>
      </c>
      <c r="G13927" s="297" t="s">
        <v>243</v>
      </c>
      <c r="H13927" s="634"/>
      <c r="I13927" s="635"/>
      <c r="J13927" s="639">
        <f t="shared" si="437"/>
        <v>0</v>
      </c>
      <c r="K13927" s="575"/>
      <c r="L13927" s="575"/>
      <c r="M13927" s="575"/>
      <c r="N13927" s="575"/>
      <c r="O13927" s="575"/>
      <c r="P13927" s="575"/>
      <c r="Q13927" s="575"/>
      <c r="R13927" s="575"/>
      <c r="S13927" s="575"/>
      <c r="T13927" s="575"/>
      <c r="U13927" s="575"/>
      <c r="V13927" s="575"/>
      <c r="W13927" s="575"/>
      <c r="X13927" s="575"/>
      <c r="Y13927" s="575"/>
    </row>
    <row r="13928" spans="1:25" s="88" customFormat="1" ht="15.75" hidden="1" thickBot="1">
      <c r="A13928" s="551"/>
      <c r="B13928" s="301"/>
      <c r="C13928" s="361"/>
      <c r="D13928" s="296"/>
      <c r="E13928" s="296"/>
      <c r="F13928" s="294" t="s">
        <v>244</v>
      </c>
      <c r="G13928" s="297" t="s">
        <v>245</v>
      </c>
      <c r="H13928" s="634"/>
      <c r="I13928" s="635"/>
      <c r="J13928" s="639">
        <f t="shared" si="437"/>
        <v>0</v>
      </c>
      <c r="K13928" s="575"/>
      <c r="L13928" s="575"/>
      <c r="M13928" s="575"/>
      <c r="N13928" s="575"/>
      <c r="O13928" s="575"/>
      <c r="P13928" s="575"/>
      <c r="Q13928" s="575"/>
      <c r="R13928" s="575"/>
      <c r="S13928" s="575"/>
      <c r="T13928" s="575"/>
      <c r="U13928" s="575"/>
      <c r="V13928" s="575"/>
      <c r="W13928" s="575"/>
      <c r="X13928" s="575"/>
      <c r="Y13928" s="575"/>
    </row>
    <row r="13929" spans="1:25" s="88" customFormat="1" ht="15.75" hidden="1" thickBot="1">
      <c r="A13929" s="551"/>
      <c r="B13929" s="301"/>
      <c r="C13929" s="361"/>
      <c r="D13929" s="296"/>
      <c r="E13929" s="296"/>
      <c r="F13929" s="294" t="s">
        <v>246</v>
      </c>
      <c r="G13929" s="683" t="s">
        <v>5121</v>
      </c>
      <c r="H13929" s="634"/>
      <c r="I13929" s="635"/>
      <c r="J13929" s="639">
        <f t="shared" si="437"/>
        <v>0</v>
      </c>
      <c r="K13929" s="575"/>
      <c r="L13929" s="575"/>
      <c r="M13929" s="575"/>
      <c r="N13929" s="575"/>
      <c r="O13929" s="575"/>
      <c r="P13929" s="575"/>
      <c r="Q13929" s="575"/>
      <c r="R13929" s="575"/>
      <c r="S13929" s="575"/>
      <c r="T13929" s="575"/>
      <c r="U13929" s="575"/>
      <c r="V13929" s="575"/>
      <c r="W13929" s="575"/>
      <c r="X13929" s="575"/>
      <c r="Y13929" s="575"/>
    </row>
    <row r="13930" spans="1:25" s="88" customFormat="1" ht="15.75" hidden="1" thickBot="1">
      <c r="A13930" s="551"/>
      <c r="B13930" s="301"/>
      <c r="C13930" s="361"/>
      <c r="D13930" s="296"/>
      <c r="E13930" s="296"/>
      <c r="F13930" s="294" t="s">
        <v>247</v>
      </c>
      <c r="G13930" s="683" t="s">
        <v>5120</v>
      </c>
      <c r="H13930" s="634"/>
      <c r="I13930" s="635"/>
      <c r="J13930" s="639">
        <f t="shared" si="437"/>
        <v>0</v>
      </c>
      <c r="K13930" s="575"/>
      <c r="L13930" s="575"/>
      <c r="M13930" s="575"/>
      <c r="N13930" s="575"/>
      <c r="O13930" s="575"/>
      <c r="P13930" s="575"/>
      <c r="Q13930" s="575"/>
      <c r="R13930" s="575"/>
      <c r="S13930" s="575"/>
      <c r="T13930" s="575"/>
      <c r="U13930" s="575"/>
      <c r="V13930" s="575"/>
      <c r="W13930" s="575"/>
      <c r="X13930" s="575"/>
      <c r="Y13930" s="575"/>
    </row>
    <row r="13931" spans="1:25" s="88" customFormat="1" ht="15.75" hidden="1" thickBot="1">
      <c r="A13931" s="551"/>
      <c r="B13931" s="301"/>
      <c r="C13931" s="361"/>
      <c r="D13931" s="296"/>
      <c r="E13931" s="296"/>
      <c r="F13931" s="294" t="s">
        <v>248</v>
      </c>
      <c r="G13931" s="297" t="s">
        <v>57</v>
      </c>
      <c r="H13931" s="634"/>
      <c r="I13931" s="635"/>
      <c r="J13931" s="639">
        <f t="shared" si="437"/>
        <v>0</v>
      </c>
      <c r="K13931" s="575"/>
      <c r="L13931" s="575"/>
      <c r="M13931" s="575"/>
      <c r="N13931" s="575"/>
      <c r="O13931" s="575"/>
      <c r="P13931" s="575"/>
      <c r="Q13931" s="575"/>
      <c r="R13931" s="575"/>
      <c r="S13931" s="575"/>
      <c r="T13931" s="575"/>
      <c r="U13931" s="575"/>
      <c r="V13931" s="575"/>
      <c r="W13931" s="575"/>
      <c r="X13931" s="575"/>
      <c r="Y13931" s="575"/>
    </row>
    <row r="13932" spans="1:25" s="88" customFormat="1" ht="15.75" hidden="1" thickBot="1">
      <c r="A13932" s="551"/>
      <c r="B13932" s="301"/>
      <c r="C13932" s="361"/>
      <c r="D13932" s="296"/>
      <c r="E13932" s="296"/>
      <c r="F13932" s="294" t="s">
        <v>249</v>
      </c>
      <c r="G13932" s="297" t="s">
        <v>250</v>
      </c>
      <c r="H13932" s="634"/>
      <c r="I13932" s="635"/>
      <c r="J13932" s="639">
        <f t="shared" si="437"/>
        <v>0</v>
      </c>
      <c r="K13932" s="575"/>
      <c r="L13932" s="575"/>
      <c r="M13932" s="575"/>
      <c r="N13932" s="575"/>
      <c r="O13932" s="575"/>
      <c r="P13932" s="575"/>
      <c r="Q13932" s="575"/>
      <c r="R13932" s="575"/>
      <c r="S13932" s="575"/>
      <c r="T13932" s="575"/>
      <c r="U13932" s="575"/>
      <c r="V13932" s="575"/>
      <c r="W13932" s="575"/>
      <c r="X13932" s="575"/>
      <c r="Y13932" s="575"/>
    </row>
    <row r="13933" spans="1:25" s="88" customFormat="1" ht="15.75" hidden="1" thickBot="1">
      <c r="A13933" s="551"/>
      <c r="B13933" s="301"/>
      <c r="C13933" s="361"/>
      <c r="D13933" s="296"/>
      <c r="E13933" s="296"/>
      <c r="F13933" s="294" t="s">
        <v>251</v>
      </c>
      <c r="G13933" s="297" t="s">
        <v>252</v>
      </c>
      <c r="H13933" s="634"/>
      <c r="I13933" s="635"/>
      <c r="J13933" s="639">
        <f t="shared" si="437"/>
        <v>0</v>
      </c>
      <c r="K13933" s="575"/>
      <c r="L13933" s="575"/>
      <c r="M13933" s="575"/>
      <c r="N13933" s="575"/>
      <c r="O13933" s="575"/>
      <c r="P13933" s="575"/>
      <c r="Q13933" s="575"/>
      <c r="R13933" s="575"/>
      <c r="S13933" s="575"/>
      <c r="T13933" s="575"/>
      <c r="U13933" s="575"/>
      <c r="V13933" s="575"/>
      <c r="W13933" s="575"/>
      <c r="X13933" s="575"/>
      <c r="Y13933" s="575"/>
    </row>
    <row r="13934" spans="1:25" s="88" customFormat="1" ht="15.75" hidden="1" thickBot="1">
      <c r="A13934" s="551"/>
      <c r="B13934" s="301"/>
      <c r="C13934" s="361"/>
      <c r="D13934" s="296"/>
      <c r="E13934" s="296"/>
      <c r="F13934" s="294" t="s">
        <v>253</v>
      </c>
      <c r="G13934" s="297" t="s">
        <v>254</v>
      </c>
      <c r="H13934" s="634"/>
      <c r="I13934" s="635"/>
      <c r="J13934" s="639">
        <f t="shared" si="437"/>
        <v>0</v>
      </c>
      <c r="K13934" s="575"/>
      <c r="L13934" s="575"/>
      <c r="M13934" s="575"/>
      <c r="N13934" s="575"/>
      <c r="O13934" s="575"/>
      <c r="P13934" s="575"/>
      <c r="Q13934" s="575"/>
      <c r="R13934" s="575"/>
      <c r="S13934" s="575"/>
      <c r="T13934" s="575"/>
      <c r="U13934" s="575"/>
      <c r="V13934" s="575"/>
      <c r="W13934" s="575"/>
      <c r="X13934" s="575"/>
      <c r="Y13934" s="575"/>
    </row>
    <row r="13935" spans="1:25" s="88" customFormat="1" ht="15.75" hidden="1" thickBot="1">
      <c r="A13935" s="551"/>
      <c r="B13935" s="301"/>
      <c r="C13935" s="361"/>
      <c r="D13935" s="296"/>
      <c r="E13935" s="296"/>
      <c r="F13935" s="294" t="s">
        <v>255</v>
      </c>
      <c r="G13935" s="297" t="s">
        <v>256</v>
      </c>
      <c r="H13935" s="634"/>
      <c r="I13935" s="635"/>
      <c r="J13935" s="639">
        <f t="shared" si="437"/>
        <v>0</v>
      </c>
      <c r="K13935" s="575"/>
      <c r="L13935" s="575"/>
      <c r="M13935" s="575"/>
      <c r="N13935" s="575"/>
      <c r="O13935" s="575"/>
      <c r="P13935" s="575"/>
      <c r="Q13935" s="575"/>
      <c r="R13935" s="575"/>
      <c r="S13935" s="575"/>
      <c r="T13935" s="575"/>
      <c r="U13935" s="575"/>
      <c r="V13935" s="575"/>
      <c r="W13935" s="575"/>
      <c r="X13935" s="575"/>
      <c r="Y13935" s="575"/>
    </row>
    <row r="13936" spans="1:25" s="88" customFormat="1" ht="15.75" hidden="1" thickBot="1">
      <c r="A13936" s="551"/>
      <c r="B13936" s="301"/>
      <c r="C13936" s="361"/>
      <c r="D13936" s="296"/>
      <c r="E13936" s="296"/>
      <c r="F13936" s="294" t="s">
        <v>257</v>
      </c>
      <c r="G13936" s="297" t="s">
        <v>258</v>
      </c>
      <c r="H13936" s="634"/>
      <c r="I13936" s="635"/>
      <c r="J13936" s="639">
        <f t="shared" si="437"/>
        <v>0</v>
      </c>
      <c r="K13936" s="575"/>
      <c r="L13936" s="575"/>
      <c r="M13936" s="575"/>
      <c r="N13936" s="575"/>
      <c r="O13936" s="575"/>
      <c r="P13936" s="575"/>
      <c r="Q13936" s="575"/>
      <c r="R13936" s="575"/>
      <c r="S13936" s="575"/>
      <c r="T13936" s="575"/>
      <c r="U13936" s="575"/>
      <c r="V13936" s="575"/>
      <c r="W13936" s="575"/>
      <c r="X13936" s="575"/>
      <c r="Y13936" s="575"/>
    </row>
    <row r="13937" spans="1:25" s="88" customFormat="1" ht="15.75" hidden="1" thickBot="1">
      <c r="A13937" s="551"/>
      <c r="B13937" s="301"/>
      <c r="C13937" s="361"/>
      <c r="D13937" s="296"/>
      <c r="E13937" s="296"/>
      <c r="F13937" s="294" t="s">
        <v>259</v>
      </c>
      <c r="G13937" s="297" t="s">
        <v>260</v>
      </c>
      <c r="H13937" s="634"/>
      <c r="I13937" s="635"/>
      <c r="J13937" s="639">
        <f t="shared" si="437"/>
        <v>0</v>
      </c>
      <c r="K13937" s="575"/>
      <c r="L13937" s="575"/>
      <c r="M13937" s="575"/>
      <c r="N13937" s="575"/>
      <c r="O13937" s="575"/>
      <c r="P13937" s="575"/>
      <c r="Q13937" s="575"/>
      <c r="R13937" s="575"/>
      <c r="S13937" s="575"/>
      <c r="T13937" s="575"/>
      <c r="U13937" s="575"/>
      <c r="V13937" s="575"/>
      <c r="W13937" s="575"/>
      <c r="X13937" s="575"/>
      <c r="Y13937" s="575"/>
    </row>
    <row r="13938" spans="1:25" s="88" customFormat="1" ht="15.75" hidden="1" thickBot="1">
      <c r="A13938" s="551"/>
      <c r="B13938" s="301"/>
      <c r="C13938" s="361"/>
      <c r="D13938" s="296"/>
      <c r="E13938" s="296"/>
      <c r="F13938" s="294" t="s">
        <v>261</v>
      </c>
      <c r="G13938" s="297" t="s">
        <v>262</v>
      </c>
      <c r="H13938" s="638"/>
      <c r="I13938" s="639"/>
      <c r="J13938" s="639">
        <f t="shared" si="437"/>
        <v>0</v>
      </c>
      <c r="K13938" s="575"/>
      <c r="L13938" s="575"/>
      <c r="M13938" s="575"/>
      <c r="N13938" s="575"/>
      <c r="O13938" s="575"/>
      <c r="P13938" s="575"/>
      <c r="Q13938" s="575"/>
      <c r="R13938" s="575"/>
      <c r="S13938" s="575"/>
      <c r="T13938" s="575"/>
      <c r="U13938" s="575"/>
      <c r="V13938" s="575"/>
      <c r="W13938" s="575"/>
      <c r="X13938" s="575"/>
      <c r="Y13938" s="575"/>
    </row>
    <row r="13939" spans="1:25" s="88" customFormat="1" ht="15.75" hidden="1" thickBot="1">
      <c r="A13939" s="551"/>
      <c r="B13939" s="301"/>
      <c r="C13939" s="361"/>
      <c r="D13939" s="296"/>
      <c r="E13939" s="296"/>
      <c r="F13939" s="263"/>
      <c r="G13939" s="274" t="s">
        <v>4210</v>
      </c>
      <c r="H13939" s="640">
        <f>SUM(H13923:H13938)</f>
        <v>0</v>
      </c>
      <c r="I13939" s="641">
        <f>SUM(I13924:I13938)</f>
        <v>0</v>
      </c>
      <c r="J13939" s="641">
        <f>SUM(J13923:J13938)</f>
        <v>0</v>
      </c>
      <c r="K13939" s="575"/>
      <c r="L13939" s="575"/>
      <c r="M13939" s="575"/>
      <c r="N13939" s="575"/>
      <c r="O13939" s="575"/>
      <c r="P13939" s="575"/>
      <c r="Q13939" s="575"/>
      <c r="R13939" s="575"/>
      <c r="S13939" s="575"/>
      <c r="T13939" s="575"/>
      <c r="U13939" s="575"/>
      <c r="V13939" s="575"/>
      <c r="W13939" s="575"/>
      <c r="X13939" s="575"/>
      <c r="Y13939" s="575"/>
    </row>
    <row r="13940" spans="1:25" hidden="1"/>
    <row r="13941" spans="1:25" hidden="1">
      <c r="E13941" s="548"/>
      <c r="F13941" s="556"/>
      <c r="G13941" s="295" t="s">
        <v>4212</v>
      </c>
      <c r="H13941" s="646"/>
      <c r="I13941" s="664"/>
      <c r="J13941" s="647"/>
    </row>
    <row r="13942" spans="1:25" ht="15.75" hidden="1" thickBot="1">
      <c r="E13942" s="267"/>
      <c r="F13942" s="294" t="s">
        <v>234</v>
      </c>
      <c r="G13942" s="297" t="s">
        <v>235</v>
      </c>
      <c r="H13942" s="638">
        <f>SUM(H13923)</f>
        <v>0</v>
      </c>
      <c r="I13942" s="639"/>
      <c r="J13942" s="639">
        <f>SUM(H13942:I13942)</f>
        <v>0</v>
      </c>
    </row>
    <row r="13943" spans="1:25" ht="15.75" hidden="1" thickBot="1">
      <c r="F13943" s="294" t="s">
        <v>236</v>
      </c>
      <c r="G13943" s="297" t="s">
        <v>237</v>
      </c>
      <c r="J13943" s="639">
        <f t="shared" ref="J13943:J13957" si="438">SUM(H13943:I13943)</f>
        <v>0</v>
      </c>
    </row>
    <row r="13944" spans="1:25" ht="15.75" hidden="1" thickBot="1">
      <c r="F13944" s="294" t="s">
        <v>238</v>
      </c>
      <c r="G13944" s="297" t="s">
        <v>239</v>
      </c>
      <c r="J13944" s="639">
        <f t="shared" si="438"/>
        <v>0</v>
      </c>
    </row>
    <row r="13945" spans="1:25" ht="15.75" hidden="1" thickBot="1">
      <c r="F13945" s="294" t="s">
        <v>240</v>
      </c>
      <c r="G13945" s="297" t="s">
        <v>241</v>
      </c>
      <c r="J13945" s="639">
        <f t="shared" si="438"/>
        <v>0</v>
      </c>
    </row>
    <row r="13946" spans="1:25" ht="15.75" hidden="1" thickBot="1">
      <c r="F13946" s="294" t="s">
        <v>242</v>
      </c>
      <c r="G13946" s="297" t="s">
        <v>243</v>
      </c>
      <c r="J13946" s="639">
        <f t="shared" si="438"/>
        <v>0</v>
      </c>
    </row>
    <row r="13947" spans="1:25" ht="15.75" hidden="1" thickBot="1">
      <c r="F13947" s="294" t="s">
        <v>244</v>
      </c>
      <c r="G13947" s="297" t="s">
        <v>245</v>
      </c>
      <c r="J13947" s="639">
        <f t="shared" si="438"/>
        <v>0</v>
      </c>
    </row>
    <row r="13948" spans="1:25" ht="15.75" hidden="1" thickBot="1">
      <c r="F13948" s="294" t="s">
        <v>246</v>
      </c>
      <c r="G13948" s="683" t="s">
        <v>5121</v>
      </c>
      <c r="J13948" s="639">
        <f t="shared" si="438"/>
        <v>0</v>
      </c>
    </row>
    <row r="13949" spans="1:25" ht="15.75" hidden="1" thickBot="1">
      <c r="F13949" s="294" t="s">
        <v>247</v>
      </c>
      <c r="G13949" s="683" t="s">
        <v>5120</v>
      </c>
      <c r="J13949" s="639">
        <f t="shared" si="438"/>
        <v>0</v>
      </c>
    </row>
    <row r="13950" spans="1:25" ht="15.75" hidden="1" thickBot="1">
      <c r="F13950" s="294" t="s">
        <v>248</v>
      </c>
      <c r="G13950" s="297" t="s">
        <v>57</v>
      </c>
      <c r="J13950" s="639">
        <f t="shared" si="438"/>
        <v>0</v>
      </c>
    </row>
    <row r="13951" spans="1:25" ht="15.75" hidden="1" thickBot="1">
      <c r="F13951" s="294" t="s">
        <v>249</v>
      </c>
      <c r="G13951" s="297" t="s">
        <v>250</v>
      </c>
      <c r="J13951" s="639">
        <f t="shared" si="438"/>
        <v>0</v>
      </c>
    </row>
    <row r="13952" spans="1:25" ht="15.75" hidden="1" thickBot="1">
      <c r="F13952" s="294" t="s">
        <v>251</v>
      </c>
      <c r="G13952" s="297" t="s">
        <v>252</v>
      </c>
      <c r="J13952" s="639">
        <f t="shared" si="438"/>
        <v>0</v>
      </c>
    </row>
    <row r="13953" spans="5:10" ht="15.75" hidden="1" thickBot="1">
      <c r="F13953" s="294" t="s">
        <v>253</v>
      </c>
      <c r="G13953" s="297" t="s">
        <v>254</v>
      </c>
      <c r="J13953" s="639">
        <f t="shared" si="438"/>
        <v>0</v>
      </c>
    </row>
    <row r="13954" spans="5:10" ht="15.75" hidden="1" thickBot="1">
      <c r="F13954" s="294" t="s">
        <v>255</v>
      </c>
      <c r="G13954" s="297" t="s">
        <v>256</v>
      </c>
      <c r="J13954" s="639">
        <f t="shared" si="438"/>
        <v>0</v>
      </c>
    </row>
    <row r="13955" spans="5:10" ht="15.75" hidden="1" thickBot="1">
      <c r="F13955" s="294" t="s">
        <v>257</v>
      </c>
      <c r="G13955" s="297" t="s">
        <v>258</v>
      </c>
      <c r="J13955" s="639">
        <f t="shared" si="438"/>
        <v>0</v>
      </c>
    </row>
    <row r="13956" spans="5:10" ht="15.75" hidden="1" thickBot="1">
      <c r="F13956" s="294" t="s">
        <v>259</v>
      </c>
      <c r="G13956" s="297" t="s">
        <v>260</v>
      </c>
      <c r="J13956" s="639">
        <f t="shared" si="438"/>
        <v>0</v>
      </c>
    </row>
    <row r="13957" spans="5:10" ht="15.75" hidden="1" thickBot="1">
      <c r="F13957" s="294" t="s">
        <v>261</v>
      </c>
      <c r="G13957" s="297" t="s">
        <v>262</v>
      </c>
      <c r="H13957" s="638"/>
      <c r="I13957" s="639"/>
      <c r="J13957" s="639">
        <f t="shared" si="438"/>
        <v>0</v>
      </c>
    </row>
    <row r="13958" spans="5:10" ht="15.75" hidden="1" thickBot="1">
      <c r="G13958" s="274" t="s">
        <v>4213</v>
      </c>
      <c r="H13958" s="640">
        <f>SUM(H13942:H13957)</f>
        <v>0</v>
      </c>
      <c r="I13958" s="641">
        <f>SUM(I13943:I13957)</f>
        <v>0</v>
      </c>
      <c r="J13958" s="641">
        <f>SUM(J13942:J13957)</f>
        <v>0</v>
      </c>
    </row>
    <row r="13959" spans="5:10" hidden="1"/>
    <row r="13960" spans="5:10" hidden="1">
      <c r="E13960" s="548"/>
      <c r="F13960" s="556"/>
      <c r="G13960" s="295" t="s">
        <v>4335</v>
      </c>
      <c r="H13960" s="646"/>
      <c r="I13960" s="664"/>
      <c r="J13960" s="647"/>
    </row>
    <row r="13961" spans="5:10" ht="15.75" hidden="1" thickBot="1">
      <c r="E13961" s="267"/>
      <c r="F13961" s="294" t="s">
        <v>234</v>
      </c>
      <c r="G13961" s="297" t="s">
        <v>235</v>
      </c>
      <c r="H13961" s="638">
        <f>SUM(H13942)</f>
        <v>0</v>
      </c>
      <c r="I13961" s="639"/>
      <c r="J13961" s="639">
        <f>SUM(H13961:I13961)</f>
        <v>0</v>
      </c>
    </row>
    <row r="13962" spans="5:10" ht="15.75" hidden="1" thickBot="1">
      <c r="F13962" s="294" t="s">
        <v>236</v>
      </c>
      <c r="G13962" s="297" t="s">
        <v>237</v>
      </c>
      <c r="J13962" s="639">
        <f t="shared" ref="J13962:J13976" si="439">SUM(H13962:I13962)</f>
        <v>0</v>
      </c>
    </row>
    <row r="13963" spans="5:10" ht="15.75" hidden="1" thickBot="1">
      <c r="F13963" s="294" t="s">
        <v>238</v>
      </c>
      <c r="G13963" s="297" t="s">
        <v>239</v>
      </c>
      <c r="J13963" s="639">
        <f t="shared" si="439"/>
        <v>0</v>
      </c>
    </row>
    <row r="13964" spans="5:10" ht="15.75" hidden="1" thickBot="1">
      <c r="F13964" s="294" t="s">
        <v>240</v>
      </c>
      <c r="G13964" s="297" t="s">
        <v>241</v>
      </c>
      <c r="J13964" s="639">
        <f t="shared" si="439"/>
        <v>0</v>
      </c>
    </row>
    <row r="13965" spans="5:10" ht="15.75" hidden="1" thickBot="1">
      <c r="F13965" s="294" t="s">
        <v>242</v>
      </c>
      <c r="G13965" s="297" t="s">
        <v>243</v>
      </c>
      <c r="J13965" s="639">
        <f t="shared" si="439"/>
        <v>0</v>
      </c>
    </row>
    <row r="13966" spans="5:10" ht="15.75" hidden="1" thickBot="1">
      <c r="F13966" s="294" t="s">
        <v>244</v>
      </c>
      <c r="G13966" s="297" t="s">
        <v>245</v>
      </c>
      <c r="J13966" s="639">
        <f t="shared" si="439"/>
        <v>0</v>
      </c>
    </row>
    <row r="13967" spans="5:10" ht="15.75" hidden="1" thickBot="1">
      <c r="F13967" s="294" t="s">
        <v>246</v>
      </c>
      <c r="G13967" s="683" t="s">
        <v>5121</v>
      </c>
      <c r="J13967" s="639">
        <f t="shared" si="439"/>
        <v>0</v>
      </c>
    </row>
    <row r="13968" spans="5:10" ht="15.75" hidden="1" thickBot="1">
      <c r="F13968" s="294" t="s">
        <v>247</v>
      </c>
      <c r="G13968" s="683" t="s">
        <v>5120</v>
      </c>
      <c r="J13968" s="639">
        <f t="shared" si="439"/>
        <v>0</v>
      </c>
    </row>
    <row r="13969" spans="1:10" ht="15.75" hidden="1" thickBot="1">
      <c r="F13969" s="294" t="s">
        <v>248</v>
      </c>
      <c r="G13969" s="297" t="s">
        <v>57</v>
      </c>
      <c r="J13969" s="639">
        <f t="shared" si="439"/>
        <v>0</v>
      </c>
    </row>
    <row r="13970" spans="1:10" ht="15.75" hidden="1" thickBot="1">
      <c r="F13970" s="294" t="s">
        <v>249</v>
      </c>
      <c r="G13970" s="297" t="s">
        <v>250</v>
      </c>
      <c r="J13970" s="639">
        <f t="shared" si="439"/>
        <v>0</v>
      </c>
    </row>
    <row r="13971" spans="1:10" ht="15.75" hidden="1" thickBot="1">
      <c r="F13971" s="294" t="s">
        <v>251</v>
      </c>
      <c r="G13971" s="297" t="s">
        <v>252</v>
      </c>
      <c r="J13971" s="639">
        <f t="shared" si="439"/>
        <v>0</v>
      </c>
    </row>
    <row r="13972" spans="1:10" ht="15.75" hidden="1" thickBot="1">
      <c r="F13972" s="294" t="s">
        <v>253</v>
      </c>
      <c r="G13972" s="297" t="s">
        <v>254</v>
      </c>
      <c r="J13972" s="639">
        <f t="shared" si="439"/>
        <v>0</v>
      </c>
    </row>
    <row r="13973" spans="1:10" ht="15.75" hidden="1" thickBot="1">
      <c r="F13973" s="294" t="s">
        <v>255</v>
      </c>
      <c r="G13973" s="297" t="s">
        <v>256</v>
      </c>
      <c r="J13973" s="639">
        <f t="shared" si="439"/>
        <v>0</v>
      </c>
    </row>
    <row r="13974" spans="1:10" ht="15.75" hidden="1" thickBot="1">
      <c r="F13974" s="294" t="s">
        <v>257</v>
      </c>
      <c r="G13974" s="297" t="s">
        <v>258</v>
      </c>
      <c r="J13974" s="639">
        <f t="shared" si="439"/>
        <v>0</v>
      </c>
    </row>
    <row r="13975" spans="1:10" ht="15.75" hidden="1" thickBot="1">
      <c r="F13975" s="294" t="s">
        <v>259</v>
      </c>
      <c r="G13975" s="297" t="s">
        <v>260</v>
      </c>
      <c r="J13975" s="639">
        <f t="shared" si="439"/>
        <v>0</v>
      </c>
    </row>
    <row r="13976" spans="1:10" ht="15.75" hidden="1" thickBot="1">
      <c r="F13976" s="294" t="s">
        <v>261</v>
      </c>
      <c r="G13976" s="297" t="s">
        <v>262</v>
      </c>
      <c r="H13976" s="638"/>
      <c r="I13976" s="639"/>
      <c r="J13976" s="639">
        <f t="shared" si="439"/>
        <v>0</v>
      </c>
    </row>
    <row r="13977" spans="1:10" ht="15.75" hidden="1" thickBot="1">
      <c r="G13977" s="274" t="s">
        <v>4479</v>
      </c>
      <c r="H13977" s="640">
        <f>SUM(H13961:H13976)</f>
        <v>0</v>
      </c>
      <c r="I13977" s="641">
        <f>SUM(I13962:I13976)</f>
        <v>0</v>
      </c>
      <c r="J13977" s="641">
        <f>SUM(J13961:J13976)</f>
        <v>0</v>
      </c>
    </row>
    <row r="13978" spans="1:10" hidden="1"/>
    <row r="13979" spans="1:10" hidden="1">
      <c r="A13979" s="261"/>
      <c r="B13979" s="261"/>
      <c r="C13979" s="265"/>
      <c r="D13979" s="261"/>
      <c r="E13979" s="261"/>
      <c r="F13979" s="261"/>
      <c r="G13979" s="577"/>
      <c r="H13979" s="632"/>
      <c r="I13979" s="633"/>
      <c r="J13979" s="633"/>
    </row>
    <row r="13980" spans="1:10">
      <c r="E13980" s="548"/>
      <c r="F13980" s="556"/>
      <c r="G13980" s="295" t="s">
        <v>5212</v>
      </c>
      <c r="H13980" s="646"/>
      <c r="I13980" s="664"/>
      <c r="J13980" s="647"/>
    </row>
    <row r="13981" spans="1:10">
      <c r="E13981" s="267"/>
      <c r="F13981" s="294" t="s">
        <v>234</v>
      </c>
      <c r="G13981" s="297" t="s">
        <v>235</v>
      </c>
      <c r="H13981" s="638">
        <f>SUM(H13803,H13961,H345,H567,H727)</f>
        <v>474383900</v>
      </c>
      <c r="I13981" s="639"/>
      <c r="J13981" s="639">
        <f>SUM(H13981:I13981)</f>
        <v>474383900</v>
      </c>
    </row>
    <row r="13982" spans="1:10" hidden="1">
      <c r="F13982" s="294" t="s">
        <v>236</v>
      </c>
      <c r="G13982" s="297" t="s">
        <v>237</v>
      </c>
      <c r="J13982" s="639">
        <f t="shared" ref="J13982:J13996" si="440">SUM(H13982:I13982)</f>
        <v>0</v>
      </c>
    </row>
    <row r="13983" spans="1:10" hidden="1">
      <c r="F13983" s="294" t="s">
        <v>238</v>
      </c>
      <c r="G13983" s="297" t="s">
        <v>239</v>
      </c>
      <c r="J13983" s="639">
        <f t="shared" si="440"/>
        <v>0</v>
      </c>
    </row>
    <row r="13984" spans="1:10">
      <c r="F13984" s="294" t="s">
        <v>240</v>
      </c>
      <c r="G13984" s="297" t="s">
        <v>241</v>
      </c>
      <c r="I13984" s="635">
        <f>SUM(I13806)</f>
        <v>8481426</v>
      </c>
      <c r="J13984" s="639">
        <f t="shared" si="440"/>
        <v>8481426</v>
      </c>
    </row>
    <row r="13985" spans="5:10" hidden="1">
      <c r="F13985" s="294" t="s">
        <v>242</v>
      </c>
      <c r="G13985" s="297" t="s">
        <v>243</v>
      </c>
      <c r="J13985" s="639">
        <f t="shared" si="440"/>
        <v>0</v>
      </c>
    </row>
    <row r="13986" spans="5:10" hidden="1">
      <c r="F13986" s="294" t="s">
        <v>244</v>
      </c>
      <c r="G13986" s="297" t="s">
        <v>245</v>
      </c>
      <c r="J13986" s="639">
        <f t="shared" si="440"/>
        <v>0</v>
      </c>
    </row>
    <row r="13987" spans="5:10" ht="15.75" thickBot="1">
      <c r="F13987" s="294" t="s">
        <v>246</v>
      </c>
      <c r="G13987" s="683" t="s">
        <v>5121</v>
      </c>
      <c r="I13987" s="635">
        <f>SUM(I13809)</f>
        <v>5292345</v>
      </c>
      <c r="J13987" s="639">
        <f t="shared" si="440"/>
        <v>5292345</v>
      </c>
    </row>
    <row r="13988" spans="5:10" hidden="1">
      <c r="F13988" s="294" t="s">
        <v>247</v>
      </c>
      <c r="G13988" s="683" t="s">
        <v>5120</v>
      </c>
      <c r="J13988" s="639">
        <f t="shared" si="440"/>
        <v>0</v>
      </c>
    </row>
    <row r="13989" spans="5:10" hidden="1">
      <c r="F13989" s="294" t="s">
        <v>248</v>
      </c>
      <c r="G13989" s="297" t="s">
        <v>57</v>
      </c>
      <c r="J13989" s="639">
        <f t="shared" si="440"/>
        <v>0</v>
      </c>
    </row>
    <row r="13990" spans="5:10" hidden="1">
      <c r="F13990" s="294" t="s">
        <v>249</v>
      </c>
      <c r="G13990" s="297" t="s">
        <v>250</v>
      </c>
      <c r="J13990" s="639">
        <f t="shared" si="440"/>
        <v>0</v>
      </c>
    </row>
    <row r="13991" spans="5:10" hidden="1">
      <c r="F13991" s="294" t="s">
        <v>251</v>
      </c>
      <c r="G13991" s="297" t="s">
        <v>252</v>
      </c>
      <c r="J13991" s="639">
        <f t="shared" si="440"/>
        <v>0</v>
      </c>
    </row>
    <row r="13992" spans="5:10" hidden="1">
      <c r="F13992" s="294" t="s">
        <v>253</v>
      </c>
      <c r="G13992" s="297" t="s">
        <v>254</v>
      </c>
      <c r="J13992" s="639">
        <f t="shared" si="440"/>
        <v>0</v>
      </c>
    </row>
    <row r="13993" spans="5:10" hidden="1">
      <c r="F13993" s="294" t="s">
        <v>255</v>
      </c>
      <c r="G13993" s="297" t="s">
        <v>256</v>
      </c>
      <c r="J13993" s="639">
        <f t="shared" si="440"/>
        <v>0</v>
      </c>
    </row>
    <row r="13994" spans="5:10" hidden="1">
      <c r="F13994" s="294" t="s">
        <v>257</v>
      </c>
      <c r="G13994" s="297" t="s">
        <v>258</v>
      </c>
      <c r="J13994" s="639">
        <f t="shared" si="440"/>
        <v>0</v>
      </c>
    </row>
    <row r="13995" spans="5:10" hidden="1">
      <c r="F13995" s="294" t="s">
        <v>259</v>
      </c>
      <c r="G13995" s="297" t="s">
        <v>260</v>
      </c>
      <c r="J13995" s="639">
        <f t="shared" si="440"/>
        <v>0</v>
      </c>
    </row>
    <row r="13996" spans="5:10" ht="15.75" hidden="1" thickBot="1">
      <c r="F13996" s="294" t="s">
        <v>261</v>
      </c>
      <c r="G13996" s="297" t="s">
        <v>262</v>
      </c>
      <c r="H13996" s="638"/>
      <c r="I13996" s="639"/>
      <c r="J13996" s="639">
        <f t="shared" si="440"/>
        <v>0</v>
      </c>
    </row>
    <row r="13997" spans="5:10" ht="15.75" thickBot="1">
      <c r="G13997" s="274" t="s">
        <v>5213</v>
      </c>
      <c r="H13997" s="640">
        <f>SUM(H13981:H13996)</f>
        <v>474383900</v>
      </c>
      <c r="I13997" s="641">
        <f>SUM(I13984:I13987)</f>
        <v>13773771</v>
      </c>
      <c r="J13997" s="641">
        <f>SUM(J13981:J13996)</f>
        <v>488157671</v>
      </c>
    </row>
    <row r="13998" spans="5:10" ht="28.5" customHeight="1"/>
    <row r="13999" spans="5:10" ht="18.75">
      <c r="E13999" s="883" t="s">
        <v>5355</v>
      </c>
      <c r="F13999" s="883"/>
      <c r="G13999" s="883"/>
      <c r="H13999" s="883"/>
      <c r="I13999" s="883"/>
    </row>
    <row r="14001" spans="2:10" ht="15.75">
      <c r="B14001" s="788"/>
      <c r="C14001" s="789"/>
      <c r="D14001" s="788"/>
      <c r="E14001" s="788"/>
      <c r="F14001" s="788"/>
      <c r="G14001" s="876" t="s">
        <v>5356</v>
      </c>
      <c r="H14001" s="876"/>
      <c r="I14001" s="876"/>
      <c r="J14001" s="790"/>
    </row>
    <row r="14002" spans="2:10" ht="0.75" customHeight="1">
      <c r="B14002" s="788"/>
      <c r="C14002" s="789"/>
      <c r="D14002" s="788"/>
      <c r="E14002" s="788"/>
      <c r="F14002" s="788"/>
      <c r="G14002" s="791"/>
      <c r="H14002" s="792"/>
      <c r="I14002" s="790"/>
      <c r="J14002" s="790"/>
    </row>
    <row r="14003" spans="2:10" ht="35.25" customHeight="1">
      <c r="B14003" s="876" t="s">
        <v>5284</v>
      </c>
      <c r="C14003" s="876"/>
      <c r="D14003" s="876"/>
      <c r="E14003" s="876"/>
      <c r="F14003" s="876"/>
      <c r="G14003" s="876"/>
      <c r="H14003" s="876"/>
      <c r="I14003" s="876"/>
      <c r="J14003" s="876"/>
    </row>
    <row r="14004" spans="2:10" ht="15.75" hidden="1">
      <c r="B14004" s="788"/>
      <c r="C14004" s="789"/>
      <c r="D14004" s="788"/>
      <c r="E14004" s="788"/>
      <c r="F14004" s="788"/>
      <c r="G14004" s="791"/>
      <c r="H14004" s="792"/>
      <c r="I14004" s="790"/>
      <c r="J14004" s="790"/>
    </row>
    <row r="14005" spans="2:10" ht="6.75" hidden="1" customHeight="1">
      <c r="B14005" s="788"/>
      <c r="C14005" s="789"/>
      <c r="D14005" s="788"/>
      <c r="E14005" s="788"/>
      <c r="F14005" s="788"/>
      <c r="G14005" s="791"/>
      <c r="H14005" s="792"/>
      <c r="I14005" s="790"/>
      <c r="J14005" s="790"/>
    </row>
    <row r="14006" spans="2:10" ht="15.75">
      <c r="B14006" s="788"/>
      <c r="C14006" s="789"/>
      <c r="D14006" s="788"/>
      <c r="E14006" s="788"/>
      <c r="F14006" s="788"/>
      <c r="G14006" s="876" t="s">
        <v>5357</v>
      </c>
      <c r="H14006" s="876"/>
      <c r="I14006" s="876"/>
      <c r="J14006" s="790"/>
    </row>
    <row r="14007" spans="2:10" ht="15.75" hidden="1">
      <c r="B14007" s="788"/>
      <c r="C14007" s="789"/>
      <c r="D14007" s="788"/>
      <c r="E14007" s="788"/>
      <c r="F14007" s="788"/>
      <c r="G14007" s="791"/>
      <c r="H14007" s="792"/>
      <c r="I14007" s="790"/>
      <c r="J14007" s="790"/>
    </row>
    <row r="14008" spans="2:10" ht="51" customHeight="1">
      <c r="B14008" s="879" t="s">
        <v>5396</v>
      </c>
      <c r="C14008" s="879"/>
      <c r="D14008" s="879"/>
      <c r="E14008" s="879"/>
      <c r="F14008" s="879"/>
      <c r="G14008" s="879"/>
      <c r="H14008" s="879"/>
      <c r="I14008" s="879"/>
      <c r="J14008" s="879"/>
    </row>
    <row r="14009" spans="2:10" ht="15.75" hidden="1">
      <c r="B14009" s="788"/>
      <c r="C14009" s="789"/>
      <c r="D14009" s="788"/>
      <c r="E14009" s="788"/>
      <c r="F14009" s="788"/>
      <c r="G14009" s="791"/>
      <c r="H14009" s="792"/>
      <c r="I14009" s="790"/>
      <c r="J14009" s="790"/>
    </row>
    <row r="14010" spans="2:10" ht="15.75">
      <c r="B14010" s="788"/>
      <c r="C14010" s="789"/>
      <c r="D14010" s="788"/>
      <c r="E14010" s="788"/>
      <c r="F14010" s="788"/>
      <c r="G14010" s="876" t="s">
        <v>5358</v>
      </c>
      <c r="H14010" s="876"/>
      <c r="I14010" s="876"/>
      <c r="J14010" s="790"/>
    </row>
    <row r="14011" spans="2:10" ht="0.75" customHeight="1">
      <c r="B14011" s="884"/>
      <c r="C14011" s="884"/>
      <c r="D14011" s="884"/>
      <c r="E14011" s="884"/>
      <c r="F14011" s="884"/>
      <c r="G14011" s="884"/>
      <c r="H14011" s="884"/>
      <c r="I14011" s="884"/>
      <c r="J14011" s="884"/>
    </row>
    <row r="14012" spans="2:10" ht="27.75" customHeight="1">
      <c r="B14012" s="876" t="s">
        <v>5285</v>
      </c>
      <c r="C14012" s="876"/>
      <c r="D14012" s="876"/>
      <c r="E14012" s="876"/>
      <c r="F14012" s="876"/>
      <c r="G14012" s="876"/>
      <c r="H14012" s="876"/>
      <c r="I14012" s="876"/>
      <c r="J14012" s="876"/>
    </row>
    <row r="14013" spans="2:10" ht="30.75" customHeight="1">
      <c r="B14013" s="788"/>
      <c r="C14013" s="789"/>
      <c r="D14013" s="788"/>
      <c r="E14013" s="788"/>
      <c r="F14013" s="788"/>
      <c r="G14013" s="791"/>
      <c r="H14013" s="792"/>
      <c r="I14013" s="790"/>
      <c r="J14013" s="790"/>
    </row>
    <row r="14014" spans="2:10" ht="15.75">
      <c r="B14014" s="788"/>
      <c r="C14014" s="789"/>
      <c r="D14014" s="788"/>
      <c r="E14014" s="788"/>
      <c r="F14014" s="788"/>
      <c r="G14014" s="876" t="s">
        <v>5359</v>
      </c>
      <c r="H14014" s="876"/>
      <c r="I14014" s="876"/>
      <c r="J14014" s="790"/>
    </row>
    <row r="14015" spans="2:10" ht="46.5" customHeight="1">
      <c r="B14015" s="876" t="s">
        <v>5286</v>
      </c>
      <c r="C14015" s="876"/>
      <c r="D14015" s="876"/>
      <c r="E14015" s="876"/>
      <c r="F14015" s="876"/>
      <c r="G14015" s="876"/>
      <c r="H14015" s="876"/>
      <c r="I14015" s="876"/>
      <c r="J14015" s="876"/>
    </row>
    <row r="14016" spans="2:10" ht="30" customHeight="1">
      <c r="B14016" s="876" t="s">
        <v>5287</v>
      </c>
      <c r="C14016" s="876"/>
      <c r="D14016" s="876"/>
      <c r="E14016" s="876"/>
      <c r="F14016" s="876"/>
      <c r="G14016" s="876"/>
      <c r="H14016" s="876"/>
      <c r="I14016" s="876"/>
      <c r="J14016" s="876"/>
    </row>
    <row r="14017" spans="2:10" ht="35.25" customHeight="1">
      <c r="B14017" s="876" t="s">
        <v>5288</v>
      </c>
      <c r="C14017" s="876"/>
      <c r="D14017" s="876"/>
      <c r="E14017" s="876"/>
      <c r="F14017" s="876"/>
      <c r="G14017" s="876"/>
      <c r="H14017" s="876"/>
      <c r="I14017" s="876"/>
      <c r="J14017" s="876"/>
    </row>
    <row r="14018" spans="2:10" ht="15.75">
      <c r="B14018" s="788"/>
      <c r="C14018" s="789"/>
      <c r="D14018" s="788"/>
      <c r="E14018" s="788"/>
      <c r="F14018" s="788"/>
      <c r="G14018" s="791"/>
      <c r="H14018" s="792"/>
      <c r="I14018" s="790"/>
      <c r="J14018" s="790"/>
    </row>
    <row r="14019" spans="2:10" ht="15.75">
      <c r="B14019" s="788"/>
      <c r="C14019" s="789"/>
      <c r="D14019" s="788"/>
      <c r="E14019" s="788"/>
      <c r="F14019" s="788"/>
      <c r="G14019" s="876" t="s">
        <v>5360</v>
      </c>
      <c r="H14019" s="876"/>
      <c r="I14019" s="876"/>
      <c r="J14019" s="790"/>
    </row>
    <row r="14020" spans="2:10" ht="64.5" customHeight="1">
      <c r="B14020" s="876" t="s">
        <v>5290</v>
      </c>
      <c r="C14020" s="876"/>
      <c r="D14020" s="876"/>
      <c r="E14020" s="876"/>
      <c r="F14020" s="876"/>
      <c r="G14020" s="876"/>
      <c r="H14020" s="876"/>
      <c r="I14020" s="876"/>
      <c r="J14020" s="876"/>
    </row>
    <row r="14021" spans="2:10" ht="15.75" hidden="1">
      <c r="B14021" s="788"/>
      <c r="C14021" s="789"/>
      <c r="D14021" s="788"/>
      <c r="E14021" s="788"/>
      <c r="F14021" s="788"/>
      <c r="G14021" s="791"/>
      <c r="H14021" s="792"/>
      <c r="I14021" s="790"/>
      <c r="J14021" s="790"/>
    </row>
    <row r="14022" spans="2:10" ht="15.75" hidden="1">
      <c r="B14022" s="788"/>
      <c r="C14022" s="789"/>
      <c r="D14022" s="788"/>
      <c r="E14022" s="788"/>
      <c r="F14022" s="788"/>
      <c r="G14022" s="791"/>
      <c r="H14022" s="792"/>
      <c r="I14022" s="790"/>
      <c r="J14022" s="790"/>
    </row>
    <row r="14023" spans="2:10" ht="15.75" hidden="1">
      <c r="B14023" s="788"/>
      <c r="C14023" s="789"/>
      <c r="D14023" s="788"/>
      <c r="E14023" s="788"/>
      <c r="F14023" s="788"/>
      <c r="G14023" s="791"/>
      <c r="H14023" s="792"/>
      <c r="I14023" s="790"/>
      <c r="J14023" s="790"/>
    </row>
    <row r="14024" spans="2:10" ht="15.75" hidden="1">
      <c r="B14024" s="788"/>
      <c r="C14024" s="789"/>
      <c r="D14024" s="788"/>
      <c r="E14024" s="788"/>
      <c r="F14024" s="788"/>
      <c r="G14024" s="791"/>
      <c r="H14024" s="792"/>
      <c r="I14024" s="790"/>
      <c r="J14024" s="790"/>
    </row>
    <row r="14025" spans="2:10" ht="15.75">
      <c r="B14025" s="788"/>
      <c r="C14025" s="789"/>
      <c r="D14025" s="788"/>
      <c r="E14025" s="788"/>
      <c r="F14025" s="788"/>
      <c r="G14025" s="791"/>
      <c r="H14025" s="792"/>
      <c r="I14025" s="790"/>
      <c r="J14025" s="790"/>
    </row>
    <row r="14026" spans="2:10" ht="15.75">
      <c r="B14026" s="788"/>
      <c r="C14026" s="789"/>
      <c r="D14026" s="788"/>
      <c r="E14026" s="788"/>
      <c r="F14026" s="788"/>
      <c r="G14026" s="876" t="s">
        <v>5289</v>
      </c>
      <c r="H14026" s="876"/>
      <c r="I14026" s="876"/>
      <c r="J14026" s="790"/>
    </row>
    <row r="14027" spans="2:10" ht="18.75" customHeight="1">
      <c r="B14027" s="876" t="s">
        <v>5292</v>
      </c>
      <c r="C14027" s="876"/>
      <c r="D14027" s="876"/>
      <c r="E14027" s="876"/>
      <c r="F14027" s="876"/>
      <c r="G14027" s="876"/>
      <c r="H14027" s="876"/>
      <c r="I14027" s="876"/>
      <c r="J14027" s="876"/>
    </row>
    <row r="14028" spans="2:10" ht="35.25" customHeight="1">
      <c r="B14028" s="876" t="s">
        <v>5293</v>
      </c>
      <c r="C14028" s="876"/>
      <c r="D14028" s="876"/>
      <c r="E14028" s="876"/>
      <c r="F14028" s="876"/>
      <c r="G14028" s="876"/>
      <c r="H14028" s="876"/>
      <c r="I14028" s="876"/>
      <c r="J14028" s="876"/>
    </row>
    <row r="14029" spans="2:10" ht="15.75">
      <c r="B14029" s="788"/>
      <c r="C14029" s="789"/>
      <c r="D14029" s="788"/>
      <c r="E14029" s="788"/>
      <c r="F14029" s="788"/>
      <c r="G14029" s="791"/>
      <c r="H14029" s="792"/>
      <c r="I14029" s="790"/>
      <c r="J14029" s="790"/>
    </row>
    <row r="14030" spans="2:10" ht="15.75">
      <c r="B14030" s="788"/>
      <c r="C14030" s="789"/>
      <c r="D14030" s="788"/>
      <c r="E14030" s="788"/>
      <c r="F14030" s="788"/>
      <c r="G14030" s="876" t="s">
        <v>5291</v>
      </c>
      <c r="H14030" s="876"/>
      <c r="I14030" s="876"/>
      <c r="J14030" s="790"/>
    </row>
    <row r="14031" spans="2:10" ht="37.5" customHeight="1">
      <c r="B14031" s="876" t="s">
        <v>5295</v>
      </c>
      <c r="C14031" s="876"/>
      <c r="D14031" s="876"/>
      <c r="E14031" s="876"/>
      <c r="F14031" s="876"/>
      <c r="G14031" s="876"/>
      <c r="H14031" s="876"/>
      <c r="I14031" s="876"/>
      <c r="J14031" s="876"/>
    </row>
    <row r="14032" spans="2:10" ht="15.75" hidden="1">
      <c r="B14032" s="788"/>
      <c r="C14032" s="789"/>
      <c r="D14032" s="788"/>
      <c r="E14032" s="788"/>
      <c r="F14032" s="788"/>
      <c r="G14032" s="791"/>
      <c r="H14032" s="792"/>
      <c r="I14032" s="790"/>
      <c r="J14032" s="790"/>
    </row>
    <row r="14033" spans="2:10" ht="30.75" customHeight="1">
      <c r="B14033" s="876" t="s">
        <v>5296</v>
      </c>
      <c r="C14033" s="876"/>
      <c r="D14033" s="876"/>
      <c r="E14033" s="876"/>
      <c r="F14033" s="876"/>
      <c r="G14033" s="876"/>
      <c r="H14033" s="876"/>
      <c r="I14033" s="876"/>
      <c r="J14033" s="876"/>
    </row>
    <row r="14034" spans="2:10" ht="15.75">
      <c r="B14034" s="788"/>
      <c r="C14034" s="789"/>
      <c r="D14034" s="788"/>
      <c r="E14034" s="788"/>
      <c r="F14034" s="788"/>
      <c r="G14034" s="791"/>
      <c r="H14034" s="792"/>
      <c r="I14034" s="790"/>
      <c r="J14034" s="790"/>
    </row>
    <row r="14035" spans="2:10" ht="15.75">
      <c r="B14035" s="788"/>
      <c r="C14035" s="789"/>
      <c r="D14035" s="788"/>
      <c r="E14035" s="788"/>
      <c r="F14035" s="788"/>
      <c r="G14035" s="876" t="s">
        <v>5294</v>
      </c>
      <c r="H14035" s="876"/>
      <c r="I14035" s="876"/>
      <c r="J14035" s="790"/>
    </row>
    <row r="14036" spans="2:10" ht="41.25" customHeight="1">
      <c r="B14036" s="876" t="s">
        <v>5298</v>
      </c>
      <c r="C14036" s="876"/>
      <c r="D14036" s="876"/>
      <c r="E14036" s="876"/>
      <c r="F14036" s="876"/>
      <c r="G14036" s="876"/>
      <c r="H14036" s="876"/>
      <c r="I14036" s="876"/>
      <c r="J14036" s="876"/>
    </row>
    <row r="14037" spans="2:10" ht="15.75">
      <c r="B14037" s="788"/>
      <c r="C14037" s="789"/>
      <c r="D14037" s="788"/>
      <c r="E14037" s="788"/>
      <c r="F14037" s="788"/>
      <c r="G14037" s="791"/>
      <c r="H14037" s="792"/>
      <c r="I14037" s="790"/>
      <c r="J14037" s="790"/>
    </row>
    <row r="14038" spans="2:10" ht="15.75">
      <c r="B14038" s="788"/>
      <c r="C14038" s="789"/>
      <c r="D14038" s="788"/>
      <c r="E14038" s="788"/>
      <c r="F14038" s="788"/>
      <c r="G14038" s="876" t="s">
        <v>5297</v>
      </c>
      <c r="H14038" s="876"/>
      <c r="I14038" s="876"/>
      <c r="J14038" s="790"/>
    </row>
    <row r="14039" spans="2:10" ht="39.75" customHeight="1">
      <c r="B14039" s="876" t="s">
        <v>5300</v>
      </c>
      <c r="C14039" s="876"/>
      <c r="D14039" s="876"/>
      <c r="E14039" s="876"/>
      <c r="F14039" s="876"/>
      <c r="G14039" s="876"/>
      <c r="H14039" s="876"/>
      <c r="I14039" s="876"/>
      <c r="J14039" s="876"/>
    </row>
    <row r="14040" spans="2:10" ht="49.5" customHeight="1">
      <c r="B14040" s="876" t="s">
        <v>5301</v>
      </c>
      <c r="C14040" s="876"/>
      <c r="D14040" s="876"/>
      <c r="E14040" s="876"/>
      <c r="F14040" s="876"/>
      <c r="G14040" s="876"/>
      <c r="H14040" s="876"/>
      <c r="I14040" s="876"/>
      <c r="J14040" s="876"/>
    </row>
    <row r="14041" spans="2:10" ht="31.5" customHeight="1">
      <c r="B14041" s="876" t="s">
        <v>5302</v>
      </c>
      <c r="C14041" s="876"/>
      <c r="D14041" s="876"/>
      <c r="E14041" s="876"/>
      <c r="F14041" s="876"/>
      <c r="G14041" s="876"/>
      <c r="H14041" s="876"/>
      <c r="I14041" s="876"/>
      <c r="J14041" s="876"/>
    </row>
    <row r="14042" spans="2:10" ht="3.75" customHeight="1">
      <c r="B14042" s="788"/>
      <c r="C14042" s="789"/>
      <c r="D14042" s="788"/>
      <c r="E14042" s="788"/>
      <c r="F14042" s="788"/>
      <c r="G14042" s="791"/>
      <c r="H14042" s="792"/>
      <c r="I14042" s="790"/>
      <c r="J14042" s="790"/>
    </row>
    <row r="14043" spans="2:10" ht="15.75">
      <c r="B14043" s="788"/>
      <c r="C14043" s="789"/>
      <c r="D14043" s="788"/>
      <c r="E14043" s="788"/>
      <c r="F14043" s="788"/>
      <c r="G14043" s="876" t="s">
        <v>5299</v>
      </c>
      <c r="H14043" s="876"/>
      <c r="I14043" s="876"/>
      <c r="J14043" s="790"/>
    </row>
    <row r="14044" spans="2:10" ht="38.25" customHeight="1">
      <c r="B14044" s="876" t="s">
        <v>5304</v>
      </c>
      <c r="C14044" s="876"/>
      <c r="D14044" s="876"/>
      <c r="E14044" s="876"/>
      <c r="F14044" s="876"/>
      <c r="G14044" s="876"/>
      <c r="H14044" s="876"/>
      <c r="I14044" s="876"/>
      <c r="J14044" s="876"/>
    </row>
    <row r="14045" spans="2:10" ht="24.75" customHeight="1">
      <c r="B14045" s="879" t="s">
        <v>5305</v>
      </c>
      <c r="C14045" s="879"/>
      <c r="D14045" s="879"/>
      <c r="E14045" s="879"/>
      <c r="F14045" s="879"/>
      <c r="G14045" s="879"/>
      <c r="H14045" s="879"/>
      <c r="I14045" s="879"/>
      <c r="J14045" s="879"/>
    </row>
    <row r="14046" spans="2:10" ht="43.5" customHeight="1">
      <c r="B14046" s="876" t="s">
        <v>5306</v>
      </c>
      <c r="C14046" s="876"/>
      <c r="D14046" s="876"/>
      <c r="E14046" s="876"/>
      <c r="F14046" s="876"/>
      <c r="G14046" s="876"/>
      <c r="H14046" s="876"/>
      <c r="I14046" s="876"/>
      <c r="J14046" s="876"/>
    </row>
    <row r="14047" spans="2:10" ht="45" customHeight="1">
      <c r="B14047" s="876" t="s">
        <v>5361</v>
      </c>
      <c r="C14047" s="876"/>
      <c r="D14047" s="876"/>
      <c r="E14047" s="876"/>
      <c r="F14047" s="876"/>
      <c r="G14047" s="876"/>
      <c r="H14047" s="876"/>
      <c r="I14047" s="876"/>
      <c r="J14047" s="876"/>
    </row>
    <row r="14048" spans="2:10" ht="20.25" customHeight="1">
      <c r="B14048" s="876" t="s">
        <v>5307</v>
      </c>
      <c r="C14048" s="876"/>
      <c r="D14048" s="876"/>
      <c r="E14048" s="876"/>
      <c r="F14048" s="876"/>
      <c r="G14048" s="876"/>
      <c r="H14048" s="876"/>
      <c r="I14048" s="876"/>
      <c r="J14048" s="876"/>
    </row>
    <row r="14049" spans="2:10" ht="15.75">
      <c r="B14049" s="788"/>
      <c r="C14049" s="789"/>
      <c r="D14049" s="788"/>
      <c r="E14049" s="788"/>
      <c r="F14049" s="788"/>
      <c r="G14049" s="791"/>
      <c r="H14049" s="792"/>
      <c r="I14049" s="790"/>
      <c r="J14049" s="790"/>
    </row>
    <row r="14050" spans="2:10" ht="0.75" customHeight="1">
      <c r="B14050" s="788"/>
      <c r="C14050" s="789"/>
      <c r="D14050" s="788"/>
      <c r="E14050" s="788"/>
      <c r="F14050" s="788"/>
      <c r="G14050" s="791"/>
      <c r="H14050" s="792"/>
      <c r="I14050" s="790"/>
      <c r="J14050" s="790"/>
    </row>
    <row r="14051" spans="2:10" ht="15.75" hidden="1">
      <c r="B14051" s="788"/>
      <c r="C14051" s="789"/>
      <c r="D14051" s="788"/>
      <c r="E14051" s="788"/>
      <c r="F14051" s="788"/>
      <c r="G14051" s="791"/>
      <c r="H14051" s="792"/>
      <c r="I14051" s="790"/>
      <c r="J14051" s="790"/>
    </row>
    <row r="14052" spans="2:10" ht="15.75">
      <c r="B14052" s="788"/>
      <c r="C14052" s="789"/>
      <c r="D14052" s="788"/>
      <c r="E14052" s="788"/>
      <c r="F14052" s="788"/>
      <c r="G14052" s="791"/>
      <c r="H14052" s="792"/>
      <c r="I14052" s="790"/>
      <c r="J14052" s="790"/>
    </row>
    <row r="14053" spans="2:10" ht="15.75">
      <c r="B14053" s="788"/>
      <c r="C14053" s="789"/>
      <c r="D14053" s="788"/>
      <c r="E14053" s="788"/>
      <c r="F14053" s="788"/>
      <c r="G14053" s="876" t="s">
        <v>5303</v>
      </c>
      <c r="H14053" s="876"/>
      <c r="I14053" s="876"/>
      <c r="J14053" s="790"/>
    </row>
    <row r="14054" spans="2:10" ht="50.25" customHeight="1">
      <c r="B14054" s="876" t="s">
        <v>5309</v>
      </c>
      <c r="C14054" s="876"/>
      <c r="D14054" s="876"/>
      <c r="E14054" s="876"/>
      <c r="F14054" s="876"/>
      <c r="G14054" s="876"/>
      <c r="H14054" s="876"/>
      <c r="I14054" s="876"/>
      <c r="J14054" s="876"/>
    </row>
    <row r="14055" spans="2:10" ht="49.5" customHeight="1">
      <c r="B14055" s="876" t="s">
        <v>5310</v>
      </c>
      <c r="C14055" s="876"/>
      <c r="D14055" s="876"/>
      <c r="E14055" s="876"/>
      <c r="F14055" s="876"/>
      <c r="G14055" s="876"/>
      <c r="H14055" s="876"/>
      <c r="I14055" s="876"/>
      <c r="J14055" s="876"/>
    </row>
    <row r="14056" spans="2:10" ht="17.25" customHeight="1">
      <c r="B14056" s="876" t="s">
        <v>5311</v>
      </c>
      <c r="C14056" s="876"/>
      <c r="D14056" s="876"/>
      <c r="E14056" s="876"/>
      <c r="F14056" s="876"/>
      <c r="G14056" s="876"/>
      <c r="H14056" s="876"/>
      <c r="I14056" s="876"/>
      <c r="J14056" s="876"/>
    </row>
    <row r="14057" spans="2:10" ht="15.75">
      <c r="B14057" s="788"/>
      <c r="C14057" s="789"/>
      <c r="D14057" s="788"/>
      <c r="E14057" s="788"/>
      <c r="F14057" s="788"/>
      <c r="G14057" s="791"/>
      <c r="H14057" s="792"/>
      <c r="I14057" s="790"/>
      <c r="J14057" s="790"/>
    </row>
    <row r="14058" spans="2:10" ht="15.75">
      <c r="B14058" s="788"/>
      <c r="C14058" s="789"/>
      <c r="D14058" s="788"/>
      <c r="E14058" s="788"/>
      <c r="F14058" s="788"/>
      <c r="G14058" s="876" t="s">
        <v>5308</v>
      </c>
      <c r="H14058" s="876"/>
      <c r="I14058" s="876"/>
      <c r="J14058" s="790"/>
    </row>
    <row r="14059" spans="2:10" ht="23.25" customHeight="1">
      <c r="B14059" s="876" t="s">
        <v>5313</v>
      </c>
      <c r="C14059" s="876"/>
      <c r="D14059" s="876"/>
      <c r="E14059" s="876"/>
      <c r="F14059" s="876"/>
      <c r="G14059" s="876"/>
      <c r="H14059" s="876"/>
      <c r="I14059" s="876"/>
      <c r="J14059" s="876"/>
    </row>
    <row r="14060" spans="2:10" ht="15.75">
      <c r="B14060" s="876" t="s">
        <v>5314</v>
      </c>
      <c r="C14060" s="876"/>
      <c r="D14060" s="876"/>
      <c r="E14060" s="876"/>
      <c r="F14060" s="876"/>
      <c r="G14060" s="876"/>
      <c r="H14060" s="876"/>
      <c r="I14060" s="876"/>
      <c r="J14060" s="876"/>
    </row>
    <row r="14061" spans="2:10" ht="24.75" customHeight="1">
      <c r="B14061" s="788"/>
      <c r="C14061" s="789"/>
      <c r="D14061" s="788"/>
      <c r="E14061" s="788"/>
      <c r="F14061" s="788"/>
      <c r="G14061" s="791"/>
      <c r="H14061" s="792"/>
      <c r="I14061" s="790"/>
      <c r="J14061" s="790"/>
    </row>
    <row r="14062" spans="2:10" ht="15.75">
      <c r="B14062" s="788"/>
      <c r="C14062" s="789"/>
      <c r="D14062" s="788"/>
      <c r="E14062" s="788"/>
      <c r="F14062" s="788"/>
      <c r="G14062" s="876" t="s">
        <v>5312</v>
      </c>
      <c r="H14062" s="876"/>
      <c r="I14062" s="876"/>
      <c r="J14062" s="790"/>
    </row>
    <row r="14063" spans="2:10" ht="33.75" customHeight="1">
      <c r="B14063" s="876" t="s">
        <v>5316</v>
      </c>
      <c r="C14063" s="876"/>
      <c r="D14063" s="876"/>
      <c r="E14063" s="876"/>
      <c r="F14063" s="876"/>
      <c r="G14063" s="876"/>
      <c r="H14063" s="876"/>
      <c r="I14063" s="876"/>
      <c r="J14063" s="876"/>
    </row>
    <row r="14064" spans="2:10" ht="36" customHeight="1">
      <c r="B14064" s="876" t="s">
        <v>5362</v>
      </c>
      <c r="C14064" s="876"/>
      <c r="D14064" s="876"/>
      <c r="E14064" s="876"/>
      <c r="F14064" s="876"/>
      <c r="G14064" s="876"/>
      <c r="H14064" s="876"/>
      <c r="I14064" s="876"/>
      <c r="J14064" s="876"/>
    </row>
    <row r="14065" spans="2:10" ht="15.75">
      <c r="B14065" s="788"/>
      <c r="C14065" s="789"/>
      <c r="D14065" s="788"/>
      <c r="E14065" s="788"/>
      <c r="F14065" s="788"/>
      <c r="G14065" s="791"/>
      <c r="H14065" s="792"/>
      <c r="I14065" s="790"/>
      <c r="J14065" s="790"/>
    </row>
    <row r="14066" spans="2:10" ht="15.75">
      <c r="B14066" s="788"/>
      <c r="C14066" s="789"/>
      <c r="D14066" s="788"/>
      <c r="E14066" s="788"/>
      <c r="F14066" s="788"/>
      <c r="G14066" s="876" t="s">
        <v>5315</v>
      </c>
      <c r="H14066" s="876"/>
      <c r="I14066" s="876"/>
      <c r="J14066" s="790"/>
    </row>
    <row r="14067" spans="2:10">
      <c r="B14067" s="877" t="s">
        <v>5318</v>
      </c>
      <c r="C14067" s="877"/>
      <c r="D14067" s="877"/>
      <c r="E14067" s="877"/>
      <c r="F14067" s="877"/>
      <c r="G14067" s="877"/>
      <c r="H14067" s="877"/>
      <c r="I14067" s="877"/>
      <c r="J14067" s="877"/>
    </row>
    <row r="14068" spans="2:10">
      <c r="B14068" s="877"/>
      <c r="C14068" s="877"/>
      <c r="D14068" s="877"/>
      <c r="E14068" s="877"/>
      <c r="F14068" s="877"/>
      <c r="G14068" s="877"/>
      <c r="H14068" s="877"/>
      <c r="I14068" s="877"/>
      <c r="J14068" s="877"/>
    </row>
    <row r="14069" spans="2:10">
      <c r="B14069" s="877"/>
      <c r="C14069" s="877"/>
      <c r="D14069" s="877"/>
      <c r="E14069" s="877"/>
      <c r="F14069" s="877"/>
      <c r="G14069" s="877"/>
      <c r="H14069" s="877"/>
      <c r="I14069" s="877"/>
      <c r="J14069" s="877"/>
    </row>
    <row r="14070" spans="2:10">
      <c r="B14070" s="877" t="s">
        <v>5319</v>
      </c>
      <c r="C14070" s="877"/>
      <c r="D14070" s="877"/>
      <c r="E14070" s="877"/>
      <c r="F14070" s="877"/>
      <c r="G14070" s="877"/>
      <c r="H14070" s="877"/>
      <c r="I14070" s="877"/>
      <c r="J14070" s="877"/>
    </row>
    <row r="14071" spans="2:10">
      <c r="B14071" s="877"/>
      <c r="C14071" s="877"/>
      <c r="D14071" s="877"/>
      <c r="E14071" s="877"/>
      <c r="F14071" s="877"/>
      <c r="G14071" s="877"/>
      <c r="H14071" s="877"/>
      <c r="I14071" s="877"/>
      <c r="J14071" s="877"/>
    </row>
    <row r="14072" spans="2:10" ht="15.75">
      <c r="B14072" s="788"/>
      <c r="C14072" s="789"/>
      <c r="D14072" s="788"/>
      <c r="E14072" s="788"/>
      <c r="F14072" s="788"/>
      <c r="G14072" s="876" t="s">
        <v>5317</v>
      </c>
      <c r="H14072" s="876"/>
      <c r="I14072" s="876"/>
      <c r="J14072" s="790"/>
    </row>
    <row r="14073" spans="2:10" ht="33" customHeight="1">
      <c r="B14073" s="876" t="s">
        <v>5321</v>
      </c>
      <c r="C14073" s="876"/>
      <c r="D14073" s="876"/>
      <c r="E14073" s="876"/>
      <c r="F14073" s="876"/>
      <c r="G14073" s="876"/>
      <c r="H14073" s="876"/>
      <c r="I14073" s="876"/>
      <c r="J14073" s="876"/>
    </row>
    <row r="14074" spans="2:10" ht="15.75" hidden="1">
      <c r="B14074" s="788"/>
      <c r="C14074" s="789"/>
      <c r="D14074" s="788"/>
      <c r="E14074" s="788"/>
      <c r="F14074" s="788"/>
      <c r="G14074" s="791"/>
      <c r="H14074" s="792"/>
      <c r="I14074" s="790"/>
      <c r="J14074" s="790"/>
    </row>
    <row r="14075" spans="2:10" ht="15.75">
      <c r="B14075" s="788"/>
      <c r="C14075" s="789"/>
      <c r="D14075" s="788"/>
      <c r="E14075" s="788"/>
      <c r="F14075" s="788"/>
      <c r="G14075" s="793" t="s">
        <v>5322</v>
      </c>
      <c r="H14075" s="792"/>
      <c r="I14075" s="790"/>
      <c r="J14075" s="790"/>
    </row>
    <row r="14076" spans="2:10" ht="42" customHeight="1">
      <c r="B14076" s="876" t="s">
        <v>5323</v>
      </c>
      <c r="C14076" s="876"/>
      <c r="D14076" s="876"/>
      <c r="E14076" s="876"/>
      <c r="F14076" s="876"/>
      <c r="G14076" s="876"/>
      <c r="H14076" s="876"/>
      <c r="I14076" s="876"/>
      <c r="J14076" s="876"/>
    </row>
    <row r="14077" spans="2:10" ht="0.75" customHeight="1">
      <c r="B14077" s="794"/>
      <c r="C14077" s="794"/>
      <c r="D14077" s="794"/>
      <c r="E14077" s="794"/>
      <c r="F14077" s="794"/>
      <c r="G14077" s="794"/>
      <c r="H14077" s="794"/>
      <c r="I14077" s="794"/>
      <c r="J14077" s="794"/>
    </row>
    <row r="14078" spans="2:10" ht="15.75">
      <c r="B14078" s="788"/>
      <c r="C14078" s="789"/>
      <c r="D14078" s="788"/>
      <c r="E14078" s="788"/>
      <c r="F14078" s="788"/>
      <c r="G14078" s="791"/>
      <c r="H14078" s="792"/>
      <c r="I14078" s="790"/>
      <c r="J14078" s="790"/>
    </row>
    <row r="14079" spans="2:10" ht="15.75">
      <c r="B14079" s="788"/>
      <c r="C14079" s="789"/>
      <c r="D14079" s="788"/>
      <c r="E14079" s="788"/>
      <c r="F14079" s="788"/>
      <c r="G14079" s="793" t="s">
        <v>5324</v>
      </c>
      <c r="H14079" s="792"/>
      <c r="I14079" s="790"/>
      <c r="J14079" s="790"/>
    </row>
    <row r="14080" spans="2:10" ht="37.5" customHeight="1">
      <c r="B14080" s="876" t="s">
        <v>5325</v>
      </c>
      <c r="C14080" s="876"/>
      <c r="D14080" s="876"/>
      <c r="E14080" s="876"/>
      <c r="F14080" s="876"/>
      <c r="G14080" s="876"/>
      <c r="H14080" s="876"/>
      <c r="I14080" s="876"/>
      <c r="J14080" s="876"/>
    </row>
    <row r="14081" spans="2:10" ht="15.75">
      <c r="B14081" s="788"/>
      <c r="C14081" s="789"/>
      <c r="D14081" s="788"/>
      <c r="E14081" s="788"/>
      <c r="F14081" s="788"/>
      <c r="G14081" s="791"/>
      <c r="H14081" s="792"/>
      <c r="I14081" s="790"/>
      <c r="J14081" s="790"/>
    </row>
    <row r="14082" spans="2:10" ht="15.75">
      <c r="B14082" s="788"/>
      <c r="C14082" s="789"/>
      <c r="D14082" s="788"/>
      <c r="E14082" s="788"/>
      <c r="F14082" s="788"/>
      <c r="G14082" s="791"/>
      <c r="H14082" s="792"/>
      <c r="I14082" s="790"/>
      <c r="J14082" s="790"/>
    </row>
    <row r="14083" spans="2:10" ht="15.75">
      <c r="B14083" s="788"/>
      <c r="C14083" s="789"/>
      <c r="D14083" s="788"/>
      <c r="E14083" s="788"/>
      <c r="F14083" s="788"/>
      <c r="G14083" s="793" t="s">
        <v>5326</v>
      </c>
      <c r="H14083" s="792"/>
      <c r="I14083" s="790"/>
      <c r="J14083" s="790"/>
    </row>
    <row r="14084" spans="2:10" ht="94.5" customHeight="1">
      <c r="B14084" s="876" t="s">
        <v>5327</v>
      </c>
      <c r="C14084" s="876"/>
      <c r="D14084" s="876"/>
      <c r="E14084" s="876"/>
      <c r="F14084" s="876"/>
      <c r="G14084" s="876"/>
      <c r="H14084" s="876"/>
      <c r="I14084" s="876"/>
      <c r="J14084" s="876"/>
    </row>
    <row r="14085" spans="2:10" ht="39" customHeight="1">
      <c r="B14085" s="876" t="s">
        <v>5363</v>
      </c>
      <c r="C14085" s="876"/>
      <c r="D14085" s="876"/>
      <c r="E14085" s="876"/>
      <c r="F14085" s="876"/>
      <c r="G14085" s="876"/>
      <c r="H14085" s="876"/>
      <c r="I14085" s="876"/>
      <c r="J14085" s="876"/>
    </row>
    <row r="14086" spans="2:10" ht="31.5" customHeight="1">
      <c r="B14086" s="876" t="s">
        <v>5328</v>
      </c>
      <c r="C14086" s="876"/>
      <c r="D14086" s="876"/>
      <c r="E14086" s="876"/>
      <c r="F14086" s="876"/>
      <c r="G14086" s="876"/>
      <c r="H14086" s="876"/>
      <c r="I14086" s="876"/>
      <c r="J14086" s="876"/>
    </row>
    <row r="14087" spans="2:10" ht="21" customHeight="1">
      <c r="B14087" s="876" t="s">
        <v>5364</v>
      </c>
      <c r="C14087" s="876"/>
      <c r="D14087" s="876"/>
      <c r="E14087" s="876"/>
      <c r="F14087" s="876"/>
      <c r="G14087" s="876"/>
      <c r="H14087" s="876"/>
      <c r="I14087" s="876"/>
      <c r="J14087" s="876"/>
    </row>
    <row r="14088" spans="2:10" ht="63" customHeight="1">
      <c r="B14088" s="876" t="s">
        <v>5329</v>
      </c>
      <c r="C14088" s="876"/>
      <c r="D14088" s="876"/>
      <c r="E14088" s="876"/>
      <c r="F14088" s="876"/>
      <c r="G14088" s="876"/>
      <c r="H14088" s="876"/>
      <c r="I14088" s="876"/>
      <c r="J14088" s="876"/>
    </row>
    <row r="14089" spans="2:10" ht="22.5" customHeight="1">
      <c r="B14089" s="876" t="s">
        <v>5330</v>
      </c>
      <c r="C14089" s="876"/>
      <c r="D14089" s="876"/>
      <c r="E14089" s="876"/>
      <c r="F14089" s="876"/>
      <c r="G14089" s="876"/>
      <c r="H14089" s="876"/>
      <c r="I14089" s="876"/>
      <c r="J14089" s="876"/>
    </row>
    <row r="14090" spans="2:10" ht="36.75" customHeight="1">
      <c r="B14090" s="876" t="s">
        <v>5365</v>
      </c>
      <c r="C14090" s="876"/>
      <c r="D14090" s="876"/>
      <c r="E14090" s="876"/>
      <c r="F14090" s="876"/>
      <c r="G14090" s="876"/>
      <c r="H14090" s="876"/>
      <c r="I14090" s="876"/>
      <c r="J14090" s="876"/>
    </row>
    <row r="14091" spans="2:10" ht="38.25" customHeight="1">
      <c r="B14091" s="876" t="s">
        <v>5331</v>
      </c>
      <c r="C14091" s="876"/>
      <c r="D14091" s="876"/>
      <c r="E14091" s="876"/>
      <c r="F14091" s="876"/>
      <c r="G14091" s="876"/>
      <c r="H14091" s="876"/>
      <c r="I14091" s="876"/>
      <c r="J14091" s="876"/>
    </row>
    <row r="14092" spans="2:10" ht="15.75">
      <c r="B14092" s="788"/>
      <c r="C14092" s="789"/>
      <c r="D14092" s="788"/>
      <c r="E14092" s="788"/>
      <c r="F14092" s="788"/>
      <c r="G14092" s="791"/>
      <c r="H14092" s="792"/>
      <c r="I14092" s="790"/>
      <c r="J14092" s="790"/>
    </row>
    <row r="14093" spans="2:10" ht="15.75">
      <c r="B14093" s="788"/>
      <c r="C14093" s="789"/>
      <c r="D14093" s="788"/>
      <c r="E14093" s="788"/>
      <c r="F14093" s="788"/>
      <c r="G14093" s="876" t="s">
        <v>5320</v>
      </c>
      <c r="H14093" s="876"/>
      <c r="I14093" s="876"/>
      <c r="J14093" s="790"/>
    </row>
    <row r="14094" spans="2:10" ht="25.5" customHeight="1">
      <c r="B14094" s="876" t="s">
        <v>5333</v>
      </c>
      <c r="C14094" s="876"/>
      <c r="D14094" s="876"/>
      <c r="E14094" s="876"/>
      <c r="F14094" s="876"/>
      <c r="G14094" s="876"/>
      <c r="H14094" s="876"/>
      <c r="I14094" s="876"/>
      <c r="J14094" s="876"/>
    </row>
    <row r="14095" spans="2:10" ht="32.25" customHeight="1">
      <c r="B14095" s="876" t="s">
        <v>5334</v>
      </c>
      <c r="C14095" s="876"/>
      <c r="D14095" s="876"/>
      <c r="E14095" s="876"/>
      <c r="F14095" s="876"/>
      <c r="G14095" s="876"/>
      <c r="H14095" s="876"/>
      <c r="I14095" s="876"/>
      <c r="J14095" s="876"/>
    </row>
    <row r="14096" spans="2:10" ht="15.75">
      <c r="B14096" s="788"/>
      <c r="C14096" s="789"/>
      <c r="D14096" s="788"/>
      <c r="E14096" s="788"/>
      <c r="F14096" s="788"/>
      <c r="G14096" s="791"/>
      <c r="H14096" s="792"/>
      <c r="I14096" s="790"/>
      <c r="J14096" s="790"/>
    </row>
    <row r="14097" spans="2:10" ht="15.75">
      <c r="B14097" s="788"/>
      <c r="C14097" s="789"/>
      <c r="D14097" s="788"/>
      <c r="E14097" s="788"/>
      <c r="F14097" s="788"/>
      <c r="G14097" s="876" t="s">
        <v>5332</v>
      </c>
      <c r="H14097" s="876"/>
      <c r="I14097" s="876"/>
      <c r="J14097" s="790"/>
    </row>
    <row r="14098" spans="2:10">
      <c r="B14098" s="877" t="s">
        <v>5366</v>
      </c>
      <c r="C14098" s="877"/>
      <c r="D14098" s="877"/>
      <c r="E14098" s="877"/>
      <c r="F14098" s="877"/>
      <c r="G14098" s="877"/>
      <c r="H14098" s="877"/>
      <c r="I14098" s="877"/>
      <c r="J14098" s="877"/>
    </row>
    <row r="14099" spans="2:10">
      <c r="B14099" s="877"/>
      <c r="C14099" s="877"/>
      <c r="D14099" s="877"/>
      <c r="E14099" s="877"/>
      <c r="F14099" s="877"/>
      <c r="G14099" s="877"/>
      <c r="H14099" s="877"/>
      <c r="I14099" s="877"/>
      <c r="J14099" s="877"/>
    </row>
    <row r="14100" spans="2:10">
      <c r="B14100" s="877"/>
      <c r="C14100" s="877"/>
      <c r="D14100" s="877"/>
      <c r="E14100" s="877"/>
      <c r="F14100" s="877"/>
      <c r="G14100" s="877"/>
      <c r="H14100" s="877"/>
      <c r="I14100" s="877"/>
      <c r="J14100" s="877"/>
    </row>
    <row r="14101" spans="2:10" ht="0.75" customHeight="1">
      <c r="B14101" s="795"/>
      <c r="C14101" s="795"/>
      <c r="D14101" s="795"/>
      <c r="E14101" s="795"/>
      <c r="F14101" s="795"/>
      <c r="G14101" s="795"/>
      <c r="H14101" s="795"/>
      <c r="I14101" s="795"/>
      <c r="J14101" s="795"/>
    </row>
    <row r="14102" spans="2:10" ht="15.75">
      <c r="B14102" s="788"/>
      <c r="C14102" s="789"/>
      <c r="D14102" s="788"/>
      <c r="E14102" s="788"/>
      <c r="F14102" s="788"/>
      <c r="G14102" s="876" t="s">
        <v>5335</v>
      </c>
      <c r="H14102" s="876"/>
      <c r="I14102" s="876"/>
      <c r="J14102" s="790"/>
    </row>
    <row r="14103" spans="2:10" ht="26.25" customHeight="1">
      <c r="B14103" s="876" t="s">
        <v>5337</v>
      </c>
      <c r="C14103" s="876"/>
      <c r="D14103" s="876"/>
      <c r="E14103" s="876"/>
      <c r="F14103" s="876"/>
      <c r="G14103" s="876"/>
      <c r="H14103" s="876"/>
      <c r="I14103" s="876"/>
      <c r="J14103" s="876"/>
    </row>
    <row r="14104" spans="2:10" ht="15.75">
      <c r="B14104" s="788"/>
      <c r="C14104" s="789"/>
      <c r="D14104" s="788"/>
      <c r="E14104" s="788"/>
      <c r="F14104" s="788"/>
      <c r="G14104" s="791"/>
      <c r="H14104" s="792"/>
      <c r="I14104" s="790"/>
      <c r="J14104" s="790"/>
    </row>
    <row r="14105" spans="2:10" ht="15.75">
      <c r="B14105" s="788"/>
      <c r="C14105" s="789"/>
      <c r="D14105" s="788"/>
      <c r="E14105" s="788"/>
      <c r="F14105" s="788"/>
      <c r="G14105" s="876" t="s">
        <v>5336</v>
      </c>
      <c r="H14105" s="876"/>
      <c r="I14105" s="876"/>
      <c r="J14105" s="790"/>
    </row>
    <row r="14106" spans="2:10">
      <c r="B14106" s="877" t="s">
        <v>5339</v>
      </c>
      <c r="C14106" s="877"/>
      <c r="D14106" s="877"/>
      <c r="E14106" s="877"/>
      <c r="F14106" s="877"/>
      <c r="G14106" s="877"/>
      <c r="H14106" s="877"/>
      <c r="I14106" s="877"/>
      <c r="J14106" s="877"/>
    </row>
    <row r="14107" spans="2:10">
      <c r="B14107" s="877"/>
      <c r="C14107" s="877"/>
      <c r="D14107" s="877"/>
      <c r="E14107" s="877"/>
      <c r="F14107" s="877"/>
      <c r="G14107" s="877"/>
      <c r="H14107" s="877"/>
      <c r="I14107" s="877"/>
      <c r="J14107" s="877"/>
    </row>
    <row r="14108" spans="2:10" ht="14.25" customHeight="1">
      <c r="B14108" s="877"/>
      <c r="C14108" s="877"/>
      <c r="D14108" s="877"/>
      <c r="E14108" s="877"/>
      <c r="F14108" s="877"/>
      <c r="G14108" s="877"/>
      <c r="H14108" s="877"/>
      <c r="I14108" s="877"/>
      <c r="J14108" s="877"/>
    </row>
    <row r="14109" spans="2:10" ht="22.5" customHeight="1">
      <c r="B14109" s="796"/>
      <c r="C14109" s="797"/>
      <c r="D14109" s="796"/>
      <c r="E14109" s="796"/>
      <c r="F14109" s="796"/>
      <c r="G14109" s="798"/>
      <c r="H14109" s="799"/>
      <c r="I14109" s="800"/>
      <c r="J14109" s="800"/>
    </row>
    <row r="14110" spans="2:10" ht="15.75">
      <c r="B14110" s="796"/>
      <c r="C14110" s="797"/>
      <c r="D14110" s="796"/>
      <c r="E14110" s="796"/>
      <c r="F14110" s="796"/>
      <c r="G14110" s="878" t="s">
        <v>5338</v>
      </c>
      <c r="H14110" s="878"/>
      <c r="I14110" s="878"/>
      <c r="J14110" s="800"/>
    </row>
    <row r="14111" spans="2:10">
      <c r="B14111" s="877" t="s">
        <v>5341</v>
      </c>
      <c r="C14111" s="877"/>
      <c r="D14111" s="877"/>
      <c r="E14111" s="877"/>
      <c r="F14111" s="877"/>
      <c r="G14111" s="877"/>
      <c r="H14111" s="877"/>
      <c r="I14111" s="877"/>
      <c r="J14111" s="877"/>
    </row>
    <row r="14112" spans="2:10" ht="22.5" customHeight="1">
      <c r="B14112" s="877"/>
      <c r="C14112" s="877"/>
      <c r="D14112" s="877"/>
      <c r="E14112" s="877"/>
      <c r="F14112" s="877"/>
      <c r="G14112" s="877"/>
      <c r="H14112" s="877"/>
      <c r="I14112" s="877"/>
      <c r="J14112" s="877"/>
    </row>
    <row r="14113" spans="2:10" ht="16.5" customHeight="1">
      <c r="B14113" s="877" t="s">
        <v>5342</v>
      </c>
      <c r="C14113" s="877"/>
      <c r="D14113" s="877"/>
      <c r="E14113" s="877"/>
      <c r="F14113" s="877"/>
      <c r="G14113" s="877"/>
      <c r="H14113" s="877"/>
      <c r="I14113" s="877"/>
      <c r="J14113" s="877"/>
    </row>
    <row r="14114" spans="2:10" ht="15.75">
      <c r="B14114" s="788"/>
      <c r="C14114" s="789"/>
      <c r="D14114" s="788"/>
      <c r="E14114" s="788"/>
      <c r="F14114" s="788"/>
      <c r="G14114" s="791"/>
      <c r="H14114" s="792"/>
      <c r="I14114" s="790"/>
      <c r="J14114" s="790"/>
    </row>
    <row r="14115" spans="2:10" ht="15.75">
      <c r="B14115" s="788"/>
      <c r="C14115" s="789"/>
      <c r="D14115" s="788"/>
      <c r="E14115" s="788"/>
      <c r="F14115" s="788"/>
      <c r="G14115" s="876" t="s">
        <v>5340</v>
      </c>
      <c r="H14115" s="876"/>
      <c r="I14115" s="876"/>
      <c r="J14115" s="790"/>
    </row>
    <row r="14116" spans="2:10">
      <c r="B14116" s="877" t="s">
        <v>5344</v>
      </c>
      <c r="C14116" s="877"/>
      <c r="D14116" s="877"/>
      <c r="E14116" s="877"/>
      <c r="F14116" s="877"/>
      <c r="G14116" s="877"/>
      <c r="H14116" s="877"/>
      <c r="I14116" s="877"/>
      <c r="J14116" s="877"/>
    </row>
    <row r="14117" spans="2:10">
      <c r="B14117" s="877"/>
      <c r="C14117" s="877"/>
      <c r="D14117" s="877"/>
      <c r="E14117" s="877"/>
      <c r="F14117" s="877"/>
      <c r="G14117" s="877"/>
      <c r="H14117" s="877"/>
      <c r="I14117" s="877"/>
      <c r="J14117" s="877"/>
    </row>
    <row r="14118" spans="2:10" ht="15.75" customHeight="1">
      <c r="B14118" s="877" t="s">
        <v>5345</v>
      </c>
      <c r="C14118" s="877"/>
      <c r="D14118" s="877"/>
      <c r="E14118" s="877"/>
      <c r="F14118" s="877"/>
      <c r="G14118" s="877"/>
      <c r="H14118" s="877"/>
      <c r="I14118" s="877"/>
      <c r="J14118" s="877"/>
    </row>
    <row r="14119" spans="2:10" ht="15.75">
      <c r="B14119" s="796"/>
      <c r="C14119" s="797"/>
      <c r="D14119" s="796"/>
      <c r="E14119" s="796"/>
      <c r="F14119" s="796"/>
      <c r="G14119" s="798"/>
      <c r="H14119" s="799"/>
      <c r="I14119" s="800"/>
      <c r="J14119" s="800"/>
    </row>
    <row r="14120" spans="2:10" ht="15.75">
      <c r="B14120" s="796"/>
      <c r="C14120" s="797"/>
      <c r="D14120" s="796"/>
      <c r="E14120" s="796"/>
      <c r="F14120" s="796"/>
      <c r="G14120" s="878" t="s">
        <v>5343</v>
      </c>
      <c r="H14120" s="878"/>
      <c r="I14120" s="878"/>
      <c r="J14120" s="800"/>
    </row>
    <row r="14121" spans="2:10">
      <c r="B14121" s="877" t="s">
        <v>5367</v>
      </c>
      <c r="C14121" s="877"/>
      <c r="D14121" s="877"/>
      <c r="E14121" s="877"/>
      <c r="F14121" s="877"/>
      <c r="G14121" s="877"/>
      <c r="H14121" s="877"/>
      <c r="I14121" s="877"/>
      <c r="J14121" s="877"/>
    </row>
    <row r="14122" spans="2:10">
      <c r="B14122" s="877"/>
      <c r="C14122" s="877"/>
      <c r="D14122" s="877"/>
      <c r="E14122" s="877"/>
      <c r="F14122" s="877"/>
      <c r="G14122" s="877"/>
      <c r="H14122" s="877"/>
      <c r="I14122" s="877"/>
      <c r="J14122" s="877"/>
    </row>
    <row r="14123" spans="2:10" ht="5.25" customHeight="1">
      <c r="B14123" s="877"/>
      <c r="C14123" s="877"/>
      <c r="D14123" s="877"/>
      <c r="E14123" s="877"/>
      <c r="F14123" s="877"/>
      <c r="G14123" s="877"/>
      <c r="H14123" s="877"/>
      <c r="I14123" s="877"/>
      <c r="J14123" s="877"/>
    </row>
    <row r="14124" spans="2:10" ht="15.75">
      <c r="B14124" s="788"/>
      <c r="C14124" s="789"/>
      <c r="D14124" s="788"/>
      <c r="E14124" s="788"/>
      <c r="F14124" s="788"/>
      <c r="G14124" s="791"/>
      <c r="H14124" s="792"/>
      <c r="I14124" s="790"/>
      <c r="J14124" s="790"/>
    </row>
    <row r="14125" spans="2:10" ht="15.75">
      <c r="B14125" s="788"/>
      <c r="C14125" s="789"/>
      <c r="D14125" s="788"/>
      <c r="E14125" s="788"/>
      <c r="F14125" s="788"/>
      <c r="G14125" s="876" t="s">
        <v>5346</v>
      </c>
      <c r="H14125" s="876"/>
      <c r="I14125" s="876"/>
      <c r="J14125" s="790"/>
    </row>
    <row r="14126" spans="2:10" ht="48" customHeight="1">
      <c r="B14126" s="876" t="s">
        <v>5348</v>
      </c>
      <c r="C14126" s="876"/>
      <c r="D14126" s="876"/>
      <c r="E14126" s="876"/>
      <c r="F14126" s="876"/>
      <c r="G14126" s="876"/>
      <c r="H14126" s="876"/>
      <c r="I14126" s="876"/>
      <c r="J14126" s="876"/>
    </row>
    <row r="14127" spans="2:10" ht="15.75">
      <c r="B14127" s="788"/>
      <c r="C14127" s="789"/>
      <c r="D14127" s="788"/>
      <c r="E14127" s="788"/>
      <c r="F14127" s="788"/>
      <c r="G14127" s="791"/>
      <c r="H14127" s="792"/>
      <c r="I14127" s="790"/>
      <c r="J14127" s="790"/>
    </row>
    <row r="14128" spans="2:10" ht="15.75">
      <c r="B14128" s="788"/>
      <c r="C14128" s="789"/>
      <c r="D14128" s="788"/>
      <c r="E14128" s="788"/>
      <c r="F14128" s="788"/>
      <c r="G14128" s="876" t="s">
        <v>5347</v>
      </c>
      <c r="H14128" s="876"/>
      <c r="I14128" s="876"/>
      <c r="J14128" s="790"/>
    </row>
    <row r="14129" spans="2:10" ht="21" customHeight="1">
      <c r="B14129" s="876" t="s">
        <v>5350</v>
      </c>
      <c r="C14129" s="876"/>
      <c r="D14129" s="876"/>
      <c r="E14129" s="876"/>
      <c r="F14129" s="876"/>
      <c r="G14129" s="876"/>
      <c r="H14129" s="876"/>
      <c r="I14129" s="876"/>
      <c r="J14129" s="876"/>
    </row>
    <row r="14130" spans="2:10" ht="15.75">
      <c r="B14130" s="788"/>
      <c r="C14130" s="789"/>
      <c r="D14130" s="788"/>
      <c r="E14130" s="788"/>
      <c r="F14130" s="788"/>
      <c r="G14130" s="791"/>
      <c r="H14130" s="792"/>
      <c r="I14130" s="790"/>
      <c r="J14130" s="790"/>
    </row>
    <row r="14131" spans="2:10" ht="15.75">
      <c r="B14131" s="788"/>
      <c r="C14131" s="789"/>
      <c r="D14131" s="788"/>
      <c r="E14131" s="788"/>
      <c r="F14131" s="788"/>
      <c r="G14131" s="876" t="s">
        <v>5349</v>
      </c>
      <c r="H14131" s="876"/>
      <c r="I14131" s="876"/>
      <c r="J14131" s="790"/>
    </row>
    <row r="14132" spans="2:10">
      <c r="B14132" s="877" t="s">
        <v>5405</v>
      </c>
      <c r="C14132" s="877"/>
      <c r="D14132" s="877"/>
      <c r="E14132" s="877"/>
      <c r="F14132" s="877"/>
      <c r="G14132" s="877"/>
      <c r="H14132" s="877"/>
      <c r="I14132" s="877"/>
      <c r="J14132" s="877"/>
    </row>
    <row r="14133" spans="2:10">
      <c r="B14133" s="877"/>
      <c r="C14133" s="877"/>
      <c r="D14133" s="877"/>
      <c r="E14133" s="877"/>
      <c r="F14133" s="877"/>
      <c r="G14133" s="877"/>
      <c r="H14133" s="877"/>
      <c r="I14133" s="877"/>
      <c r="J14133" s="877"/>
    </row>
    <row r="14134" spans="2:10">
      <c r="B14134" s="877"/>
      <c r="C14134" s="877"/>
      <c r="D14134" s="877"/>
      <c r="E14134" s="877"/>
      <c r="F14134" s="877"/>
      <c r="G14134" s="877"/>
      <c r="H14134" s="877"/>
      <c r="I14134" s="877"/>
      <c r="J14134" s="877"/>
    </row>
    <row r="14137" spans="2:10" ht="18.75">
      <c r="B14137" s="262"/>
      <c r="C14137" s="262"/>
      <c r="D14137" s="873" t="s">
        <v>5351</v>
      </c>
      <c r="E14137" s="873"/>
      <c r="F14137" s="873"/>
      <c r="G14137" s="873"/>
      <c r="H14137" s="873"/>
    </row>
    <row r="14139" spans="2:10">
      <c r="B14139" s="874" t="s">
        <v>5403</v>
      </c>
      <c r="C14139" s="874"/>
      <c r="D14139" s="874"/>
      <c r="E14139" s="874"/>
      <c r="F14139" s="874"/>
      <c r="G14139" s="874"/>
    </row>
    <row r="14141" spans="2:10">
      <c r="H14141" s="875" t="s">
        <v>5352</v>
      </c>
      <c r="I14141" s="875"/>
    </row>
    <row r="14142" spans="2:10">
      <c r="H14142" s="875" t="s">
        <v>5353</v>
      </c>
      <c r="I14142" s="875"/>
    </row>
    <row r="14143" spans="2:10">
      <c r="H14143" s="875" t="s">
        <v>5354</v>
      </c>
      <c r="I14143" s="875"/>
    </row>
  </sheetData>
  <sheetProtection password="CA6E" sheet="1" objects="1" scenarios="1"/>
  <mergeCells count="90">
    <mergeCell ref="B14016:J14016"/>
    <mergeCell ref="G1:I1"/>
    <mergeCell ref="B3:J3"/>
    <mergeCell ref="M4:V4"/>
    <mergeCell ref="M6:Y8"/>
    <mergeCell ref="M10:Y13"/>
    <mergeCell ref="E13999:I13999"/>
    <mergeCell ref="G14001:I14001"/>
    <mergeCell ref="B14003:J14003"/>
    <mergeCell ref="G14006:I14006"/>
    <mergeCell ref="B14008:J14008"/>
    <mergeCell ref="G14010:I14010"/>
    <mergeCell ref="B14011:J14011"/>
    <mergeCell ref="B14012:J14012"/>
    <mergeCell ref="G14014:I14014"/>
    <mergeCell ref="B14015:J14015"/>
    <mergeCell ref="B14017:J14017"/>
    <mergeCell ref="G14019:I14019"/>
    <mergeCell ref="B14020:J14020"/>
    <mergeCell ref="G14026:I14026"/>
    <mergeCell ref="B14027:J14027"/>
    <mergeCell ref="B14041:J14041"/>
    <mergeCell ref="B14028:J14028"/>
    <mergeCell ref="G14030:I14030"/>
    <mergeCell ref="B14031:J14031"/>
    <mergeCell ref="B14033:J14033"/>
    <mergeCell ref="G14035:I14035"/>
    <mergeCell ref="B14036:J14036"/>
    <mergeCell ref="G14038:I14038"/>
    <mergeCell ref="B14039:J14039"/>
    <mergeCell ref="B14040:J14040"/>
    <mergeCell ref="G14043:I14043"/>
    <mergeCell ref="B14044:J14044"/>
    <mergeCell ref="B14045:J14045"/>
    <mergeCell ref="B14046:J14046"/>
    <mergeCell ref="B14047:J14047"/>
    <mergeCell ref="B14048:J14048"/>
    <mergeCell ref="G14053:I14053"/>
    <mergeCell ref="B14054:J14054"/>
    <mergeCell ref="B14055:J14055"/>
    <mergeCell ref="B14056:J14056"/>
    <mergeCell ref="G14058:I14058"/>
    <mergeCell ref="B14059:J14059"/>
    <mergeCell ref="B14060:J14060"/>
    <mergeCell ref="G14062:I14062"/>
    <mergeCell ref="B14063:J14063"/>
    <mergeCell ref="B14064:J14064"/>
    <mergeCell ref="G14066:I14066"/>
    <mergeCell ref="B14067:J14069"/>
    <mergeCell ref="B14070:J14071"/>
    <mergeCell ref="G14072:I14072"/>
    <mergeCell ref="B14073:J14073"/>
    <mergeCell ref="B14076:J14076"/>
    <mergeCell ref="B14080:J14080"/>
    <mergeCell ref="B14084:J14084"/>
    <mergeCell ref="B14085:J14085"/>
    <mergeCell ref="B14091:J14091"/>
    <mergeCell ref="G14093:I14093"/>
    <mergeCell ref="B14094:J14094"/>
    <mergeCell ref="B14095:J14095"/>
    <mergeCell ref="B14086:J14086"/>
    <mergeCell ref="B14087:J14087"/>
    <mergeCell ref="B14088:J14088"/>
    <mergeCell ref="B14089:J14089"/>
    <mergeCell ref="B14090:J14090"/>
    <mergeCell ref="B14106:J14108"/>
    <mergeCell ref="G14110:I14110"/>
    <mergeCell ref="B14111:J14112"/>
    <mergeCell ref="B14113:J14113"/>
    <mergeCell ref="G14115:I14115"/>
    <mergeCell ref="G14128:I14128"/>
    <mergeCell ref="B14129:J14129"/>
    <mergeCell ref="G14131:I14131"/>
    <mergeCell ref="B14132:J14134"/>
    <mergeCell ref="B14116:J14117"/>
    <mergeCell ref="B14118:J14118"/>
    <mergeCell ref="G14120:I14120"/>
    <mergeCell ref="B14121:J14123"/>
    <mergeCell ref="G14125:I14125"/>
    <mergeCell ref="B14126:J14126"/>
    <mergeCell ref="G14097:I14097"/>
    <mergeCell ref="B14098:J14100"/>
    <mergeCell ref="G14102:I14102"/>
    <mergeCell ref="B14103:J14103"/>
    <mergeCell ref="G14105:I14105"/>
    <mergeCell ref="D14137:H14137"/>
    <mergeCell ref="B14139:G14139"/>
    <mergeCell ref="H14141:I14141"/>
    <mergeCell ref="H14142:I14142"/>
    <mergeCell ref="H14143:I14143"/>
  </mergeCells>
  <printOptions horizontalCentered="1"/>
  <pageMargins left="0" right="0" top="0.55118110236220474" bottom="0.19685039370078741" header="0.31496062992125984" footer="0.31496062992125984"/>
  <pageSetup paperSize="9" scale="75" orientation="portrait" r:id="rId1"/>
  <cellWatches>
    <cellWatch r="H13997"/>
  </cellWatches>
  <legacyDrawing r:id="rId2"/>
</worksheet>
</file>

<file path=xl/worksheets/sheet9.xml><?xml version="1.0" encoding="utf-8"?>
<worksheet xmlns="http://schemas.openxmlformats.org/spreadsheetml/2006/main" xmlns:r="http://schemas.openxmlformats.org/officeDocument/2006/relationships">
  <sheetPr codeName="Sheet9">
    <tabColor theme="0"/>
  </sheetPr>
  <dimension ref="A1:AD4732"/>
  <sheetViews>
    <sheetView workbookViewId="0">
      <selection activeCell="B9" sqref="B9"/>
    </sheetView>
  </sheetViews>
  <sheetFormatPr defaultRowHeight="1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c r="A1" s="885" t="s">
        <v>93</v>
      </c>
      <c r="B1" s="885"/>
      <c r="G1" s="886" t="s">
        <v>233</v>
      </c>
      <c r="H1" s="886"/>
      <c r="L1" s="887" t="s">
        <v>264</v>
      </c>
      <c r="M1" s="887"/>
      <c r="N1" s="63"/>
      <c r="O1" s="63"/>
      <c r="P1" s="63" t="s">
        <v>3556</v>
      </c>
    </row>
    <row r="2" spans="1:18">
      <c r="A2" s="54">
        <v>0</v>
      </c>
      <c r="B2" s="53" t="s">
        <v>94</v>
      </c>
      <c r="G2" s="598" t="s">
        <v>234</v>
      </c>
      <c r="H2" s="599" t="s">
        <v>235</v>
      </c>
      <c r="L2" s="64" t="s">
        <v>3555</v>
      </c>
      <c r="M2" s="64" t="s">
        <v>22</v>
      </c>
      <c r="P2" s="62" t="s">
        <v>3602</v>
      </c>
      <c r="Q2" s="62" t="s">
        <v>3603</v>
      </c>
      <c r="R2" s="62" t="s">
        <v>3604</v>
      </c>
    </row>
    <row r="3" spans="1:18">
      <c r="A3" s="57">
        <v>10</v>
      </c>
      <c r="B3" s="56" t="s">
        <v>95</v>
      </c>
      <c r="G3" s="598" t="s">
        <v>236</v>
      </c>
      <c r="H3" s="599" t="s">
        <v>237</v>
      </c>
      <c r="L3" s="65">
        <v>0</v>
      </c>
      <c r="M3" t="s">
        <v>265</v>
      </c>
      <c r="O3" s="61"/>
      <c r="P3" s="67" t="s">
        <v>3665</v>
      </c>
      <c r="Q3" s="68" t="s">
        <v>3558</v>
      </c>
      <c r="R3" s="69" t="s">
        <v>3559</v>
      </c>
    </row>
    <row r="4" spans="1:18">
      <c r="A4" s="57">
        <v>20</v>
      </c>
      <c r="B4" s="56" t="s">
        <v>96</v>
      </c>
      <c r="G4" s="598" t="s">
        <v>238</v>
      </c>
      <c r="H4" s="599" t="s">
        <v>239</v>
      </c>
      <c r="L4" s="65">
        <v>10000</v>
      </c>
      <c r="M4" t="s">
        <v>266</v>
      </c>
      <c r="O4" s="60"/>
      <c r="P4" s="67" t="s">
        <v>3666</v>
      </c>
      <c r="Q4" s="68" t="s">
        <v>3561</v>
      </c>
      <c r="R4" s="69" t="s">
        <v>3562</v>
      </c>
    </row>
    <row r="5" spans="1:18">
      <c r="A5" s="57">
        <v>30</v>
      </c>
      <c r="B5" s="56" t="s">
        <v>97</v>
      </c>
      <c r="G5" s="598" t="s">
        <v>240</v>
      </c>
      <c r="H5" s="599" t="s">
        <v>241</v>
      </c>
      <c r="L5" s="65">
        <v>11000</v>
      </c>
      <c r="M5" t="s">
        <v>267</v>
      </c>
      <c r="P5" s="67" t="s">
        <v>3667</v>
      </c>
      <c r="Q5" s="68" t="s">
        <v>3564</v>
      </c>
      <c r="R5" s="69" t="s">
        <v>3565</v>
      </c>
    </row>
    <row r="6" spans="1:18">
      <c r="A6" s="57">
        <v>40</v>
      </c>
      <c r="B6" s="56" t="s">
        <v>98</v>
      </c>
      <c r="G6" s="598" t="s">
        <v>242</v>
      </c>
      <c r="H6" s="599" t="s">
        <v>243</v>
      </c>
      <c r="L6" s="65">
        <v>11100</v>
      </c>
      <c r="M6" t="s">
        <v>268</v>
      </c>
      <c r="P6" s="67" t="s">
        <v>3668</v>
      </c>
      <c r="Q6" s="68" t="s">
        <v>3567</v>
      </c>
      <c r="R6" s="69" t="s">
        <v>3568</v>
      </c>
    </row>
    <row r="7" spans="1:18">
      <c r="A7" s="57">
        <v>50</v>
      </c>
      <c r="B7" s="56" t="s">
        <v>99</v>
      </c>
      <c r="G7" s="598" t="s">
        <v>244</v>
      </c>
      <c r="H7" s="599" t="s">
        <v>245</v>
      </c>
      <c r="L7" s="65">
        <v>11110</v>
      </c>
      <c r="M7" t="s">
        <v>269</v>
      </c>
      <c r="P7" s="67" t="s">
        <v>3669</v>
      </c>
      <c r="Q7" s="68" t="s">
        <v>3570</v>
      </c>
      <c r="R7" s="69" t="s">
        <v>3571</v>
      </c>
    </row>
    <row r="8" spans="1:18">
      <c r="A8" s="57">
        <v>60</v>
      </c>
      <c r="B8" s="56" t="s">
        <v>100</v>
      </c>
      <c r="G8" s="598" t="s">
        <v>246</v>
      </c>
      <c r="H8" s="599" t="s">
        <v>5119</v>
      </c>
      <c r="L8" s="65">
        <v>11111</v>
      </c>
      <c r="M8" t="s">
        <v>270</v>
      </c>
      <c r="P8" s="67" t="s">
        <v>3670</v>
      </c>
      <c r="Q8" s="68" t="s">
        <v>3573</v>
      </c>
      <c r="R8" s="69" t="s">
        <v>3574</v>
      </c>
    </row>
    <row r="9" spans="1:18">
      <c r="A9" s="57">
        <v>70</v>
      </c>
      <c r="B9" s="56" t="s">
        <v>101</v>
      </c>
      <c r="G9" s="598" t="s">
        <v>247</v>
      </c>
      <c r="H9" s="599" t="s">
        <v>5120</v>
      </c>
      <c r="L9" s="65">
        <v>11112</v>
      </c>
      <c r="M9" t="s">
        <v>271</v>
      </c>
      <c r="P9" s="67" t="s">
        <v>3671</v>
      </c>
      <c r="Q9" s="68" t="s">
        <v>3576</v>
      </c>
      <c r="R9" s="69" t="s">
        <v>3577</v>
      </c>
    </row>
    <row r="10" spans="1:18">
      <c r="A10" s="57">
        <v>80</v>
      </c>
      <c r="B10" s="56" t="s">
        <v>102</v>
      </c>
      <c r="G10" s="598" t="s">
        <v>248</v>
      </c>
      <c r="H10" s="599" t="s">
        <v>57</v>
      </c>
      <c r="L10" s="65">
        <v>11113</v>
      </c>
      <c r="M10" t="s">
        <v>272</v>
      </c>
      <c r="P10" s="67" t="s">
        <v>3672</v>
      </c>
      <c r="Q10" s="68" t="s">
        <v>3579</v>
      </c>
      <c r="R10" s="69" t="s">
        <v>3580</v>
      </c>
    </row>
    <row r="11" spans="1:18">
      <c r="A11" s="57">
        <v>90</v>
      </c>
      <c r="B11" s="56" t="s">
        <v>103</v>
      </c>
      <c r="G11" s="598" t="s">
        <v>249</v>
      </c>
      <c r="H11" s="599" t="s">
        <v>250</v>
      </c>
      <c r="L11" s="65">
        <v>11115</v>
      </c>
      <c r="M11" t="s">
        <v>273</v>
      </c>
      <c r="P11" s="67" t="s">
        <v>3673</v>
      </c>
      <c r="Q11" s="68" t="s">
        <v>3582</v>
      </c>
      <c r="R11" s="69" t="s">
        <v>3583</v>
      </c>
    </row>
    <row r="12" spans="1:18">
      <c r="A12" s="52">
        <v>100</v>
      </c>
      <c r="B12" s="53" t="s">
        <v>104</v>
      </c>
      <c r="G12" s="598" t="s">
        <v>251</v>
      </c>
      <c r="H12" s="599" t="s">
        <v>252</v>
      </c>
      <c r="L12" s="65">
        <v>11116</v>
      </c>
      <c r="M12" t="s">
        <v>274</v>
      </c>
      <c r="P12" s="67" t="s">
        <v>3674</v>
      </c>
      <c r="Q12" s="68" t="s">
        <v>3585</v>
      </c>
      <c r="R12" s="69" t="s">
        <v>3586</v>
      </c>
    </row>
    <row r="13" spans="1:18">
      <c r="A13" s="55">
        <v>110</v>
      </c>
      <c r="B13" s="56" t="s">
        <v>105</v>
      </c>
      <c r="G13" s="598" t="s">
        <v>253</v>
      </c>
      <c r="H13" s="599" t="s">
        <v>254</v>
      </c>
      <c r="L13" s="65">
        <v>11117</v>
      </c>
      <c r="M13" t="s">
        <v>275</v>
      </c>
      <c r="P13" s="67" t="s">
        <v>3675</v>
      </c>
      <c r="Q13" s="68" t="s">
        <v>3588</v>
      </c>
      <c r="R13" s="69" t="s">
        <v>3589</v>
      </c>
    </row>
    <row r="14" spans="1:18">
      <c r="A14" s="58">
        <v>111</v>
      </c>
      <c r="B14" s="59" t="s">
        <v>106</v>
      </c>
      <c r="G14" s="598" t="s">
        <v>255</v>
      </c>
      <c r="H14" s="599" t="s">
        <v>256</v>
      </c>
      <c r="L14" s="65">
        <v>11118</v>
      </c>
      <c r="M14" t="s">
        <v>276</v>
      </c>
      <c r="P14" s="67" t="s">
        <v>3676</v>
      </c>
      <c r="Q14" s="68" t="s">
        <v>3591</v>
      </c>
      <c r="R14" s="69" t="s">
        <v>3592</v>
      </c>
    </row>
    <row r="15" spans="1:18">
      <c r="A15" s="58">
        <v>112</v>
      </c>
      <c r="B15" s="59" t="s">
        <v>107</v>
      </c>
      <c r="G15" s="598" t="s">
        <v>257</v>
      </c>
      <c r="H15" s="599" t="s">
        <v>258</v>
      </c>
      <c r="L15" s="65">
        <v>11119</v>
      </c>
      <c r="M15" t="s">
        <v>277</v>
      </c>
      <c r="P15" s="67" t="s">
        <v>3677</v>
      </c>
      <c r="Q15" s="68" t="s">
        <v>3594</v>
      </c>
      <c r="R15" s="69" t="s">
        <v>3595</v>
      </c>
    </row>
    <row r="16" spans="1:18">
      <c r="A16" s="58">
        <v>113</v>
      </c>
      <c r="B16" s="59" t="s">
        <v>108</v>
      </c>
      <c r="G16" s="598" t="s">
        <v>259</v>
      </c>
      <c r="H16" s="599" t="s">
        <v>260</v>
      </c>
      <c r="L16" s="65">
        <v>11120</v>
      </c>
      <c r="M16" t="s">
        <v>278</v>
      </c>
      <c r="P16" s="67" t="s">
        <v>3678</v>
      </c>
      <c r="Q16" s="68" t="s">
        <v>3597</v>
      </c>
      <c r="R16" s="69" t="s">
        <v>3598</v>
      </c>
    </row>
    <row r="17" spans="1:30">
      <c r="A17" s="55">
        <v>120</v>
      </c>
      <c r="B17" s="56" t="s">
        <v>109</v>
      </c>
      <c r="G17" s="598" t="s">
        <v>261</v>
      </c>
      <c r="H17" s="599" t="s">
        <v>262</v>
      </c>
      <c r="L17" s="65">
        <v>11121</v>
      </c>
      <c r="M17" t="s">
        <v>279</v>
      </c>
      <c r="P17" s="67" t="s">
        <v>3679</v>
      </c>
      <c r="Q17" s="68" t="s">
        <v>3600</v>
      </c>
      <c r="R17" s="69" t="s">
        <v>3601</v>
      </c>
    </row>
    <row r="18" spans="1:30">
      <c r="A18" s="58">
        <v>121</v>
      </c>
      <c r="B18" s="59" t="s">
        <v>110</v>
      </c>
      <c r="L18" s="65">
        <v>11125</v>
      </c>
      <c r="M18" t="s">
        <v>280</v>
      </c>
    </row>
    <row r="19" spans="1:30">
      <c r="A19" s="58">
        <v>122</v>
      </c>
      <c r="B19" s="59" t="s">
        <v>111</v>
      </c>
      <c r="L19" s="65">
        <v>11126</v>
      </c>
      <c r="M19" t="s">
        <v>281</v>
      </c>
    </row>
    <row r="20" spans="1:30">
      <c r="A20" s="55">
        <v>130</v>
      </c>
      <c r="B20" s="56" t="s">
        <v>112</v>
      </c>
      <c r="L20" s="65">
        <v>11127</v>
      </c>
      <c r="M20" t="s">
        <v>282</v>
      </c>
    </row>
    <row r="21" spans="1:30">
      <c r="A21" s="58">
        <v>131</v>
      </c>
      <c r="B21" s="59" t="s">
        <v>113</v>
      </c>
      <c r="L21" s="65">
        <v>11128</v>
      </c>
      <c r="M21" t="s">
        <v>283</v>
      </c>
    </row>
    <row r="22" spans="1:30">
      <c r="A22" s="58">
        <v>132</v>
      </c>
      <c r="B22" s="59" t="s">
        <v>114</v>
      </c>
      <c r="L22" s="65">
        <v>11129</v>
      </c>
      <c r="M22" t="s">
        <v>284</v>
      </c>
    </row>
    <row r="23" spans="1:30">
      <c r="A23" s="58">
        <v>133</v>
      </c>
      <c r="B23" s="59" t="s">
        <v>115</v>
      </c>
      <c r="L23" s="65">
        <v>11130</v>
      </c>
      <c r="M23" t="s">
        <v>285</v>
      </c>
      <c r="P23" s="70" t="s">
        <v>3557</v>
      </c>
      <c r="Q23" s="71" t="s">
        <v>3605</v>
      </c>
      <c r="R23" s="71" t="s">
        <v>3606</v>
      </c>
      <c r="S23" s="72"/>
      <c r="T23" s="72"/>
      <c r="U23" s="72"/>
      <c r="V23" s="72"/>
      <c r="W23" s="72"/>
      <c r="X23" s="72"/>
      <c r="Y23" s="72"/>
      <c r="Z23" s="72"/>
      <c r="AA23" s="72"/>
      <c r="AB23" s="72"/>
      <c r="AC23" s="72"/>
      <c r="AD23" s="72"/>
    </row>
    <row r="24" spans="1:30">
      <c r="A24" s="55">
        <v>140</v>
      </c>
      <c r="B24" s="56" t="s">
        <v>116</v>
      </c>
      <c r="L24" s="65">
        <v>11131</v>
      </c>
      <c r="M24" t="s">
        <v>286</v>
      </c>
      <c r="P24" s="70" t="s">
        <v>3560</v>
      </c>
      <c r="Q24" s="71" t="s">
        <v>3607</v>
      </c>
      <c r="R24" s="71" t="s">
        <v>3608</v>
      </c>
      <c r="S24" s="71" t="s">
        <v>3609</v>
      </c>
      <c r="T24" s="71" t="s">
        <v>3610</v>
      </c>
      <c r="U24" s="71" t="s">
        <v>3611</v>
      </c>
      <c r="V24" s="71" t="s">
        <v>3612</v>
      </c>
      <c r="W24" s="71" t="s">
        <v>3613</v>
      </c>
      <c r="X24" s="71" t="s">
        <v>3614</v>
      </c>
      <c r="Y24" s="71" t="s">
        <v>3615</v>
      </c>
      <c r="Z24" s="71" t="s">
        <v>3616</v>
      </c>
      <c r="AA24" s="71" t="s">
        <v>3617</v>
      </c>
      <c r="AB24" s="71" t="s">
        <v>3618</v>
      </c>
      <c r="AC24" s="71" t="s">
        <v>3619</v>
      </c>
      <c r="AD24" s="71" t="s">
        <v>3620</v>
      </c>
    </row>
    <row r="25" spans="1:30">
      <c r="A25" s="55">
        <v>150</v>
      </c>
      <c r="B25" s="56" t="s">
        <v>117</v>
      </c>
      <c r="L25" s="65">
        <v>11132</v>
      </c>
      <c r="M25" t="s">
        <v>287</v>
      </c>
      <c r="P25" s="70" t="s">
        <v>3563</v>
      </c>
      <c r="Q25" s="71" t="s">
        <v>3621</v>
      </c>
      <c r="R25" s="71" t="s">
        <v>3622</v>
      </c>
      <c r="S25" s="71" t="s">
        <v>3623</v>
      </c>
      <c r="T25" s="71" t="s">
        <v>3624</v>
      </c>
      <c r="U25" s="71" t="s">
        <v>3625</v>
      </c>
      <c r="V25" s="72"/>
      <c r="W25" s="72"/>
      <c r="X25" s="72"/>
      <c r="Y25" s="72"/>
      <c r="Z25" s="72"/>
      <c r="AA25" s="72"/>
      <c r="AB25" s="72"/>
      <c r="AC25" s="72"/>
      <c r="AD25" s="72"/>
    </row>
    <row r="26" spans="1:30">
      <c r="A26" s="55">
        <v>160</v>
      </c>
      <c r="B26" s="56" t="s">
        <v>118</v>
      </c>
      <c r="L26" s="65">
        <v>11133</v>
      </c>
      <c r="M26" t="s">
        <v>288</v>
      </c>
      <c r="P26" s="70" t="s">
        <v>3566</v>
      </c>
      <c r="Q26" s="70" t="s">
        <v>3626</v>
      </c>
      <c r="R26" s="70" t="s">
        <v>3627</v>
      </c>
      <c r="S26" s="72"/>
      <c r="T26" s="72"/>
      <c r="U26" s="72"/>
      <c r="V26" s="72"/>
      <c r="W26" s="72"/>
      <c r="X26" s="72"/>
      <c r="Y26" s="72"/>
      <c r="Z26" s="72"/>
      <c r="AA26" s="72"/>
      <c r="AB26" s="72"/>
      <c r="AC26" s="72"/>
      <c r="AD26" s="72"/>
    </row>
    <row r="27" spans="1:30">
      <c r="A27" s="55">
        <v>170</v>
      </c>
      <c r="B27" s="56" t="s">
        <v>119</v>
      </c>
      <c r="L27" s="65">
        <v>11134</v>
      </c>
      <c r="M27" t="s">
        <v>289</v>
      </c>
      <c r="P27" s="70" t="s">
        <v>3569</v>
      </c>
      <c r="Q27" s="71" t="s">
        <v>3628</v>
      </c>
      <c r="R27" s="71" t="s">
        <v>3629</v>
      </c>
      <c r="S27" s="72"/>
      <c r="T27" s="72"/>
      <c r="U27" s="72"/>
      <c r="V27" s="72"/>
      <c r="W27" s="72"/>
      <c r="X27" s="72"/>
      <c r="Y27" s="72"/>
      <c r="Z27" s="72"/>
      <c r="AA27" s="72"/>
      <c r="AB27" s="72"/>
      <c r="AC27" s="72"/>
      <c r="AD27" s="72"/>
    </row>
    <row r="28" spans="1:30">
      <c r="A28" s="55">
        <v>180</v>
      </c>
      <c r="B28" s="56" t="s">
        <v>120</v>
      </c>
      <c r="L28" s="65">
        <v>11135</v>
      </c>
      <c r="M28" t="s">
        <v>290</v>
      </c>
      <c r="P28" s="70" t="s">
        <v>3572</v>
      </c>
      <c r="Q28" s="73" t="s">
        <v>3630</v>
      </c>
      <c r="R28" s="73" t="s">
        <v>3631</v>
      </c>
      <c r="S28" s="73" t="s">
        <v>3632</v>
      </c>
      <c r="T28" s="73" t="s">
        <v>3633</v>
      </c>
      <c r="U28" s="72"/>
      <c r="V28" s="72"/>
      <c r="W28" s="72"/>
      <c r="X28" s="72"/>
      <c r="Y28" s="72"/>
      <c r="Z28" s="72"/>
      <c r="AA28" s="72"/>
      <c r="AB28" s="72"/>
      <c r="AC28" s="72"/>
      <c r="AD28" s="72"/>
    </row>
    <row r="29" spans="1:30">
      <c r="A29" s="52">
        <v>200</v>
      </c>
      <c r="B29" s="53" t="s">
        <v>121</v>
      </c>
      <c r="L29" s="65">
        <v>11136</v>
      </c>
      <c r="M29" t="s">
        <v>291</v>
      </c>
      <c r="P29" s="70" t="s">
        <v>3575</v>
      </c>
      <c r="Q29" s="73" t="s">
        <v>3634</v>
      </c>
      <c r="R29" s="73" t="s">
        <v>3635</v>
      </c>
      <c r="S29" s="72"/>
      <c r="T29" s="72"/>
      <c r="U29" s="72"/>
      <c r="V29" s="72"/>
      <c r="W29" s="72"/>
      <c r="X29" s="72"/>
      <c r="Y29" s="72"/>
      <c r="Z29" s="72"/>
      <c r="AA29" s="72"/>
      <c r="AB29" s="72"/>
      <c r="AC29" s="72"/>
      <c r="AD29" s="72"/>
    </row>
    <row r="30" spans="1:30">
      <c r="A30" s="55">
        <v>210</v>
      </c>
      <c r="B30" s="56" t="s">
        <v>122</v>
      </c>
      <c r="L30" s="65">
        <v>11137</v>
      </c>
      <c r="M30" t="s">
        <v>292</v>
      </c>
      <c r="P30" s="70" t="s">
        <v>3578</v>
      </c>
      <c r="Q30" s="73" t="s">
        <v>3636</v>
      </c>
      <c r="R30" s="72"/>
      <c r="S30" s="72"/>
      <c r="T30" s="72"/>
      <c r="U30" s="72"/>
      <c r="V30" s="72"/>
      <c r="W30" s="72"/>
      <c r="X30" s="72"/>
      <c r="Y30" s="72"/>
      <c r="Z30" s="72"/>
      <c r="AA30" s="72"/>
      <c r="AB30" s="72"/>
      <c r="AC30" s="72"/>
      <c r="AD30" s="72"/>
    </row>
    <row r="31" spans="1:30">
      <c r="A31" s="55">
        <v>220</v>
      </c>
      <c r="B31" s="56" t="s">
        <v>123</v>
      </c>
      <c r="L31" s="65">
        <v>11138</v>
      </c>
      <c r="M31" t="s">
        <v>293</v>
      </c>
      <c r="P31" s="70" t="s">
        <v>3581</v>
      </c>
      <c r="Q31" s="73" t="s">
        <v>3637</v>
      </c>
      <c r="R31" s="72"/>
      <c r="S31" s="72"/>
      <c r="T31" s="72"/>
      <c r="U31" s="72"/>
      <c r="V31" s="72"/>
      <c r="W31" s="72"/>
      <c r="X31" s="72"/>
      <c r="Y31" s="72"/>
      <c r="Z31" s="72"/>
      <c r="AA31" s="72"/>
      <c r="AB31" s="72"/>
      <c r="AC31" s="72"/>
      <c r="AD31" s="72"/>
    </row>
    <row r="32" spans="1:30">
      <c r="A32" s="55">
        <v>230</v>
      </c>
      <c r="B32" s="56" t="s">
        <v>124</v>
      </c>
      <c r="L32" s="65">
        <v>11139</v>
      </c>
      <c r="M32" t="s">
        <v>294</v>
      </c>
      <c r="P32" s="70" t="s">
        <v>3584</v>
      </c>
      <c r="Q32" s="73" t="s">
        <v>3638</v>
      </c>
      <c r="R32" s="72"/>
      <c r="S32" s="72"/>
      <c r="T32" s="72"/>
      <c r="U32" s="72"/>
      <c r="V32" s="72"/>
      <c r="W32" s="72"/>
      <c r="X32" s="72"/>
      <c r="Y32" s="72"/>
      <c r="Z32" s="72"/>
      <c r="AA32" s="72"/>
      <c r="AB32" s="72"/>
      <c r="AC32" s="72"/>
      <c r="AD32" s="72"/>
    </row>
    <row r="33" spans="1:30">
      <c r="A33" s="55">
        <v>240</v>
      </c>
      <c r="B33" s="56" t="s">
        <v>125</v>
      </c>
      <c r="L33" s="65">
        <v>11140</v>
      </c>
      <c r="M33" t="s">
        <v>295</v>
      </c>
      <c r="P33" s="70" t="s">
        <v>3587</v>
      </c>
      <c r="Q33" s="73" t="s">
        <v>3639</v>
      </c>
      <c r="R33" s="73" t="s">
        <v>3640</v>
      </c>
      <c r="S33" s="73" t="s">
        <v>3641</v>
      </c>
      <c r="T33" s="73" t="s">
        <v>3642</v>
      </c>
      <c r="U33" s="73" t="s">
        <v>3643</v>
      </c>
      <c r="V33" s="73" t="s">
        <v>3644</v>
      </c>
      <c r="W33" s="72"/>
      <c r="X33" s="72"/>
      <c r="Y33" s="72"/>
      <c r="Z33" s="72"/>
      <c r="AA33" s="72"/>
      <c r="AB33" s="72"/>
      <c r="AC33" s="72"/>
      <c r="AD33" s="72"/>
    </row>
    <row r="34" spans="1:30">
      <c r="A34" s="55">
        <v>250</v>
      </c>
      <c r="B34" s="56" t="s">
        <v>126</v>
      </c>
      <c r="L34" s="65">
        <v>11141</v>
      </c>
      <c r="M34" t="s">
        <v>296</v>
      </c>
      <c r="P34" s="70" t="s">
        <v>3590</v>
      </c>
      <c r="Q34" s="73" t="s">
        <v>3645</v>
      </c>
      <c r="R34" s="72"/>
      <c r="S34" s="72"/>
      <c r="T34" s="72"/>
      <c r="U34" s="72"/>
      <c r="V34" s="72"/>
      <c r="W34" s="72"/>
      <c r="X34" s="72"/>
      <c r="Y34" s="72"/>
      <c r="Z34" s="72"/>
      <c r="AA34" s="72"/>
      <c r="AB34" s="72"/>
      <c r="AC34" s="72"/>
      <c r="AD34" s="72"/>
    </row>
    <row r="35" spans="1:30">
      <c r="A35" s="52">
        <v>300</v>
      </c>
      <c r="B35" s="53" t="s">
        <v>127</v>
      </c>
      <c r="L35" s="65">
        <v>11142</v>
      </c>
      <c r="M35" t="s">
        <v>297</v>
      </c>
      <c r="P35" s="70" t="s">
        <v>3593</v>
      </c>
      <c r="Q35" s="71" t="s">
        <v>3646</v>
      </c>
      <c r="R35" s="71" t="s">
        <v>3647</v>
      </c>
      <c r="S35" s="72"/>
      <c r="T35" s="72"/>
      <c r="U35" s="72"/>
      <c r="V35" s="72"/>
      <c r="W35" s="72"/>
      <c r="X35" s="72"/>
      <c r="Y35" s="72"/>
      <c r="Z35" s="72"/>
      <c r="AA35" s="72"/>
      <c r="AB35" s="72"/>
      <c r="AC35" s="72"/>
      <c r="AD35" s="72"/>
    </row>
    <row r="36" spans="1:30">
      <c r="A36" s="55">
        <v>310</v>
      </c>
      <c r="B36" s="56" t="s">
        <v>128</v>
      </c>
      <c r="L36" s="65">
        <v>11143</v>
      </c>
      <c r="M36" t="s">
        <v>298</v>
      </c>
      <c r="P36" s="70" t="s">
        <v>3596</v>
      </c>
      <c r="Q36" s="71" t="s">
        <v>3648</v>
      </c>
      <c r="R36" s="71" t="s">
        <v>3649</v>
      </c>
      <c r="S36" s="71" t="s">
        <v>3650</v>
      </c>
      <c r="T36" s="72"/>
      <c r="U36" s="72"/>
      <c r="V36" s="72"/>
      <c r="W36" s="72"/>
      <c r="X36" s="72"/>
      <c r="Y36" s="72"/>
      <c r="Z36" s="72"/>
      <c r="AA36" s="72"/>
      <c r="AB36" s="72"/>
      <c r="AC36" s="72"/>
      <c r="AD36" s="72"/>
    </row>
    <row r="37" spans="1:30">
      <c r="A37" s="55">
        <v>320</v>
      </c>
      <c r="B37" s="56" t="s">
        <v>129</v>
      </c>
      <c r="L37" s="65">
        <v>11145</v>
      </c>
      <c r="M37" t="s">
        <v>299</v>
      </c>
      <c r="P37" s="70" t="s">
        <v>3599</v>
      </c>
      <c r="Q37" s="71" t="s">
        <v>3651</v>
      </c>
      <c r="R37" s="71" t="s">
        <v>3652</v>
      </c>
      <c r="S37" s="71" t="s">
        <v>3653</v>
      </c>
      <c r="T37" s="71" t="s">
        <v>3654</v>
      </c>
      <c r="U37" s="71" t="s">
        <v>3655</v>
      </c>
      <c r="V37" s="71" t="s">
        <v>3656</v>
      </c>
      <c r="W37" s="71" t="s">
        <v>3657</v>
      </c>
      <c r="X37" s="71" t="s">
        <v>3658</v>
      </c>
      <c r="Y37" s="71" t="s">
        <v>3659</v>
      </c>
      <c r="Z37" s="71" t="s">
        <v>3660</v>
      </c>
      <c r="AA37" s="72"/>
      <c r="AB37" s="72"/>
      <c r="AC37" s="72"/>
      <c r="AD37" s="72"/>
    </row>
    <row r="38" spans="1:30">
      <c r="A38" s="55">
        <v>330</v>
      </c>
      <c r="B38" s="56" t="s">
        <v>130</v>
      </c>
      <c r="L38" s="65">
        <v>11146</v>
      </c>
      <c r="M38" t="s">
        <v>300</v>
      </c>
    </row>
    <row r="39" spans="1:30">
      <c r="A39" s="55">
        <v>350</v>
      </c>
      <c r="B39" s="56" t="s">
        <v>131</v>
      </c>
      <c r="L39" s="65">
        <v>11147</v>
      </c>
      <c r="M39" t="s">
        <v>301</v>
      </c>
    </row>
    <row r="40" spans="1:30">
      <c r="A40" s="55">
        <v>360</v>
      </c>
      <c r="B40" s="56" t="s">
        <v>132</v>
      </c>
      <c r="L40" s="65">
        <v>11148</v>
      </c>
      <c r="M40" t="s">
        <v>302</v>
      </c>
    </row>
    <row r="41" spans="1:30">
      <c r="A41" s="52">
        <v>400</v>
      </c>
      <c r="B41" s="53" t="s">
        <v>133</v>
      </c>
      <c r="L41" s="65">
        <v>11149</v>
      </c>
      <c r="M41" t="s">
        <v>303</v>
      </c>
    </row>
    <row r="42" spans="1:30">
      <c r="A42" s="55">
        <v>410</v>
      </c>
      <c r="B42" s="56" t="s">
        <v>134</v>
      </c>
      <c r="L42" s="65">
        <v>11150</v>
      </c>
      <c r="M42" t="s">
        <v>304</v>
      </c>
    </row>
    <row r="43" spans="1:30">
      <c r="A43" s="58">
        <v>411</v>
      </c>
      <c r="B43" s="59" t="s">
        <v>135</v>
      </c>
      <c r="L43" s="65">
        <v>11151</v>
      </c>
      <c r="M43" t="s">
        <v>305</v>
      </c>
    </row>
    <row r="44" spans="1:30">
      <c r="A44" s="58">
        <v>412</v>
      </c>
      <c r="B44" s="59" t="s">
        <v>136</v>
      </c>
      <c r="L44" s="65">
        <v>11152</v>
      </c>
      <c r="M44" t="s">
        <v>306</v>
      </c>
    </row>
    <row r="45" spans="1:30">
      <c r="A45" s="55">
        <v>420</v>
      </c>
      <c r="B45" s="56" t="s">
        <v>137</v>
      </c>
      <c r="L45" s="65">
        <v>11153</v>
      </c>
      <c r="M45" t="s">
        <v>307</v>
      </c>
    </row>
    <row r="46" spans="1:30">
      <c r="A46" s="58">
        <v>421</v>
      </c>
      <c r="B46" s="59" t="s">
        <v>138</v>
      </c>
      <c r="L46" s="65">
        <v>11154</v>
      </c>
      <c r="M46" t="s">
        <v>308</v>
      </c>
    </row>
    <row r="47" spans="1:30">
      <c r="A47" s="58">
        <v>422</v>
      </c>
      <c r="B47" s="59" t="s">
        <v>139</v>
      </c>
      <c r="L47" s="65">
        <v>11155</v>
      </c>
      <c r="M47" t="s">
        <v>309</v>
      </c>
    </row>
    <row r="48" spans="1:30">
      <c r="A48" s="58">
        <v>423</v>
      </c>
      <c r="B48" s="59" t="s">
        <v>140</v>
      </c>
      <c r="L48" s="65">
        <v>11156</v>
      </c>
      <c r="M48" t="s">
        <v>310</v>
      </c>
    </row>
    <row r="49" spans="1:13">
      <c r="A49" s="55">
        <v>430</v>
      </c>
      <c r="B49" s="56" t="s">
        <v>141</v>
      </c>
      <c r="L49" s="65">
        <v>11157</v>
      </c>
      <c r="M49" t="s">
        <v>311</v>
      </c>
    </row>
    <row r="50" spans="1:13">
      <c r="A50" s="58">
        <v>431</v>
      </c>
      <c r="B50" s="59" t="s">
        <v>142</v>
      </c>
      <c r="L50" s="65">
        <v>11158</v>
      </c>
      <c r="M50" t="s">
        <v>312</v>
      </c>
    </row>
    <row r="51" spans="1:13">
      <c r="A51" s="58">
        <v>432</v>
      </c>
      <c r="B51" s="59" t="s">
        <v>143</v>
      </c>
      <c r="L51" s="65">
        <v>11159</v>
      </c>
      <c r="M51" t="s">
        <v>313</v>
      </c>
    </row>
    <row r="52" spans="1:13">
      <c r="A52" s="58">
        <v>433</v>
      </c>
      <c r="B52" s="59" t="s">
        <v>144</v>
      </c>
      <c r="L52" s="65">
        <v>11190</v>
      </c>
      <c r="M52" t="s">
        <v>314</v>
      </c>
    </row>
    <row r="53" spans="1:13">
      <c r="A53" s="58">
        <v>434</v>
      </c>
      <c r="B53" s="59" t="s">
        <v>145</v>
      </c>
      <c r="L53" s="65">
        <v>11191</v>
      </c>
      <c r="M53" t="s">
        <v>315</v>
      </c>
    </row>
    <row r="54" spans="1:13">
      <c r="A54" s="58">
        <v>435</v>
      </c>
      <c r="B54" s="59" t="s">
        <v>146</v>
      </c>
      <c r="L54" s="65">
        <v>11192</v>
      </c>
      <c r="M54" t="s">
        <v>316</v>
      </c>
    </row>
    <row r="55" spans="1:13">
      <c r="A55" s="58">
        <v>436</v>
      </c>
      <c r="B55" s="59" t="s">
        <v>147</v>
      </c>
      <c r="L55" s="65">
        <v>11193</v>
      </c>
      <c r="M55" t="s">
        <v>317</v>
      </c>
    </row>
    <row r="56" spans="1:13">
      <c r="A56" s="55">
        <v>440</v>
      </c>
      <c r="B56" s="56" t="s">
        <v>148</v>
      </c>
      <c r="L56" s="65">
        <v>11194</v>
      </c>
      <c r="M56" t="s">
        <v>318</v>
      </c>
    </row>
    <row r="57" spans="1:13">
      <c r="A57" s="58">
        <v>441</v>
      </c>
      <c r="B57" s="59" t="s">
        <v>149</v>
      </c>
      <c r="L57" s="65">
        <v>11195</v>
      </c>
      <c r="M57" t="s">
        <v>319</v>
      </c>
    </row>
    <row r="58" spans="1:13">
      <c r="A58" s="58">
        <v>442</v>
      </c>
      <c r="B58" s="59" t="s">
        <v>150</v>
      </c>
      <c r="L58" s="65">
        <v>11196</v>
      </c>
      <c r="M58" t="s">
        <v>320</v>
      </c>
    </row>
    <row r="59" spans="1:13">
      <c r="A59" s="58">
        <v>443</v>
      </c>
      <c r="B59" s="59" t="s">
        <v>151</v>
      </c>
      <c r="L59" s="65">
        <v>11197</v>
      </c>
      <c r="M59" t="s">
        <v>321</v>
      </c>
    </row>
    <row r="60" spans="1:13">
      <c r="A60" s="55">
        <v>450</v>
      </c>
      <c r="B60" s="56" t="s">
        <v>152</v>
      </c>
      <c r="L60" s="65">
        <v>11198</v>
      </c>
      <c r="M60" t="s">
        <v>322</v>
      </c>
    </row>
    <row r="61" spans="1:13">
      <c r="A61" s="58">
        <v>451</v>
      </c>
      <c r="B61" s="59" t="s">
        <v>153</v>
      </c>
      <c r="L61" s="65">
        <v>11199</v>
      </c>
      <c r="M61" t="s">
        <v>323</v>
      </c>
    </row>
    <row r="62" spans="1:13">
      <c r="A62" s="58">
        <v>452</v>
      </c>
      <c r="B62" s="59" t="s">
        <v>154</v>
      </c>
      <c r="L62" s="65">
        <v>11200</v>
      </c>
      <c r="M62" t="s">
        <v>324</v>
      </c>
    </row>
    <row r="63" spans="1:13">
      <c r="A63" s="58">
        <v>453</v>
      </c>
      <c r="B63" s="59" t="s">
        <v>155</v>
      </c>
      <c r="L63" s="65">
        <v>11210</v>
      </c>
      <c r="M63" t="s">
        <v>325</v>
      </c>
    </row>
    <row r="64" spans="1:13">
      <c r="A64" s="58">
        <v>454</v>
      </c>
      <c r="B64" s="59" t="s">
        <v>156</v>
      </c>
      <c r="L64" s="65">
        <v>11211</v>
      </c>
      <c r="M64" t="s">
        <v>326</v>
      </c>
    </row>
    <row r="65" spans="1:13">
      <c r="A65" s="58">
        <v>455</v>
      </c>
      <c r="B65" s="59" t="s">
        <v>157</v>
      </c>
      <c r="L65" s="65">
        <v>11212</v>
      </c>
      <c r="M65" t="s">
        <v>327</v>
      </c>
    </row>
    <row r="66" spans="1:13">
      <c r="A66" s="55">
        <v>460</v>
      </c>
      <c r="B66" s="56" t="s">
        <v>158</v>
      </c>
      <c r="L66" s="65">
        <v>11213</v>
      </c>
      <c r="M66" t="s">
        <v>328</v>
      </c>
    </row>
    <row r="67" spans="1:13">
      <c r="A67" s="55">
        <v>470</v>
      </c>
      <c r="B67" s="56" t="s">
        <v>159</v>
      </c>
      <c r="L67" s="65">
        <v>11215</v>
      </c>
      <c r="M67" t="s">
        <v>329</v>
      </c>
    </row>
    <row r="68" spans="1:13">
      <c r="A68" s="58">
        <v>471</v>
      </c>
      <c r="B68" s="59" t="s">
        <v>160</v>
      </c>
      <c r="L68" s="65">
        <v>11216</v>
      </c>
      <c r="M68" t="s">
        <v>330</v>
      </c>
    </row>
    <row r="69" spans="1:13">
      <c r="A69" s="58">
        <v>472</v>
      </c>
      <c r="B69" s="59" t="s">
        <v>161</v>
      </c>
      <c r="L69" s="65">
        <v>11217</v>
      </c>
      <c r="M69" t="s">
        <v>331</v>
      </c>
    </row>
    <row r="70" spans="1:13">
      <c r="A70" s="58">
        <v>473</v>
      </c>
      <c r="B70" s="59" t="s">
        <v>162</v>
      </c>
      <c r="L70" s="65">
        <v>11218</v>
      </c>
      <c r="M70" t="s">
        <v>332</v>
      </c>
    </row>
    <row r="71" spans="1:13">
      <c r="A71" s="58">
        <v>474</v>
      </c>
      <c r="B71" s="59" t="s">
        <v>163</v>
      </c>
      <c r="L71" s="65">
        <v>11219</v>
      </c>
      <c r="M71" t="s">
        <v>333</v>
      </c>
    </row>
    <row r="72" spans="1:13">
      <c r="A72" s="55">
        <v>480</v>
      </c>
      <c r="B72" s="56" t="s">
        <v>164</v>
      </c>
      <c r="L72" s="65">
        <v>11220</v>
      </c>
      <c r="M72" t="s">
        <v>334</v>
      </c>
    </row>
    <row r="73" spans="1:13">
      <c r="A73" s="58">
        <v>481</v>
      </c>
      <c r="B73" s="59" t="s">
        <v>165</v>
      </c>
      <c r="L73" s="65">
        <v>11221</v>
      </c>
      <c r="M73" t="s">
        <v>335</v>
      </c>
    </row>
    <row r="74" spans="1:13">
      <c r="A74" s="58">
        <v>482</v>
      </c>
      <c r="B74" s="59" t="s">
        <v>166</v>
      </c>
      <c r="L74" s="65">
        <v>11222</v>
      </c>
      <c r="M74" t="s">
        <v>336</v>
      </c>
    </row>
    <row r="75" spans="1:13">
      <c r="A75" s="58">
        <v>483</v>
      </c>
      <c r="B75" s="59" t="s">
        <v>167</v>
      </c>
      <c r="L75" s="65">
        <v>11223</v>
      </c>
      <c r="M75" t="s">
        <v>337</v>
      </c>
    </row>
    <row r="76" spans="1:13">
      <c r="A76" s="58">
        <v>484</v>
      </c>
      <c r="B76" s="59" t="s">
        <v>168</v>
      </c>
      <c r="L76" s="65">
        <v>11224</v>
      </c>
      <c r="M76" t="s">
        <v>338</v>
      </c>
    </row>
    <row r="77" spans="1:13">
      <c r="A77" s="58">
        <v>485</v>
      </c>
      <c r="B77" s="59" t="s">
        <v>169</v>
      </c>
      <c r="L77" s="65">
        <v>11225</v>
      </c>
      <c r="M77" t="s">
        <v>339</v>
      </c>
    </row>
    <row r="78" spans="1:13">
      <c r="A78" s="58">
        <v>486</v>
      </c>
      <c r="B78" s="59" t="s">
        <v>170</v>
      </c>
      <c r="L78" s="65">
        <v>11226</v>
      </c>
      <c r="M78" t="s">
        <v>340</v>
      </c>
    </row>
    <row r="79" spans="1:13">
      <c r="A79" s="58">
        <v>487</v>
      </c>
      <c r="B79" s="59" t="s">
        <v>171</v>
      </c>
      <c r="L79" s="65">
        <v>11227</v>
      </c>
      <c r="M79" t="s">
        <v>341</v>
      </c>
    </row>
    <row r="80" spans="1:13">
      <c r="A80" s="55">
        <v>490</v>
      </c>
      <c r="B80" s="56" t="s">
        <v>172</v>
      </c>
      <c r="L80" s="65">
        <v>11228</v>
      </c>
      <c r="M80" t="s">
        <v>342</v>
      </c>
    </row>
    <row r="81" spans="1:13">
      <c r="A81" s="52">
        <v>500</v>
      </c>
      <c r="B81" s="53" t="s">
        <v>173</v>
      </c>
      <c r="L81" s="65">
        <v>11229</v>
      </c>
      <c r="M81" t="s">
        <v>343</v>
      </c>
    </row>
    <row r="82" spans="1:13">
      <c r="A82" s="55">
        <v>510</v>
      </c>
      <c r="B82" s="56" t="s">
        <v>174</v>
      </c>
      <c r="L82" s="65">
        <v>11230</v>
      </c>
      <c r="M82" t="s">
        <v>344</v>
      </c>
    </row>
    <row r="83" spans="1:13">
      <c r="A83" s="55">
        <v>520</v>
      </c>
      <c r="B83" s="56" t="s">
        <v>175</v>
      </c>
      <c r="L83" s="65">
        <v>11231</v>
      </c>
      <c r="M83" t="s">
        <v>344</v>
      </c>
    </row>
    <row r="84" spans="1:13">
      <c r="A84" s="55">
        <v>530</v>
      </c>
      <c r="B84" s="56" t="s">
        <v>176</v>
      </c>
      <c r="L84" s="65">
        <v>11236</v>
      </c>
      <c r="M84" t="s">
        <v>345</v>
      </c>
    </row>
    <row r="85" spans="1:13">
      <c r="A85" s="55">
        <v>540</v>
      </c>
      <c r="B85" s="56" t="s">
        <v>177</v>
      </c>
      <c r="L85" s="65">
        <v>11237</v>
      </c>
      <c r="M85" t="s">
        <v>346</v>
      </c>
    </row>
    <row r="86" spans="1:13">
      <c r="A86" s="55">
        <v>550</v>
      </c>
      <c r="B86" s="56" t="s">
        <v>178</v>
      </c>
      <c r="L86" s="65">
        <v>11238</v>
      </c>
      <c r="M86" t="s">
        <v>347</v>
      </c>
    </row>
    <row r="87" spans="1:13">
      <c r="A87" s="55">
        <v>560</v>
      </c>
      <c r="B87" s="56" t="s">
        <v>179</v>
      </c>
      <c r="L87" s="65">
        <v>11239</v>
      </c>
      <c r="M87" t="s">
        <v>348</v>
      </c>
    </row>
    <row r="88" spans="1:13">
      <c r="A88" s="52">
        <v>600</v>
      </c>
      <c r="B88" s="53" t="s">
        <v>180</v>
      </c>
      <c r="L88" s="65">
        <v>11240</v>
      </c>
      <c r="M88" t="s">
        <v>349</v>
      </c>
    </row>
    <row r="89" spans="1:13">
      <c r="A89" s="55">
        <v>610</v>
      </c>
      <c r="B89" s="56" t="s">
        <v>181</v>
      </c>
      <c r="L89" s="65">
        <v>11241</v>
      </c>
      <c r="M89" t="s">
        <v>349</v>
      </c>
    </row>
    <row r="90" spans="1:13">
      <c r="A90" s="55">
        <v>620</v>
      </c>
      <c r="B90" s="56" t="s">
        <v>182</v>
      </c>
      <c r="L90" s="65">
        <v>11246</v>
      </c>
      <c r="M90" t="s">
        <v>350</v>
      </c>
    </row>
    <row r="91" spans="1:13">
      <c r="A91" s="55">
        <v>630</v>
      </c>
      <c r="B91" s="56" t="s">
        <v>183</v>
      </c>
      <c r="L91" s="65">
        <v>11247</v>
      </c>
      <c r="M91" t="s">
        <v>351</v>
      </c>
    </row>
    <row r="92" spans="1:13">
      <c r="A92" s="55">
        <v>640</v>
      </c>
      <c r="B92" s="56" t="s">
        <v>184</v>
      </c>
      <c r="L92" s="65">
        <v>11248</v>
      </c>
      <c r="M92" t="s">
        <v>352</v>
      </c>
    </row>
    <row r="93" spans="1:13">
      <c r="A93" s="55">
        <v>650</v>
      </c>
      <c r="B93" s="56" t="s">
        <v>185</v>
      </c>
      <c r="L93" s="65">
        <v>11249</v>
      </c>
      <c r="M93" t="s">
        <v>353</v>
      </c>
    </row>
    <row r="94" spans="1:13">
      <c r="A94" s="55">
        <v>660</v>
      </c>
      <c r="B94" s="56" t="s">
        <v>186</v>
      </c>
      <c r="L94" s="65">
        <v>11250</v>
      </c>
      <c r="M94" t="s">
        <v>354</v>
      </c>
    </row>
    <row r="95" spans="1:13">
      <c r="A95" s="52">
        <v>700</v>
      </c>
      <c r="B95" s="53" t="s">
        <v>187</v>
      </c>
      <c r="L95" s="65">
        <v>11251</v>
      </c>
      <c r="M95" t="s">
        <v>355</v>
      </c>
    </row>
    <row r="96" spans="1:13">
      <c r="A96" s="55">
        <v>710</v>
      </c>
      <c r="B96" s="56" t="s">
        <v>188</v>
      </c>
      <c r="L96" s="65">
        <v>11252</v>
      </c>
      <c r="M96" t="s">
        <v>356</v>
      </c>
    </row>
    <row r="97" spans="1:13">
      <c r="A97" s="58">
        <v>711</v>
      </c>
      <c r="B97" s="59" t="s">
        <v>189</v>
      </c>
      <c r="L97" s="65">
        <v>11253</v>
      </c>
      <c r="M97" t="s">
        <v>357</v>
      </c>
    </row>
    <row r="98" spans="1:13">
      <c r="A98" s="58">
        <v>712</v>
      </c>
      <c r="B98" s="59" t="s">
        <v>190</v>
      </c>
      <c r="L98" s="65">
        <v>11255</v>
      </c>
      <c r="M98" t="s">
        <v>358</v>
      </c>
    </row>
    <row r="99" spans="1:13">
      <c r="A99" s="58">
        <v>713</v>
      </c>
      <c r="B99" s="59" t="s">
        <v>191</v>
      </c>
      <c r="L99" s="65">
        <v>11256</v>
      </c>
      <c r="M99" t="s">
        <v>359</v>
      </c>
    </row>
    <row r="100" spans="1:13">
      <c r="A100" s="55">
        <v>720</v>
      </c>
      <c r="B100" s="56" t="s">
        <v>192</v>
      </c>
      <c r="L100" s="65">
        <v>11257</v>
      </c>
      <c r="M100" t="s">
        <v>360</v>
      </c>
    </row>
    <row r="101" spans="1:13">
      <c r="A101" s="58">
        <v>721</v>
      </c>
      <c r="B101" s="59" t="s">
        <v>193</v>
      </c>
      <c r="L101" s="65">
        <v>11258</v>
      </c>
      <c r="M101" t="s">
        <v>361</v>
      </c>
    </row>
    <row r="102" spans="1:13">
      <c r="A102" s="58">
        <v>722</v>
      </c>
      <c r="B102" s="59" t="s">
        <v>194</v>
      </c>
      <c r="L102" s="65">
        <v>11259</v>
      </c>
      <c r="M102" t="s">
        <v>362</v>
      </c>
    </row>
    <row r="103" spans="1:13">
      <c r="A103" s="58">
        <v>723</v>
      </c>
      <c r="B103" s="59" t="s">
        <v>195</v>
      </c>
      <c r="L103" s="65">
        <v>11260</v>
      </c>
      <c r="M103" t="s">
        <v>363</v>
      </c>
    </row>
    <row r="104" spans="1:13">
      <c r="A104" s="58">
        <v>724</v>
      </c>
      <c r="B104" s="59" t="s">
        <v>196</v>
      </c>
      <c r="L104" s="65">
        <v>11261</v>
      </c>
      <c r="M104" t="s">
        <v>364</v>
      </c>
    </row>
    <row r="105" spans="1:13">
      <c r="A105" s="55">
        <v>730</v>
      </c>
      <c r="B105" s="56" t="s">
        <v>197</v>
      </c>
      <c r="L105" s="65">
        <v>11262</v>
      </c>
      <c r="M105" t="s">
        <v>365</v>
      </c>
    </row>
    <row r="106" spans="1:13">
      <c r="A106" s="58">
        <v>731</v>
      </c>
      <c r="B106" s="59" t="s">
        <v>198</v>
      </c>
      <c r="L106" s="65">
        <v>11263</v>
      </c>
      <c r="M106" t="s">
        <v>366</v>
      </c>
    </row>
    <row r="107" spans="1:13">
      <c r="A107" s="58">
        <v>732</v>
      </c>
      <c r="B107" s="59" t="s">
        <v>199</v>
      </c>
      <c r="L107" s="65">
        <v>11264</v>
      </c>
      <c r="M107" t="s">
        <v>367</v>
      </c>
    </row>
    <row r="108" spans="1:13">
      <c r="A108" s="58">
        <v>733</v>
      </c>
      <c r="B108" s="59" t="s">
        <v>200</v>
      </c>
      <c r="L108" s="65">
        <v>11266</v>
      </c>
      <c r="M108" t="s">
        <v>368</v>
      </c>
    </row>
    <row r="109" spans="1:13">
      <c r="A109" s="58">
        <v>734</v>
      </c>
      <c r="B109" s="59" t="s">
        <v>201</v>
      </c>
      <c r="L109" s="65">
        <v>11267</v>
      </c>
      <c r="M109" t="s">
        <v>369</v>
      </c>
    </row>
    <row r="110" spans="1:13">
      <c r="A110" s="55">
        <v>740</v>
      </c>
      <c r="B110" s="56" t="s">
        <v>202</v>
      </c>
      <c r="L110" s="65">
        <v>11268</v>
      </c>
      <c r="M110" t="s">
        <v>370</v>
      </c>
    </row>
    <row r="111" spans="1:13">
      <c r="A111" s="55">
        <v>750</v>
      </c>
      <c r="B111" s="56" t="s">
        <v>203</v>
      </c>
      <c r="L111" s="65">
        <v>11269</v>
      </c>
      <c r="M111" t="s">
        <v>371</v>
      </c>
    </row>
    <row r="112" spans="1:13">
      <c r="A112" s="55">
        <v>760</v>
      </c>
      <c r="B112" s="56" t="s">
        <v>204</v>
      </c>
      <c r="L112" s="65">
        <v>11270</v>
      </c>
      <c r="M112" t="s">
        <v>372</v>
      </c>
    </row>
    <row r="113" spans="1:13">
      <c r="A113" s="52">
        <v>800</v>
      </c>
      <c r="B113" s="53" t="s">
        <v>205</v>
      </c>
      <c r="L113" s="65">
        <v>11271</v>
      </c>
      <c r="M113" t="s">
        <v>372</v>
      </c>
    </row>
    <row r="114" spans="1:13">
      <c r="A114" s="55">
        <v>810</v>
      </c>
      <c r="B114" s="56" t="s">
        <v>206</v>
      </c>
      <c r="L114" s="65">
        <v>11276</v>
      </c>
      <c r="M114" t="s">
        <v>373</v>
      </c>
    </row>
    <row r="115" spans="1:13">
      <c r="A115" s="55">
        <v>820</v>
      </c>
      <c r="B115" s="56" t="s">
        <v>207</v>
      </c>
      <c r="L115" s="65">
        <v>11277</v>
      </c>
      <c r="M115" t="s">
        <v>374</v>
      </c>
    </row>
    <row r="116" spans="1:13">
      <c r="A116" s="55">
        <v>830</v>
      </c>
      <c r="B116" s="56" t="s">
        <v>208</v>
      </c>
      <c r="L116" s="65">
        <v>11278</v>
      </c>
      <c r="M116" t="s">
        <v>375</v>
      </c>
    </row>
    <row r="117" spans="1:13">
      <c r="A117" s="55">
        <v>840</v>
      </c>
      <c r="B117" s="56" t="s">
        <v>209</v>
      </c>
      <c r="L117" s="65">
        <v>11279</v>
      </c>
      <c r="M117" t="s">
        <v>376</v>
      </c>
    </row>
    <row r="118" spans="1:13">
      <c r="A118" s="55">
        <v>850</v>
      </c>
      <c r="B118" s="56" t="s">
        <v>210</v>
      </c>
      <c r="L118" s="65">
        <v>11280</v>
      </c>
      <c r="M118" t="s">
        <v>377</v>
      </c>
    </row>
    <row r="119" spans="1:13">
      <c r="A119" s="55">
        <v>860</v>
      </c>
      <c r="B119" s="56" t="s">
        <v>211</v>
      </c>
      <c r="L119" s="65">
        <v>11281</v>
      </c>
      <c r="M119" t="s">
        <v>377</v>
      </c>
    </row>
    <row r="120" spans="1:13">
      <c r="A120" s="52">
        <v>900</v>
      </c>
      <c r="B120" s="53" t="s">
        <v>212</v>
      </c>
      <c r="L120" s="65">
        <v>11286</v>
      </c>
      <c r="M120" t="s">
        <v>378</v>
      </c>
    </row>
    <row r="121" spans="1:13">
      <c r="A121" s="55">
        <v>910</v>
      </c>
      <c r="B121" s="56" t="s">
        <v>213</v>
      </c>
      <c r="L121" s="65">
        <v>11287</v>
      </c>
      <c r="M121" t="s">
        <v>379</v>
      </c>
    </row>
    <row r="122" spans="1:13">
      <c r="A122" s="58">
        <v>911</v>
      </c>
      <c r="B122" s="59" t="s">
        <v>214</v>
      </c>
      <c r="L122" s="65">
        <v>11288</v>
      </c>
      <c r="M122" t="s">
        <v>380</v>
      </c>
    </row>
    <row r="123" spans="1:13">
      <c r="A123" s="58">
        <v>912</v>
      </c>
      <c r="B123" s="59" t="s">
        <v>215</v>
      </c>
      <c r="L123" s="65">
        <v>11289</v>
      </c>
      <c r="M123" t="s">
        <v>381</v>
      </c>
    </row>
    <row r="124" spans="1:13">
      <c r="A124" s="58">
        <v>913</v>
      </c>
      <c r="B124" s="59" t="s">
        <v>216</v>
      </c>
      <c r="L124" s="65">
        <v>11290</v>
      </c>
      <c r="M124" t="s">
        <v>382</v>
      </c>
    </row>
    <row r="125" spans="1:13">
      <c r="A125" s="58">
        <v>914</v>
      </c>
      <c r="B125" s="59" t="s">
        <v>217</v>
      </c>
      <c r="L125" s="65">
        <v>11291</v>
      </c>
      <c r="M125" t="s">
        <v>383</v>
      </c>
    </row>
    <row r="126" spans="1:13">
      <c r="A126" s="58">
        <v>915</v>
      </c>
      <c r="B126" s="59" t="s">
        <v>218</v>
      </c>
      <c r="L126" s="65">
        <v>11292</v>
      </c>
      <c r="M126" t="s">
        <v>384</v>
      </c>
    </row>
    <row r="127" spans="1:13">
      <c r="A127" s="58">
        <v>916</v>
      </c>
      <c r="B127" s="59" t="s">
        <v>219</v>
      </c>
      <c r="L127" s="65">
        <v>11293</v>
      </c>
      <c r="M127" t="s">
        <v>385</v>
      </c>
    </row>
    <row r="128" spans="1:13">
      <c r="A128" s="55">
        <v>920</v>
      </c>
      <c r="B128" s="56" t="s">
        <v>220</v>
      </c>
      <c r="L128" s="65">
        <v>11294</v>
      </c>
      <c r="M128" t="s">
        <v>386</v>
      </c>
    </row>
    <row r="129" spans="1:13">
      <c r="A129" s="58">
        <v>921</v>
      </c>
      <c r="B129" s="59" t="s">
        <v>221</v>
      </c>
      <c r="L129" s="65">
        <v>11296</v>
      </c>
      <c r="M129" t="s">
        <v>387</v>
      </c>
    </row>
    <row r="130" spans="1:13">
      <c r="A130" s="58">
        <v>922</v>
      </c>
      <c r="B130" s="59" t="s">
        <v>222</v>
      </c>
      <c r="L130" s="65">
        <v>11297</v>
      </c>
      <c r="M130" t="s">
        <v>388</v>
      </c>
    </row>
    <row r="131" spans="1:13">
      <c r="A131" s="58">
        <v>923</v>
      </c>
      <c r="B131" s="59" t="s">
        <v>223</v>
      </c>
      <c r="L131" s="65">
        <v>11298</v>
      </c>
      <c r="M131" t="s">
        <v>389</v>
      </c>
    </row>
    <row r="132" spans="1:13">
      <c r="A132" s="55">
        <v>930</v>
      </c>
      <c r="B132" s="56" t="s">
        <v>224</v>
      </c>
      <c r="L132" s="65">
        <v>11299</v>
      </c>
      <c r="M132" t="s">
        <v>390</v>
      </c>
    </row>
    <row r="133" spans="1:13">
      <c r="A133" s="58">
        <v>931</v>
      </c>
      <c r="B133" s="59" t="s">
        <v>224</v>
      </c>
      <c r="L133" s="65">
        <v>11300</v>
      </c>
      <c r="M133" t="s">
        <v>391</v>
      </c>
    </row>
    <row r="134" spans="1:13">
      <c r="A134" s="58">
        <v>932</v>
      </c>
      <c r="B134" s="59" t="s">
        <v>225</v>
      </c>
      <c r="L134" s="65">
        <v>11310</v>
      </c>
      <c r="M134" t="s">
        <v>391</v>
      </c>
    </row>
    <row r="135" spans="1:13">
      <c r="A135" s="55">
        <v>940</v>
      </c>
      <c r="B135" s="56" t="s">
        <v>226</v>
      </c>
      <c r="L135" s="65">
        <v>11311</v>
      </c>
      <c r="M135" t="s">
        <v>391</v>
      </c>
    </row>
    <row r="136" spans="1:13">
      <c r="A136" s="58">
        <v>941</v>
      </c>
      <c r="B136" s="59" t="s">
        <v>227</v>
      </c>
      <c r="L136" s="65">
        <v>11316</v>
      </c>
      <c r="M136" t="s">
        <v>392</v>
      </c>
    </row>
    <row r="137" spans="1:13">
      <c r="A137" s="58">
        <v>942</v>
      </c>
      <c r="B137" s="59" t="s">
        <v>228</v>
      </c>
      <c r="L137" s="65">
        <v>11317</v>
      </c>
      <c r="M137" t="s">
        <v>393</v>
      </c>
    </row>
    <row r="138" spans="1:13">
      <c r="A138" s="55">
        <v>950</v>
      </c>
      <c r="B138" s="56" t="s">
        <v>229</v>
      </c>
      <c r="L138" s="65">
        <v>11318</v>
      </c>
      <c r="M138" t="s">
        <v>394</v>
      </c>
    </row>
    <row r="139" spans="1:13">
      <c r="A139" s="55">
        <v>960</v>
      </c>
      <c r="B139" s="56" t="s">
        <v>230</v>
      </c>
      <c r="L139" s="65">
        <v>11319</v>
      </c>
      <c r="M139" t="s">
        <v>395</v>
      </c>
    </row>
    <row r="140" spans="1:13">
      <c r="A140" s="55">
        <v>970</v>
      </c>
      <c r="B140" s="56" t="s">
        <v>231</v>
      </c>
      <c r="L140" s="65">
        <v>12000</v>
      </c>
      <c r="M140" t="s">
        <v>396</v>
      </c>
    </row>
    <row r="141" spans="1:13">
      <c r="A141" s="55">
        <v>980</v>
      </c>
      <c r="B141" s="56" t="s">
        <v>232</v>
      </c>
      <c r="L141" s="65">
        <v>12100</v>
      </c>
      <c r="M141" t="s">
        <v>396</v>
      </c>
    </row>
    <row r="142" spans="1:13">
      <c r="L142" s="65">
        <v>12110</v>
      </c>
      <c r="M142" t="s">
        <v>396</v>
      </c>
    </row>
    <row r="143" spans="1:13">
      <c r="L143" s="65">
        <v>12111</v>
      </c>
      <c r="M143" t="s">
        <v>397</v>
      </c>
    </row>
    <row r="144" spans="1:13">
      <c r="L144" s="65">
        <v>12112</v>
      </c>
      <c r="M144" t="s">
        <v>398</v>
      </c>
    </row>
    <row r="145" spans="12:13">
      <c r="L145" s="65">
        <v>12117</v>
      </c>
      <c r="M145" t="s">
        <v>399</v>
      </c>
    </row>
    <row r="146" spans="12:13">
      <c r="L146" s="65">
        <v>12118</v>
      </c>
      <c r="M146" t="s">
        <v>400</v>
      </c>
    </row>
    <row r="147" spans="12:13">
      <c r="L147" s="65">
        <v>12119</v>
      </c>
      <c r="M147" t="s">
        <v>401</v>
      </c>
    </row>
    <row r="148" spans="12:13">
      <c r="L148" s="65">
        <v>13000</v>
      </c>
      <c r="M148" t="s">
        <v>402</v>
      </c>
    </row>
    <row r="149" spans="12:13">
      <c r="L149" s="65">
        <v>13100</v>
      </c>
      <c r="M149" t="s">
        <v>402</v>
      </c>
    </row>
    <row r="150" spans="12:13">
      <c r="L150" s="65">
        <v>13110</v>
      </c>
      <c r="M150" t="s">
        <v>402</v>
      </c>
    </row>
    <row r="151" spans="12:13">
      <c r="L151" s="65">
        <v>13111</v>
      </c>
      <c r="M151" t="s">
        <v>403</v>
      </c>
    </row>
    <row r="152" spans="12:13">
      <c r="L152" s="65">
        <v>13112</v>
      </c>
      <c r="M152" t="s">
        <v>404</v>
      </c>
    </row>
    <row r="153" spans="12:13">
      <c r="L153" s="65">
        <v>13113</v>
      </c>
      <c r="M153" t="s">
        <v>405</v>
      </c>
    </row>
    <row r="154" spans="12:13">
      <c r="L154" s="65">
        <v>13114</v>
      </c>
      <c r="M154" t="s">
        <v>406</v>
      </c>
    </row>
    <row r="155" spans="12:13">
      <c r="L155" s="65">
        <v>13115</v>
      </c>
      <c r="M155" t="s">
        <v>407</v>
      </c>
    </row>
    <row r="156" spans="12:13">
      <c r="L156" s="65">
        <v>13117</v>
      </c>
      <c r="M156" t="s">
        <v>408</v>
      </c>
    </row>
    <row r="157" spans="12:13">
      <c r="L157" s="65">
        <v>13118</v>
      </c>
      <c r="M157" t="s">
        <v>409</v>
      </c>
    </row>
    <row r="158" spans="12:13">
      <c r="L158" s="65">
        <v>13119</v>
      </c>
      <c r="M158" t="s">
        <v>410</v>
      </c>
    </row>
    <row r="159" spans="12:13">
      <c r="L159" s="65">
        <v>14000</v>
      </c>
      <c r="M159" t="s">
        <v>411</v>
      </c>
    </row>
    <row r="160" spans="12:13">
      <c r="L160" s="65">
        <v>14100</v>
      </c>
      <c r="M160" t="s">
        <v>412</v>
      </c>
    </row>
    <row r="161" spans="12:13">
      <c r="L161" s="65">
        <v>14110</v>
      </c>
      <c r="M161" t="s">
        <v>412</v>
      </c>
    </row>
    <row r="162" spans="12:13">
      <c r="L162" s="65">
        <v>14111</v>
      </c>
      <c r="M162" t="s">
        <v>413</v>
      </c>
    </row>
    <row r="163" spans="12:13">
      <c r="L163" s="65">
        <v>14112</v>
      </c>
      <c r="M163" t="s">
        <v>414</v>
      </c>
    </row>
    <row r="164" spans="12:13">
      <c r="L164" s="65">
        <v>14113</v>
      </c>
      <c r="M164" t="s">
        <v>415</v>
      </c>
    </row>
    <row r="165" spans="12:13">
      <c r="L165" s="65">
        <v>14114</v>
      </c>
      <c r="M165" t="s">
        <v>416</v>
      </c>
    </row>
    <row r="166" spans="12:13">
      <c r="L166" s="65">
        <v>14115</v>
      </c>
      <c r="M166" t="s">
        <v>417</v>
      </c>
    </row>
    <row r="167" spans="12:13">
      <c r="L167" s="65">
        <v>14117</v>
      </c>
      <c r="M167" t="s">
        <v>418</v>
      </c>
    </row>
    <row r="168" spans="12:13">
      <c r="L168" s="65">
        <v>14118</v>
      </c>
      <c r="M168" t="s">
        <v>419</v>
      </c>
    </row>
    <row r="169" spans="12:13">
      <c r="L169" s="65">
        <v>14119</v>
      </c>
      <c r="M169" t="s">
        <v>420</v>
      </c>
    </row>
    <row r="170" spans="12:13">
      <c r="L170" s="65">
        <v>14200</v>
      </c>
      <c r="M170" t="s">
        <v>421</v>
      </c>
    </row>
    <row r="171" spans="12:13">
      <c r="L171" s="65">
        <v>14210</v>
      </c>
      <c r="M171" t="s">
        <v>421</v>
      </c>
    </row>
    <row r="172" spans="12:13">
      <c r="L172" s="65">
        <v>14211</v>
      </c>
      <c r="M172" t="s">
        <v>422</v>
      </c>
    </row>
    <row r="173" spans="12:13">
      <c r="L173" s="65">
        <v>14212</v>
      </c>
      <c r="M173" t="s">
        <v>423</v>
      </c>
    </row>
    <row r="174" spans="12:13">
      <c r="L174" s="65">
        <v>14213</v>
      </c>
      <c r="M174" t="s">
        <v>424</v>
      </c>
    </row>
    <row r="175" spans="12:13">
      <c r="L175" s="65">
        <v>14217</v>
      </c>
      <c r="M175" t="s">
        <v>425</v>
      </c>
    </row>
    <row r="176" spans="12:13">
      <c r="L176" s="65">
        <v>14218</v>
      </c>
      <c r="M176" t="s">
        <v>426</v>
      </c>
    </row>
    <row r="177" spans="12:13">
      <c r="L177" s="65">
        <v>14219</v>
      </c>
      <c r="M177" t="s">
        <v>427</v>
      </c>
    </row>
    <row r="178" spans="12:13">
      <c r="L178" s="65">
        <v>14300</v>
      </c>
      <c r="M178" t="s">
        <v>428</v>
      </c>
    </row>
    <row r="179" spans="12:13">
      <c r="L179" s="65">
        <v>14310</v>
      </c>
      <c r="M179" t="s">
        <v>429</v>
      </c>
    </row>
    <row r="180" spans="12:13">
      <c r="L180" s="65">
        <v>14311</v>
      </c>
      <c r="M180" t="s">
        <v>429</v>
      </c>
    </row>
    <row r="181" spans="12:13">
      <c r="L181" s="65">
        <v>14317</v>
      </c>
      <c r="M181" t="s">
        <v>430</v>
      </c>
    </row>
    <row r="182" spans="12:13">
      <c r="L182" s="65">
        <v>14318</v>
      </c>
      <c r="M182" t="s">
        <v>431</v>
      </c>
    </row>
    <row r="183" spans="12:13">
      <c r="L183" s="65">
        <v>14319</v>
      </c>
      <c r="M183" t="s">
        <v>432</v>
      </c>
    </row>
    <row r="184" spans="12:13">
      <c r="L184" s="65">
        <v>14320</v>
      </c>
      <c r="M184" t="s">
        <v>433</v>
      </c>
    </row>
    <row r="185" spans="12:13">
      <c r="L185" s="65">
        <v>14321</v>
      </c>
      <c r="M185" t="s">
        <v>433</v>
      </c>
    </row>
    <row r="186" spans="12:13">
      <c r="L186" s="65">
        <v>14327</v>
      </c>
      <c r="M186" t="s">
        <v>434</v>
      </c>
    </row>
    <row r="187" spans="12:13">
      <c r="L187" s="65">
        <v>14328</v>
      </c>
      <c r="M187" t="s">
        <v>435</v>
      </c>
    </row>
    <row r="188" spans="12:13">
      <c r="L188" s="65">
        <v>14329</v>
      </c>
      <c r="M188" t="s">
        <v>436</v>
      </c>
    </row>
    <row r="189" spans="12:13">
      <c r="L189" s="65">
        <v>15000</v>
      </c>
      <c r="M189" t="s">
        <v>437</v>
      </c>
    </row>
    <row r="190" spans="12:13">
      <c r="L190" s="65">
        <v>15100</v>
      </c>
      <c r="M190" t="s">
        <v>438</v>
      </c>
    </row>
    <row r="191" spans="12:13">
      <c r="L191" s="65">
        <v>15110</v>
      </c>
      <c r="M191" t="s">
        <v>439</v>
      </c>
    </row>
    <row r="192" spans="12:13">
      <c r="L192" s="65">
        <v>15111</v>
      </c>
      <c r="M192" t="s">
        <v>440</v>
      </c>
    </row>
    <row r="193" spans="12:13">
      <c r="L193" s="65">
        <v>15112</v>
      </c>
      <c r="M193" t="s">
        <v>441</v>
      </c>
    </row>
    <row r="194" spans="12:13">
      <c r="L194" s="65">
        <v>15113</v>
      </c>
      <c r="M194" t="s">
        <v>442</v>
      </c>
    </row>
    <row r="195" spans="12:13">
      <c r="L195" s="65">
        <v>15114</v>
      </c>
      <c r="M195" t="s">
        <v>443</v>
      </c>
    </row>
    <row r="196" spans="12:13">
      <c r="L196" s="65">
        <v>15115</v>
      </c>
      <c r="M196" t="s">
        <v>444</v>
      </c>
    </row>
    <row r="197" spans="12:13">
      <c r="L197" s="65">
        <v>15120</v>
      </c>
      <c r="M197" t="s">
        <v>445</v>
      </c>
    </row>
    <row r="198" spans="12:13">
      <c r="L198" s="65">
        <v>15121</v>
      </c>
      <c r="M198" t="s">
        <v>446</v>
      </c>
    </row>
    <row r="199" spans="12:13">
      <c r="L199" s="65">
        <v>15122</v>
      </c>
      <c r="M199" t="s">
        <v>447</v>
      </c>
    </row>
    <row r="200" spans="12:13">
      <c r="L200" s="65">
        <v>15123</v>
      </c>
      <c r="M200" t="s">
        <v>448</v>
      </c>
    </row>
    <row r="201" spans="12:13">
      <c r="L201" s="65">
        <v>15124</v>
      </c>
      <c r="M201" t="s">
        <v>449</v>
      </c>
    </row>
    <row r="202" spans="12:13">
      <c r="L202" s="65">
        <v>15125</v>
      </c>
      <c r="M202" t="s">
        <v>450</v>
      </c>
    </row>
    <row r="203" spans="12:13">
      <c r="L203" s="65">
        <v>15126</v>
      </c>
      <c r="M203" t="s">
        <v>451</v>
      </c>
    </row>
    <row r="204" spans="12:13">
      <c r="L204" s="65">
        <v>15127</v>
      </c>
      <c r="M204" t="s">
        <v>452</v>
      </c>
    </row>
    <row r="205" spans="12:13">
      <c r="L205" s="65">
        <v>15128</v>
      </c>
      <c r="M205" t="s">
        <v>453</v>
      </c>
    </row>
    <row r="206" spans="12:13">
      <c r="L206" s="65">
        <v>15129</v>
      </c>
      <c r="M206" t="s">
        <v>454</v>
      </c>
    </row>
    <row r="207" spans="12:13">
      <c r="L207" s="65">
        <v>15130</v>
      </c>
      <c r="M207" t="s">
        <v>455</v>
      </c>
    </row>
    <row r="208" spans="12:13">
      <c r="L208" s="65">
        <v>15131</v>
      </c>
      <c r="M208" t="s">
        <v>455</v>
      </c>
    </row>
    <row r="209" spans="12:13">
      <c r="L209" s="65">
        <v>15140</v>
      </c>
      <c r="M209" t="s">
        <v>456</v>
      </c>
    </row>
    <row r="210" spans="12:13">
      <c r="L210" s="65">
        <v>15141</v>
      </c>
      <c r="M210" t="s">
        <v>456</v>
      </c>
    </row>
    <row r="211" spans="12:13">
      <c r="L211" s="65">
        <v>15150</v>
      </c>
      <c r="M211" t="s">
        <v>457</v>
      </c>
    </row>
    <row r="212" spans="12:13">
      <c r="L212" s="65">
        <v>15151</v>
      </c>
      <c r="M212" t="s">
        <v>457</v>
      </c>
    </row>
    <row r="213" spans="12:13">
      <c r="L213" s="65">
        <v>15160</v>
      </c>
      <c r="M213" t="s">
        <v>458</v>
      </c>
    </row>
    <row r="214" spans="12:13">
      <c r="L214" s="65">
        <v>15161</v>
      </c>
      <c r="M214" t="s">
        <v>458</v>
      </c>
    </row>
    <row r="215" spans="12:13">
      <c r="L215" s="65">
        <v>15170</v>
      </c>
      <c r="M215" t="s">
        <v>459</v>
      </c>
    </row>
    <row r="216" spans="12:13">
      <c r="L216" s="65">
        <v>15171</v>
      </c>
      <c r="M216" t="s">
        <v>459</v>
      </c>
    </row>
    <row r="217" spans="12:13">
      <c r="L217" s="65">
        <v>15180</v>
      </c>
      <c r="M217" t="s">
        <v>460</v>
      </c>
    </row>
    <row r="218" spans="12:13">
      <c r="L218" s="65">
        <v>15181</v>
      </c>
      <c r="M218" t="s">
        <v>461</v>
      </c>
    </row>
    <row r="219" spans="12:13">
      <c r="L219" s="65">
        <v>15182</v>
      </c>
      <c r="M219" t="s">
        <v>462</v>
      </c>
    </row>
    <row r="220" spans="12:13">
      <c r="L220" s="65">
        <v>15200</v>
      </c>
      <c r="M220" t="s">
        <v>463</v>
      </c>
    </row>
    <row r="221" spans="12:13">
      <c r="L221" s="65">
        <v>15210</v>
      </c>
      <c r="M221" t="s">
        <v>464</v>
      </c>
    </row>
    <row r="222" spans="12:13">
      <c r="L222" s="65">
        <v>15211</v>
      </c>
      <c r="M222" t="s">
        <v>465</v>
      </c>
    </row>
    <row r="223" spans="12:13">
      <c r="L223" s="65">
        <v>15212</v>
      </c>
      <c r="M223" t="s">
        <v>466</v>
      </c>
    </row>
    <row r="224" spans="12:13">
      <c r="L224" s="65">
        <v>15213</v>
      </c>
      <c r="M224" t="s">
        <v>467</v>
      </c>
    </row>
    <row r="225" spans="12:13">
      <c r="L225" s="65">
        <v>15214</v>
      </c>
      <c r="M225" t="s">
        <v>468</v>
      </c>
    </row>
    <row r="226" spans="12:13">
      <c r="L226" s="65">
        <v>15215</v>
      </c>
      <c r="M226" t="s">
        <v>469</v>
      </c>
    </row>
    <row r="227" spans="12:13">
      <c r="L227" s="65">
        <v>15220</v>
      </c>
      <c r="M227" t="s">
        <v>470</v>
      </c>
    </row>
    <row r="228" spans="12:13">
      <c r="L228" s="65">
        <v>15221</v>
      </c>
      <c r="M228" t="s">
        <v>471</v>
      </c>
    </row>
    <row r="229" spans="12:13">
      <c r="L229" s="65">
        <v>15222</v>
      </c>
      <c r="M229" t="s">
        <v>472</v>
      </c>
    </row>
    <row r="230" spans="12:13">
      <c r="L230" s="65">
        <v>15223</v>
      </c>
      <c r="M230" t="s">
        <v>473</v>
      </c>
    </row>
    <row r="231" spans="12:13">
      <c r="L231" s="65">
        <v>15224</v>
      </c>
      <c r="M231" t="s">
        <v>474</v>
      </c>
    </row>
    <row r="232" spans="12:13">
      <c r="L232" s="65">
        <v>15225</v>
      </c>
      <c r="M232" t="s">
        <v>475</v>
      </c>
    </row>
    <row r="233" spans="12:13">
      <c r="L233" s="65">
        <v>15226</v>
      </c>
      <c r="M233" t="s">
        <v>476</v>
      </c>
    </row>
    <row r="234" spans="12:13">
      <c r="L234" s="65">
        <v>15227</v>
      </c>
      <c r="M234" t="s">
        <v>477</v>
      </c>
    </row>
    <row r="235" spans="12:13">
      <c r="L235" s="65">
        <v>15228</v>
      </c>
      <c r="M235" t="s">
        <v>478</v>
      </c>
    </row>
    <row r="236" spans="12:13">
      <c r="L236" s="65">
        <v>15229</v>
      </c>
      <c r="M236" t="s">
        <v>479</v>
      </c>
    </row>
    <row r="237" spans="12:13">
      <c r="L237" s="65">
        <v>15230</v>
      </c>
      <c r="M237" t="s">
        <v>480</v>
      </c>
    </row>
    <row r="238" spans="12:13">
      <c r="L238" s="65">
        <v>15231</v>
      </c>
      <c r="M238" t="s">
        <v>480</v>
      </c>
    </row>
    <row r="239" spans="12:13">
      <c r="L239" s="65">
        <v>15240</v>
      </c>
      <c r="M239" t="s">
        <v>481</v>
      </c>
    </row>
    <row r="240" spans="12:13">
      <c r="L240" s="65">
        <v>15241</v>
      </c>
      <c r="M240" t="s">
        <v>481</v>
      </c>
    </row>
    <row r="241" spans="12:13">
      <c r="L241" s="65">
        <v>15250</v>
      </c>
      <c r="M241" t="s">
        <v>482</v>
      </c>
    </row>
    <row r="242" spans="12:13">
      <c r="L242" s="65">
        <v>15251</v>
      </c>
      <c r="M242" t="s">
        <v>482</v>
      </c>
    </row>
    <row r="243" spans="12:13">
      <c r="L243" s="65">
        <v>15260</v>
      </c>
      <c r="M243" t="s">
        <v>483</v>
      </c>
    </row>
    <row r="244" spans="12:13">
      <c r="L244" s="65">
        <v>15261</v>
      </c>
      <c r="M244" t="s">
        <v>483</v>
      </c>
    </row>
    <row r="245" spans="12:13">
      <c r="L245" s="65">
        <v>15270</v>
      </c>
      <c r="M245" t="s">
        <v>484</v>
      </c>
    </row>
    <row r="246" spans="12:13">
      <c r="L246" s="65">
        <v>15271</v>
      </c>
      <c r="M246" t="s">
        <v>484</v>
      </c>
    </row>
    <row r="247" spans="12:13">
      <c r="L247" s="65">
        <v>15280</v>
      </c>
      <c r="M247" t="s">
        <v>485</v>
      </c>
    </row>
    <row r="248" spans="12:13">
      <c r="L248" s="65">
        <v>15281</v>
      </c>
      <c r="M248" t="s">
        <v>486</v>
      </c>
    </row>
    <row r="249" spans="12:13">
      <c r="L249" s="65">
        <v>15282</v>
      </c>
      <c r="M249" t="s">
        <v>487</v>
      </c>
    </row>
    <row r="250" spans="12:13">
      <c r="L250" s="65">
        <v>16000</v>
      </c>
      <c r="M250" t="s">
        <v>488</v>
      </c>
    </row>
    <row r="251" spans="12:13">
      <c r="L251" s="65">
        <v>16100</v>
      </c>
      <c r="M251" t="s">
        <v>488</v>
      </c>
    </row>
    <row r="252" spans="12:13">
      <c r="L252" s="65">
        <v>16110</v>
      </c>
      <c r="M252" t="s">
        <v>489</v>
      </c>
    </row>
    <row r="253" spans="12:13">
      <c r="L253" s="65">
        <v>16111</v>
      </c>
      <c r="M253" t="s">
        <v>489</v>
      </c>
    </row>
    <row r="254" spans="12:13">
      <c r="L254" s="65">
        <v>16117</v>
      </c>
      <c r="M254" t="s">
        <v>490</v>
      </c>
    </row>
    <row r="255" spans="12:13">
      <c r="L255" s="65">
        <v>16118</v>
      </c>
      <c r="M255" t="s">
        <v>491</v>
      </c>
    </row>
    <row r="256" spans="12:13">
      <c r="L256" s="65">
        <v>16119</v>
      </c>
      <c r="M256" t="s">
        <v>492</v>
      </c>
    </row>
    <row r="257" spans="12:13">
      <c r="L257" s="65">
        <v>16120</v>
      </c>
      <c r="M257" t="s">
        <v>493</v>
      </c>
    </row>
    <row r="258" spans="12:13">
      <c r="L258" s="65">
        <v>16121</v>
      </c>
      <c r="M258" t="s">
        <v>493</v>
      </c>
    </row>
    <row r="259" spans="12:13">
      <c r="L259" s="65">
        <v>16127</v>
      </c>
      <c r="M259" t="s">
        <v>494</v>
      </c>
    </row>
    <row r="260" spans="12:13">
      <c r="L260" s="65">
        <v>16128</v>
      </c>
      <c r="M260" t="s">
        <v>495</v>
      </c>
    </row>
    <row r="261" spans="12:13">
      <c r="L261" s="65">
        <v>16129</v>
      </c>
      <c r="M261" t="s">
        <v>496</v>
      </c>
    </row>
    <row r="262" spans="12:13">
      <c r="L262" s="65">
        <v>16130</v>
      </c>
      <c r="M262" t="s">
        <v>497</v>
      </c>
    </row>
    <row r="263" spans="12:13">
      <c r="L263" s="65">
        <v>16131</v>
      </c>
      <c r="M263" t="s">
        <v>497</v>
      </c>
    </row>
    <row r="264" spans="12:13">
      <c r="L264" s="65">
        <v>16137</v>
      </c>
      <c r="M264" t="s">
        <v>498</v>
      </c>
    </row>
    <row r="265" spans="12:13">
      <c r="L265" s="65">
        <v>16138</v>
      </c>
      <c r="M265" t="s">
        <v>499</v>
      </c>
    </row>
    <row r="266" spans="12:13">
      <c r="L266" s="65">
        <v>16139</v>
      </c>
      <c r="M266" t="s">
        <v>500</v>
      </c>
    </row>
    <row r="267" spans="12:13">
      <c r="L267" s="65">
        <v>16140</v>
      </c>
      <c r="M267" t="s">
        <v>501</v>
      </c>
    </row>
    <row r="268" spans="12:13">
      <c r="L268" s="65">
        <v>16141</v>
      </c>
      <c r="M268" t="s">
        <v>501</v>
      </c>
    </row>
    <row r="269" spans="12:13">
      <c r="L269" s="65">
        <v>16147</v>
      </c>
      <c r="M269" t="s">
        <v>502</v>
      </c>
    </row>
    <row r="270" spans="12:13">
      <c r="L270" s="65">
        <v>16148</v>
      </c>
      <c r="M270" t="s">
        <v>503</v>
      </c>
    </row>
    <row r="271" spans="12:13">
      <c r="L271" s="65">
        <v>16149</v>
      </c>
      <c r="M271" t="s">
        <v>504</v>
      </c>
    </row>
    <row r="272" spans="12:13">
      <c r="L272" s="65">
        <v>16150</v>
      </c>
      <c r="M272" t="s">
        <v>505</v>
      </c>
    </row>
    <row r="273" spans="12:13">
      <c r="L273" s="65">
        <v>16151</v>
      </c>
      <c r="M273" t="s">
        <v>505</v>
      </c>
    </row>
    <row r="274" spans="12:13">
      <c r="L274" s="65">
        <v>16157</v>
      </c>
      <c r="M274" t="s">
        <v>506</v>
      </c>
    </row>
    <row r="275" spans="12:13">
      <c r="L275" s="65">
        <v>16158</v>
      </c>
      <c r="M275" t="s">
        <v>507</v>
      </c>
    </row>
    <row r="276" spans="12:13">
      <c r="L276" s="65">
        <v>16159</v>
      </c>
      <c r="M276" t="s">
        <v>508</v>
      </c>
    </row>
    <row r="277" spans="12:13">
      <c r="L277" s="65">
        <v>16160</v>
      </c>
      <c r="M277" t="s">
        <v>509</v>
      </c>
    </row>
    <row r="278" spans="12:13">
      <c r="L278" s="65">
        <v>16161</v>
      </c>
      <c r="M278" t="s">
        <v>509</v>
      </c>
    </row>
    <row r="279" spans="12:13">
      <c r="L279" s="65">
        <v>16167</v>
      </c>
      <c r="M279" t="s">
        <v>510</v>
      </c>
    </row>
    <row r="280" spans="12:13">
      <c r="L280" s="65">
        <v>16168</v>
      </c>
      <c r="M280" t="s">
        <v>511</v>
      </c>
    </row>
    <row r="281" spans="12:13">
      <c r="L281" s="65">
        <v>16169</v>
      </c>
      <c r="M281" t="s">
        <v>512</v>
      </c>
    </row>
    <row r="282" spans="12:13">
      <c r="L282" s="65">
        <v>16170</v>
      </c>
      <c r="M282" t="s">
        <v>513</v>
      </c>
    </row>
    <row r="283" spans="12:13">
      <c r="L283" s="65">
        <v>16171</v>
      </c>
      <c r="M283" t="s">
        <v>513</v>
      </c>
    </row>
    <row r="284" spans="12:13">
      <c r="L284" s="65">
        <v>16177</v>
      </c>
      <c r="M284" t="s">
        <v>514</v>
      </c>
    </row>
    <row r="285" spans="12:13">
      <c r="L285" s="65">
        <v>16178</v>
      </c>
      <c r="M285" t="s">
        <v>515</v>
      </c>
    </row>
    <row r="286" spans="12:13">
      <c r="L286" s="65">
        <v>16179</v>
      </c>
      <c r="M286" t="s">
        <v>516</v>
      </c>
    </row>
    <row r="287" spans="12:13">
      <c r="L287" s="65">
        <v>16180</v>
      </c>
      <c r="M287" t="s">
        <v>517</v>
      </c>
    </row>
    <row r="288" spans="12:13">
      <c r="L288" s="65">
        <v>16181</v>
      </c>
      <c r="M288" t="s">
        <v>517</v>
      </c>
    </row>
    <row r="289" spans="12:13">
      <c r="L289" s="65">
        <v>16190</v>
      </c>
      <c r="M289" t="s">
        <v>518</v>
      </c>
    </row>
    <row r="290" spans="12:13">
      <c r="L290" s="65">
        <v>16191</v>
      </c>
      <c r="M290" t="s">
        <v>518</v>
      </c>
    </row>
    <row r="291" spans="12:13">
      <c r="L291" s="65">
        <v>20000</v>
      </c>
      <c r="M291" t="s">
        <v>519</v>
      </c>
    </row>
    <row r="292" spans="12:13">
      <c r="L292" s="65">
        <v>21000</v>
      </c>
      <c r="M292" t="s">
        <v>520</v>
      </c>
    </row>
    <row r="293" spans="12:13">
      <c r="L293" s="65">
        <v>21100</v>
      </c>
      <c r="M293" t="s">
        <v>521</v>
      </c>
    </row>
    <row r="294" spans="12:13">
      <c r="L294" s="65">
        <v>21110</v>
      </c>
      <c r="M294" t="s">
        <v>521</v>
      </c>
    </row>
    <row r="295" spans="12:13">
      <c r="L295" s="65">
        <v>21111</v>
      </c>
      <c r="M295" t="s">
        <v>521</v>
      </c>
    </row>
    <row r="296" spans="12:13">
      <c r="L296" s="65">
        <v>21117</v>
      </c>
      <c r="M296" t="s">
        <v>522</v>
      </c>
    </row>
    <row r="297" spans="12:13">
      <c r="L297" s="65">
        <v>21118</v>
      </c>
      <c r="M297" t="s">
        <v>523</v>
      </c>
    </row>
    <row r="298" spans="12:13">
      <c r="L298" s="65">
        <v>21119</v>
      </c>
      <c r="M298" t="s">
        <v>524</v>
      </c>
    </row>
    <row r="299" spans="12:13">
      <c r="L299" s="65">
        <v>21200</v>
      </c>
      <c r="M299" t="s">
        <v>525</v>
      </c>
    </row>
    <row r="300" spans="12:13">
      <c r="L300" s="65">
        <v>21210</v>
      </c>
      <c r="M300" t="s">
        <v>526</v>
      </c>
    </row>
    <row r="301" spans="12:13">
      <c r="L301" s="65">
        <v>21211</v>
      </c>
      <c r="M301" t="s">
        <v>526</v>
      </c>
    </row>
    <row r="302" spans="12:13">
      <c r="L302" s="65">
        <v>21220</v>
      </c>
      <c r="M302" t="s">
        <v>527</v>
      </c>
    </row>
    <row r="303" spans="12:13">
      <c r="L303" s="65">
        <v>21221</v>
      </c>
      <c r="M303" t="s">
        <v>527</v>
      </c>
    </row>
    <row r="304" spans="12:13">
      <c r="L304" s="65">
        <v>21230</v>
      </c>
      <c r="M304" t="s">
        <v>528</v>
      </c>
    </row>
    <row r="305" spans="12:13">
      <c r="L305" s="65">
        <v>21231</v>
      </c>
      <c r="M305" t="s">
        <v>528</v>
      </c>
    </row>
    <row r="306" spans="12:13">
      <c r="L306" s="65">
        <v>21300</v>
      </c>
      <c r="M306" t="s">
        <v>529</v>
      </c>
    </row>
    <row r="307" spans="12:13">
      <c r="L307" s="65">
        <v>21310</v>
      </c>
      <c r="M307" t="s">
        <v>529</v>
      </c>
    </row>
    <row r="308" spans="12:13">
      <c r="L308" s="65">
        <v>21311</v>
      </c>
      <c r="M308" t="s">
        <v>530</v>
      </c>
    </row>
    <row r="309" spans="12:13">
      <c r="L309" s="65">
        <v>21312</v>
      </c>
      <c r="M309" t="s">
        <v>531</v>
      </c>
    </row>
    <row r="310" spans="12:13">
      <c r="L310" s="65">
        <v>21313</v>
      </c>
      <c r="M310" t="s">
        <v>532</v>
      </c>
    </row>
    <row r="311" spans="12:13">
      <c r="L311" s="65">
        <v>21314</v>
      </c>
      <c r="M311" t="s">
        <v>533</v>
      </c>
    </row>
    <row r="312" spans="12:13">
      <c r="L312" s="65">
        <v>21319</v>
      </c>
      <c r="M312" t="s">
        <v>534</v>
      </c>
    </row>
    <row r="313" spans="12:13">
      <c r="L313" s="65">
        <v>22000</v>
      </c>
      <c r="M313" t="s">
        <v>535</v>
      </c>
    </row>
    <row r="314" spans="12:13">
      <c r="L314" s="65">
        <v>22100</v>
      </c>
      <c r="M314" t="s">
        <v>536</v>
      </c>
    </row>
    <row r="315" spans="12:13">
      <c r="L315" s="65">
        <v>22110</v>
      </c>
      <c r="M315" t="s">
        <v>536</v>
      </c>
    </row>
    <row r="316" spans="12:13">
      <c r="L316" s="65">
        <v>22111</v>
      </c>
      <c r="M316" t="s">
        <v>536</v>
      </c>
    </row>
    <row r="317" spans="12:13">
      <c r="L317" s="65">
        <v>22120</v>
      </c>
      <c r="M317" t="s">
        <v>537</v>
      </c>
    </row>
    <row r="318" spans="12:13">
      <c r="L318" s="65">
        <v>22121</v>
      </c>
      <c r="M318" t="s">
        <v>537</v>
      </c>
    </row>
    <row r="319" spans="12:13">
      <c r="L319" s="65">
        <v>22129</v>
      </c>
      <c r="M319" t="s">
        <v>538</v>
      </c>
    </row>
    <row r="320" spans="12:13">
      <c r="L320" s="65">
        <v>22200</v>
      </c>
      <c r="M320" t="s">
        <v>539</v>
      </c>
    </row>
    <row r="321" spans="12:13">
      <c r="L321" s="65">
        <v>22210</v>
      </c>
      <c r="M321" t="s">
        <v>540</v>
      </c>
    </row>
    <row r="322" spans="12:13">
      <c r="L322" s="65">
        <v>22211</v>
      </c>
      <c r="M322" t="s">
        <v>541</v>
      </c>
    </row>
    <row r="323" spans="12:13">
      <c r="L323" s="65">
        <v>22220</v>
      </c>
      <c r="M323" t="s">
        <v>542</v>
      </c>
    </row>
    <row r="324" spans="12:13">
      <c r="L324" s="65">
        <v>22221</v>
      </c>
      <c r="M324" t="s">
        <v>543</v>
      </c>
    </row>
    <row r="325" spans="12:13">
      <c r="L325" s="65">
        <v>22222</v>
      </c>
      <c r="M325" t="s">
        <v>544</v>
      </c>
    </row>
    <row r="326" spans="12:13">
      <c r="L326" s="65">
        <v>22230</v>
      </c>
      <c r="M326" t="s">
        <v>545</v>
      </c>
    </row>
    <row r="327" spans="12:13">
      <c r="L327" s="65">
        <v>22231</v>
      </c>
      <c r="M327" t="s">
        <v>546</v>
      </c>
    </row>
    <row r="328" spans="12:13">
      <c r="L328" s="65">
        <v>22232</v>
      </c>
      <c r="M328" t="s">
        <v>547</v>
      </c>
    </row>
    <row r="329" spans="12:13">
      <c r="L329" s="65">
        <v>22233</v>
      </c>
      <c r="M329" t="s">
        <v>548</v>
      </c>
    </row>
    <row r="330" spans="12:13">
      <c r="L330" s="65">
        <v>22234</v>
      </c>
      <c r="M330" t="s">
        <v>549</v>
      </c>
    </row>
    <row r="331" spans="12:13">
      <c r="L331" s="65">
        <v>22235</v>
      </c>
      <c r="M331" t="s">
        <v>550</v>
      </c>
    </row>
    <row r="332" spans="12:13">
      <c r="L332" s="65">
        <v>22236</v>
      </c>
      <c r="M332" t="s">
        <v>551</v>
      </c>
    </row>
    <row r="333" spans="12:13">
      <c r="L333" s="65">
        <v>22237</v>
      </c>
      <c r="M333" t="s">
        <v>552</v>
      </c>
    </row>
    <row r="334" spans="12:13">
      <c r="L334" s="65">
        <v>22238</v>
      </c>
      <c r="M334" t="s">
        <v>553</v>
      </c>
    </row>
    <row r="335" spans="12:13">
      <c r="L335" s="65">
        <v>22239</v>
      </c>
      <c r="M335" t="s">
        <v>554</v>
      </c>
    </row>
    <row r="336" spans="12:13">
      <c r="L336" s="65">
        <v>22290</v>
      </c>
      <c r="M336" t="s">
        <v>555</v>
      </c>
    </row>
    <row r="337" spans="12:13">
      <c r="L337" s="65">
        <v>22291</v>
      </c>
      <c r="M337" t="s">
        <v>556</v>
      </c>
    </row>
    <row r="338" spans="12:13">
      <c r="L338" s="65">
        <v>22292</v>
      </c>
      <c r="M338" t="s">
        <v>557</v>
      </c>
    </row>
    <row r="339" spans="12:13">
      <c r="L339" s="65">
        <v>22293</v>
      </c>
      <c r="M339" t="s">
        <v>558</v>
      </c>
    </row>
    <row r="340" spans="12:13">
      <c r="L340" s="66">
        <v>100000</v>
      </c>
      <c r="M340" t="s">
        <v>559</v>
      </c>
    </row>
    <row r="341" spans="12:13">
      <c r="L341" s="65">
        <v>110000</v>
      </c>
      <c r="M341" t="s">
        <v>560</v>
      </c>
    </row>
    <row r="342" spans="12:13">
      <c r="L342" s="65">
        <v>111000</v>
      </c>
      <c r="M342" t="s">
        <v>561</v>
      </c>
    </row>
    <row r="343" spans="12:13">
      <c r="L343" s="65">
        <v>111100</v>
      </c>
      <c r="M343" t="s">
        <v>562</v>
      </c>
    </row>
    <row r="344" spans="12:13">
      <c r="L344" s="65">
        <v>111110</v>
      </c>
      <c r="M344" t="s">
        <v>563</v>
      </c>
    </row>
    <row r="345" spans="12:13">
      <c r="L345" s="65">
        <v>111111</v>
      </c>
      <c r="M345" t="s">
        <v>563</v>
      </c>
    </row>
    <row r="346" spans="12:13">
      <c r="L346" s="65">
        <v>111190</v>
      </c>
      <c r="M346" t="s">
        <v>564</v>
      </c>
    </row>
    <row r="347" spans="12:13">
      <c r="L347" s="65">
        <v>111191</v>
      </c>
      <c r="M347" t="s">
        <v>564</v>
      </c>
    </row>
    <row r="348" spans="12:13">
      <c r="L348" s="65">
        <v>111200</v>
      </c>
      <c r="M348" t="s">
        <v>565</v>
      </c>
    </row>
    <row r="349" spans="12:13">
      <c r="L349" s="65">
        <v>111210</v>
      </c>
      <c r="M349" t="s">
        <v>566</v>
      </c>
    </row>
    <row r="350" spans="12:13">
      <c r="L350" s="65">
        <v>111211</v>
      </c>
      <c r="M350" t="s">
        <v>566</v>
      </c>
    </row>
    <row r="351" spans="12:13">
      <c r="L351" s="65">
        <v>111220</v>
      </c>
      <c r="M351" t="s">
        <v>567</v>
      </c>
    </row>
    <row r="352" spans="12:13">
      <c r="L352" s="65">
        <v>111221</v>
      </c>
      <c r="M352" t="s">
        <v>567</v>
      </c>
    </row>
    <row r="353" spans="12:13">
      <c r="L353" s="65">
        <v>111230</v>
      </c>
      <c r="M353" t="s">
        <v>568</v>
      </c>
    </row>
    <row r="354" spans="12:13">
      <c r="L354" s="65">
        <v>111231</v>
      </c>
      <c r="M354" t="s">
        <v>568</v>
      </c>
    </row>
    <row r="355" spans="12:13">
      <c r="L355" s="65">
        <v>111240</v>
      </c>
      <c r="M355" t="s">
        <v>569</v>
      </c>
    </row>
    <row r="356" spans="12:13">
      <c r="L356" s="65">
        <v>111241</v>
      </c>
      <c r="M356" t="s">
        <v>569</v>
      </c>
    </row>
    <row r="357" spans="12:13">
      <c r="L357" s="65">
        <v>111250</v>
      </c>
      <c r="M357" t="s">
        <v>570</v>
      </c>
    </row>
    <row r="358" spans="12:13">
      <c r="L358" s="65">
        <v>111251</v>
      </c>
      <c r="M358" t="s">
        <v>571</v>
      </c>
    </row>
    <row r="359" spans="12:13">
      <c r="L359" s="65">
        <v>111252</v>
      </c>
      <c r="M359" t="s">
        <v>572</v>
      </c>
    </row>
    <row r="360" spans="12:13">
      <c r="L360" s="65">
        <v>111255</v>
      </c>
      <c r="M360" t="s">
        <v>573</v>
      </c>
    </row>
    <row r="361" spans="12:13">
      <c r="L361" s="65">
        <v>111290</v>
      </c>
      <c r="M361" t="s">
        <v>574</v>
      </c>
    </row>
    <row r="362" spans="12:13">
      <c r="L362" s="65">
        <v>111291</v>
      </c>
      <c r="M362" t="s">
        <v>575</v>
      </c>
    </row>
    <row r="363" spans="12:13">
      <c r="L363" s="65">
        <v>111292</v>
      </c>
      <c r="M363" t="s">
        <v>576</v>
      </c>
    </row>
    <row r="364" spans="12:13">
      <c r="L364" s="65">
        <v>111293</v>
      </c>
      <c r="M364" t="s">
        <v>577</v>
      </c>
    </row>
    <row r="365" spans="12:13">
      <c r="L365" s="65">
        <v>111294</v>
      </c>
      <c r="M365" t="s">
        <v>578</v>
      </c>
    </row>
    <row r="366" spans="12:13">
      <c r="L366" s="65">
        <v>111295</v>
      </c>
      <c r="M366" t="s">
        <v>579</v>
      </c>
    </row>
    <row r="367" spans="12:13">
      <c r="L367" s="65">
        <v>111300</v>
      </c>
      <c r="M367" t="s">
        <v>580</v>
      </c>
    </row>
    <row r="368" spans="12:13">
      <c r="L368" s="65">
        <v>111310</v>
      </c>
      <c r="M368" t="s">
        <v>581</v>
      </c>
    </row>
    <row r="369" spans="12:13">
      <c r="L369" s="65">
        <v>111311</v>
      </c>
      <c r="M369" t="s">
        <v>581</v>
      </c>
    </row>
    <row r="370" spans="12:13">
      <c r="L370" s="65">
        <v>111380</v>
      </c>
      <c r="M370" t="s">
        <v>582</v>
      </c>
    </row>
    <row r="371" spans="12:13">
      <c r="L371" s="65">
        <v>111381</v>
      </c>
      <c r="M371" t="s">
        <v>582</v>
      </c>
    </row>
    <row r="372" spans="12:13">
      <c r="L372" s="65">
        <v>111390</v>
      </c>
      <c r="M372" t="s">
        <v>583</v>
      </c>
    </row>
    <row r="373" spans="12:13">
      <c r="L373" s="65">
        <v>111391</v>
      </c>
      <c r="M373" t="s">
        <v>584</v>
      </c>
    </row>
    <row r="374" spans="12:13">
      <c r="L374" s="65">
        <v>111398</v>
      </c>
      <c r="M374" t="s">
        <v>585</v>
      </c>
    </row>
    <row r="375" spans="12:13">
      <c r="L375" s="65">
        <v>111400</v>
      </c>
      <c r="M375" t="s">
        <v>586</v>
      </c>
    </row>
    <row r="376" spans="12:13">
      <c r="L376" s="65">
        <v>111410</v>
      </c>
      <c r="M376" t="s">
        <v>587</v>
      </c>
    </row>
    <row r="377" spans="12:13">
      <c r="L377" s="65">
        <v>111411</v>
      </c>
      <c r="M377" t="s">
        <v>587</v>
      </c>
    </row>
    <row r="378" spans="12:13">
      <c r="L378" s="65">
        <v>111490</v>
      </c>
      <c r="M378" t="s">
        <v>588</v>
      </c>
    </row>
    <row r="379" spans="12:13">
      <c r="L379" s="65">
        <v>111491</v>
      </c>
      <c r="M379" t="s">
        <v>588</v>
      </c>
    </row>
    <row r="380" spans="12:13">
      <c r="L380" s="65">
        <v>111500</v>
      </c>
      <c r="M380" t="s">
        <v>589</v>
      </c>
    </row>
    <row r="381" spans="12:13">
      <c r="L381" s="65">
        <v>111510</v>
      </c>
      <c r="M381" t="s">
        <v>589</v>
      </c>
    </row>
    <row r="382" spans="12:13">
      <c r="L382" s="65">
        <v>111511</v>
      </c>
      <c r="M382" t="s">
        <v>589</v>
      </c>
    </row>
    <row r="383" spans="12:13">
      <c r="L383" s="65">
        <v>111590</v>
      </c>
      <c r="M383" t="s">
        <v>590</v>
      </c>
    </row>
    <row r="384" spans="12:13">
      <c r="L384" s="65">
        <v>111591</v>
      </c>
      <c r="M384" t="s">
        <v>590</v>
      </c>
    </row>
    <row r="385" spans="12:13">
      <c r="L385" s="65">
        <v>111600</v>
      </c>
      <c r="M385" t="s">
        <v>591</v>
      </c>
    </row>
    <row r="386" spans="12:13">
      <c r="L386" s="65">
        <v>111610</v>
      </c>
      <c r="M386" t="s">
        <v>591</v>
      </c>
    </row>
    <row r="387" spans="12:13">
      <c r="L387" s="65">
        <v>111611</v>
      </c>
      <c r="M387" t="s">
        <v>592</v>
      </c>
    </row>
    <row r="388" spans="12:13">
      <c r="L388" s="65">
        <v>111612</v>
      </c>
      <c r="M388" t="s">
        <v>593</v>
      </c>
    </row>
    <row r="389" spans="12:13">
      <c r="L389" s="65">
        <v>111613</v>
      </c>
      <c r="M389" t="s">
        <v>594</v>
      </c>
    </row>
    <row r="390" spans="12:13">
      <c r="L390" s="65">
        <v>111690</v>
      </c>
      <c r="M390" t="s">
        <v>595</v>
      </c>
    </row>
    <row r="391" spans="12:13">
      <c r="L391" s="65">
        <v>111691</v>
      </c>
      <c r="M391" t="s">
        <v>595</v>
      </c>
    </row>
    <row r="392" spans="12:13">
      <c r="L392" s="65">
        <v>111700</v>
      </c>
      <c r="M392" t="s">
        <v>596</v>
      </c>
    </row>
    <row r="393" spans="12:13">
      <c r="L393" s="65">
        <v>111710</v>
      </c>
      <c r="M393" t="s">
        <v>597</v>
      </c>
    </row>
    <row r="394" spans="12:13">
      <c r="L394" s="65">
        <v>111711</v>
      </c>
      <c r="M394" t="s">
        <v>597</v>
      </c>
    </row>
    <row r="395" spans="12:13">
      <c r="L395" s="65">
        <v>111712</v>
      </c>
      <c r="M395" t="s">
        <v>598</v>
      </c>
    </row>
    <row r="396" spans="12:13">
      <c r="L396" s="65">
        <v>111790</v>
      </c>
      <c r="M396" t="s">
        <v>599</v>
      </c>
    </row>
    <row r="397" spans="12:13">
      <c r="L397" s="65">
        <v>111791</v>
      </c>
      <c r="M397" t="s">
        <v>599</v>
      </c>
    </row>
    <row r="398" spans="12:13">
      <c r="L398" s="65">
        <v>111800</v>
      </c>
      <c r="M398" t="s">
        <v>600</v>
      </c>
    </row>
    <row r="399" spans="12:13">
      <c r="L399" s="65">
        <v>111810</v>
      </c>
      <c r="M399" t="s">
        <v>600</v>
      </c>
    </row>
    <row r="400" spans="12:13">
      <c r="L400" s="65">
        <v>111811</v>
      </c>
      <c r="M400" t="s">
        <v>600</v>
      </c>
    </row>
    <row r="401" spans="12:13">
      <c r="L401" s="65">
        <v>111890</v>
      </c>
      <c r="M401" t="s">
        <v>601</v>
      </c>
    </row>
    <row r="402" spans="12:13">
      <c r="L402" s="65">
        <v>111891</v>
      </c>
      <c r="M402" t="s">
        <v>601</v>
      </c>
    </row>
    <row r="403" spans="12:13">
      <c r="L403" s="65">
        <v>111900</v>
      </c>
      <c r="M403" t="s">
        <v>602</v>
      </c>
    </row>
    <row r="404" spans="12:13">
      <c r="L404" s="65">
        <v>111910</v>
      </c>
      <c r="M404" t="s">
        <v>603</v>
      </c>
    </row>
    <row r="405" spans="12:13">
      <c r="L405" s="65">
        <v>111911</v>
      </c>
      <c r="M405" t="s">
        <v>603</v>
      </c>
    </row>
    <row r="406" spans="12:13">
      <c r="L406" s="65">
        <v>111920</v>
      </c>
      <c r="M406" t="s">
        <v>604</v>
      </c>
    </row>
    <row r="407" spans="12:13">
      <c r="L407" s="65">
        <v>111921</v>
      </c>
      <c r="M407" t="s">
        <v>605</v>
      </c>
    </row>
    <row r="408" spans="12:13">
      <c r="L408" s="65">
        <v>111922</v>
      </c>
      <c r="M408" t="s">
        <v>606</v>
      </c>
    </row>
    <row r="409" spans="12:13">
      <c r="L409" s="65">
        <v>111930</v>
      </c>
      <c r="M409" t="s">
        <v>607</v>
      </c>
    </row>
    <row r="410" spans="12:13">
      <c r="L410" s="65">
        <v>111931</v>
      </c>
      <c r="M410" t="s">
        <v>607</v>
      </c>
    </row>
    <row r="411" spans="12:13">
      <c r="L411" s="65">
        <v>111940</v>
      </c>
      <c r="M411" t="s">
        <v>608</v>
      </c>
    </row>
    <row r="412" spans="12:13">
      <c r="L412" s="65">
        <v>111941</v>
      </c>
      <c r="M412" t="s">
        <v>608</v>
      </c>
    </row>
    <row r="413" spans="12:13">
      <c r="L413" s="65">
        <v>111990</v>
      </c>
      <c r="M413" t="s">
        <v>609</v>
      </c>
    </row>
    <row r="414" spans="12:13">
      <c r="L414" s="65">
        <v>111991</v>
      </c>
      <c r="M414" t="s">
        <v>610</v>
      </c>
    </row>
    <row r="415" spans="12:13">
      <c r="L415" s="65">
        <v>111992</v>
      </c>
      <c r="M415" t="s">
        <v>611</v>
      </c>
    </row>
    <row r="416" spans="12:13">
      <c r="L416" s="65">
        <v>111993</v>
      </c>
      <c r="M416" t="s">
        <v>612</v>
      </c>
    </row>
    <row r="417" spans="12:13">
      <c r="L417" s="65">
        <v>111994</v>
      </c>
      <c r="M417" t="s">
        <v>613</v>
      </c>
    </row>
    <row r="418" spans="12:13">
      <c r="L418" s="65">
        <v>112000</v>
      </c>
      <c r="M418" t="s">
        <v>614</v>
      </c>
    </row>
    <row r="419" spans="12:13">
      <c r="L419" s="65">
        <v>112100</v>
      </c>
      <c r="M419" t="s">
        <v>615</v>
      </c>
    </row>
    <row r="420" spans="12:13">
      <c r="L420" s="65">
        <v>112110</v>
      </c>
      <c r="M420" t="s">
        <v>615</v>
      </c>
    </row>
    <row r="421" spans="12:13">
      <c r="L421" s="65">
        <v>112111</v>
      </c>
      <c r="M421" t="s">
        <v>615</v>
      </c>
    </row>
    <row r="422" spans="12:13">
      <c r="L422" s="65">
        <v>112190</v>
      </c>
      <c r="M422" t="s">
        <v>616</v>
      </c>
    </row>
    <row r="423" spans="12:13">
      <c r="L423" s="65">
        <v>112191</v>
      </c>
      <c r="M423" t="s">
        <v>616</v>
      </c>
    </row>
    <row r="424" spans="12:13">
      <c r="L424" s="65">
        <v>112200</v>
      </c>
      <c r="M424" t="s">
        <v>617</v>
      </c>
    </row>
    <row r="425" spans="12:13">
      <c r="L425" s="65">
        <v>112210</v>
      </c>
      <c r="M425" t="s">
        <v>617</v>
      </c>
    </row>
    <row r="426" spans="12:13">
      <c r="L426" s="65">
        <v>112211</v>
      </c>
      <c r="M426" t="s">
        <v>617</v>
      </c>
    </row>
    <row r="427" spans="12:13">
      <c r="L427" s="65">
        <v>112290</v>
      </c>
      <c r="M427" t="s">
        <v>618</v>
      </c>
    </row>
    <row r="428" spans="12:13">
      <c r="L428" s="65">
        <v>112291</v>
      </c>
      <c r="M428" t="s">
        <v>618</v>
      </c>
    </row>
    <row r="429" spans="12:13">
      <c r="L429" s="65">
        <v>112300</v>
      </c>
      <c r="M429" t="s">
        <v>619</v>
      </c>
    </row>
    <row r="430" spans="12:13">
      <c r="L430" s="65">
        <v>112310</v>
      </c>
      <c r="M430" t="s">
        <v>619</v>
      </c>
    </row>
    <row r="431" spans="12:13">
      <c r="L431" s="65">
        <v>112311</v>
      </c>
      <c r="M431" t="s">
        <v>619</v>
      </c>
    </row>
    <row r="432" spans="12:13">
      <c r="L432" s="65">
        <v>112390</v>
      </c>
      <c r="M432" t="s">
        <v>620</v>
      </c>
    </row>
    <row r="433" spans="12:13">
      <c r="L433" s="65">
        <v>112391</v>
      </c>
      <c r="M433" t="s">
        <v>620</v>
      </c>
    </row>
    <row r="434" spans="12:13">
      <c r="L434" s="65">
        <v>112400</v>
      </c>
      <c r="M434" t="s">
        <v>621</v>
      </c>
    </row>
    <row r="435" spans="12:13">
      <c r="L435" s="65">
        <v>112410</v>
      </c>
      <c r="M435" t="s">
        <v>621</v>
      </c>
    </row>
    <row r="436" spans="12:13">
      <c r="L436" s="65">
        <v>112411</v>
      </c>
      <c r="M436" t="s">
        <v>621</v>
      </c>
    </row>
    <row r="437" spans="12:13">
      <c r="L437" s="65">
        <v>112490</v>
      </c>
      <c r="M437" t="s">
        <v>622</v>
      </c>
    </row>
    <row r="438" spans="12:13">
      <c r="L438" s="65">
        <v>112491</v>
      </c>
      <c r="M438" t="s">
        <v>622</v>
      </c>
    </row>
    <row r="439" spans="12:13">
      <c r="L439" s="65">
        <v>112500</v>
      </c>
      <c r="M439" t="s">
        <v>623</v>
      </c>
    </row>
    <row r="440" spans="12:13">
      <c r="L440" s="65">
        <v>112510</v>
      </c>
      <c r="M440" t="s">
        <v>623</v>
      </c>
    </row>
    <row r="441" spans="12:13">
      <c r="L441" s="65">
        <v>112511</v>
      </c>
      <c r="M441" t="s">
        <v>623</v>
      </c>
    </row>
    <row r="442" spans="12:13">
      <c r="L442" s="65">
        <v>112590</v>
      </c>
      <c r="M442" t="s">
        <v>624</v>
      </c>
    </row>
    <row r="443" spans="12:13">
      <c r="L443" s="65">
        <v>112591</v>
      </c>
      <c r="M443" t="s">
        <v>624</v>
      </c>
    </row>
    <row r="444" spans="12:13">
      <c r="L444" s="65">
        <v>112600</v>
      </c>
      <c r="M444" t="s">
        <v>625</v>
      </c>
    </row>
    <row r="445" spans="12:13">
      <c r="L445" s="65">
        <v>112610</v>
      </c>
      <c r="M445" t="s">
        <v>625</v>
      </c>
    </row>
    <row r="446" spans="12:13">
      <c r="L446" s="65">
        <v>112611</v>
      </c>
      <c r="M446" t="s">
        <v>626</v>
      </c>
    </row>
    <row r="447" spans="12:13">
      <c r="L447" s="65">
        <v>112612</v>
      </c>
      <c r="M447" t="s">
        <v>627</v>
      </c>
    </row>
    <row r="448" spans="12:13">
      <c r="L448" s="65">
        <v>112690</v>
      </c>
      <c r="M448" t="s">
        <v>628</v>
      </c>
    </row>
    <row r="449" spans="12:13">
      <c r="L449" s="65">
        <v>112691</v>
      </c>
      <c r="M449" t="s">
        <v>628</v>
      </c>
    </row>
    <row r="450" spans="12:13">
      <c r="L450" s="65">
        <v>112700</v>
      </c>
      <c r="M450" t="s">
        <v>629</v>
      </c>
    </row>
    <row r="451" spans="12:13">
      <c r="L451" s="65">
        <v>112710</v>
      </c>
      <c r="M451" t="s">
        <v>630</v>
      </c>
    </row>
    <row r="452" spans="12:13">
      <c r="L452" s="65">
        <v>112711</v>
      </c>
      <c r="M452" t="s">
        <v>630</v>
      </c>
    </row>
    <row r="453" spans="12:13">
      <c r="L453" s="65">
        <v>112720</v>
      </c>
      <c r="M453" t="s">
        <v>631</v>
      </c>
    </row>
    <row r="454" spans="12:13">
      <c r="L454" s="65">
        <v>112721</v>
      </c>
      <c r="M454" t="s">
        <v>631</v>
      </c>
    </row>
    <row r="455" spans="12:13">
      <c r="L455" s="65">
        <v>112790</v>
      </c>
      <c r="M455" t="s">
        <v>632</v>
      </c>
    </row>
    <row r="456" spans="12:13">
      <c r="L456" s="65">
        <v>112791</v>
      </c>
      <c r="M456" t="s">
        <v>633</v>
      </c>
    </row>
    <row r="457" spans="12:13">
      <c r="L457" s="65">
        <v>112792</v>
      </c>
      <c r="M457" t="s">
        <v>634</v>
      </c>
    </row>
    <row r="458" spans="12:13">
      <c r="L458" s="65">
        <v>112800</v>
      </c>
      <c r="M458" t="s">
        <v>635</v>
      </c>
    </row>
    <row r="459" spans="12:13">
      <c r="L459" s="65">
        <v>112810</v>
      </c>
      <c r="M459" t="s">
        <v>635</v>
      </c>
    </row>
    <row r="460" spans="12:13">
      <c r="L460" s="65">
        <v>112811</v>
      </c>
      <c r="M460" t="s">
        <v>635</v>
      </c>
    </row>
    <row r="461" spans="12:13">
      <c r="L461" s="65">
        <v>120000</v>
      </c>
      <c r="M461" t="s">
        <v>636</v>
      </c>
    </row>
    <row r="462" spans="12:13">
      <c r="L462" s="65">
        <v>121000</v>
      </c>
      <c r="M462" t="s">
        <v>637</v>
      </c>
    </row>
    <row r="463" spans="12:13">
      <c r="L463" s="65">
        <v>121100</v>
      </c>
      <c r="M463" t="s">
        <v>638</v>
      </c>
    </row>
    <row r="464" spans="12:13">
      <c r="L464" s="65">
        <v>121110</v>
      </c>
      <c r="M464" t="s">
        <v>638</v>
      </c>
    </row>
    <row r="465" spans="12:13">
      <c r="L465" s="65">
        <v>121111</v>
      </c>
      <c r="M465" t="s">
        <v>639</v>
      </c>
    </row>
    <row r="466" spans="12:13">
      <c r="L466" s="65">
        <v>121112</v>
      </c>
      <c r="M466" t="s">
        <v>640</v>
      </c>
    </row>
    <row r="467" spans="12:13">
      <c r="L467" s="65">
        <v>121113</v>
      </c>
      <c r="M467" t="s">
        <v>641</v>
      </c>
    </row>
    <row r="468" spans="12:13">
      <c r="L468" s="65">
        <v>121200</v>
      </c>
      <c r="M468" t="s">
        <v>642</v>
      </c>
    </row>
    <row r="469" spans="12:13">
      <c r="L469" s="65">
        <v>121210</v>
      </c>
      <c r="M469" t="s">
        <v>642</v>
      </c>
    </row>
    <row r="470" spans="12:13">
      <c r="L470" s="65">
        <v>121211</v>
      </c>
      <c r="M470" t="s">
        <v>643</v>
      </c>
    </row>
    <row r="471" spans="12:13">
      <c r="L471" s="65">
        <v>121212</v>
      </c>
      <c r="M471" t="s">
        <v>644</v>
      </c>
    </row>
    <row r="472" spans="12:13">
      <c r="L472" s="65">
        <v>121213</v>
      </c>
      <c r="M472" t="s">
        <v>645</v>
      </c>
    </row>
    <row r="473" spans="12:13">
      <c r="L473" s="65">
        <v>121214</v>
      </c>
      <c r="M473" t="s">
        <v>646</v>
      </c>
    </row>
    <row r="474" spans="12:13">
      <c r="L474" s="65">
        <v>121215</v>
      </c>
      <c r="M474" t="s">
        <v>647</v>
      </c>
    </row>
    <row r="475" spans="12:13">
      <c r="L475" s="65">
        <v>121216</v>
      </c>
      <c r="M475" t="s">
        <v>648</v>
      </c>
    </row>
    <row r="476" spans="12:13">
      <c r="L476" s="65">
        <v>121217</v>
      </c>
      <c r="M476" t="s">
        <v>649</v>
      </c>
    </row>
    <row r="477" spans="12:13">
      <c r="L477" s="65">
        <v>121218</v>
      </c>
      <c r="M477" t="s">
        <v>650</v>
      </c>
    </row>
    <row r="478" spans="12:13">
      <c r="L478" s="65">
        <v>121219</v>
      </c>
      <c r="M478" t="s">
        <v>651</v>
      </c>
    </row>
    <row r="479" spans="12:13">
      <c r="L479" s="65">
        <v>121300</v>
      </c>
      <c r="M479" t="s">
        <v>652</v>
      </c>
    </row>
    <row r="480" spans="12:13">
      <c r="L480" s="65">
        <v>121310</v>
      </c>
      <c r="M480" t="s">
        <v>652</v>
      </c>
    </row>
    <row r="481" spans="12:13">
      <c r="L481" s="65">
        <v>121311</v>
      </c>
      <c r="M481" t="s">
        <v>653</v>
      </c>
    </row>
    <row r="482" spans="12:13">
      <c r="L482" s="65">
        <v>121312</v>
      </c>
      <c r="M482" t="s">
        <v>654</v>
      </c>
    </row>
    <row r="483" spans="12:13">
      <c r="L483" s="65">
        <v>121313</v>
      </c>
      <c r="M483" t="s">
        <v>655</v>
      </c>
    </row>
    <row r="484" spans="12:13">
      <c r="L484" s="65">
        <v>121314</v>
      </c>
      <c r="M484" t="s">
        <v>656</v>
      </c>
    </row>
    <row r="485" spans="12:13">
      <c r="L485" s="65">
        <v>121315</v>
      </c>
      <c r="M485" t="s">
        <v>657</v>
      </c>
    </row>
    <row r="486" spans="12:13">
      <c r="L486" s="65">
        <v>121319</v>
      </c>
      <c r="M486" t="s">
        <v>658</v>
      </c>
    </row>
    <row r="487" spans="12:13">
      <c r="L487" s="65">
        <v>121400</v>
      </c>
      <c r="M487" t="s">
        <v>659</v>
      </c>
    </row>
    <row r="488" spans="12:13">
      <c r="L488" s="65">
        <v>121410</v>
      </c>
      <c r="M488" t="s">
        <v>659</v>
      </c>
    </row>
    <row r="489" spans="12:13">
      <c r="L489" s="65">
        <v>121411</v>
      </c>
      <c r="M489" t="s">
        <v>660</v>
      </c>
    </row>
    <row r="490" spans="12:13">
      <c r="L490" s="65">
        <v>121412</v>
      </c>
      <c r="M490" t="s">
        <v>661</v>
      </c>
    </row>
    <row r="491" spans="12:13">
      <c r="L491" s="65">
        <v>121413</v>
      </c>
      <c r="M491" t="s">
        <v>662</v>
      </c>
    </row>
    <row r="492" spans="12:13">
      <c r="L492" s="65">
        <v>121414</v>
      </c>
      <c r="M492" t="s">
        <v>663</v>
      </c>
    </row>
    <row r="493" spans="12:13">
      <c r="L493" s="65">
        <v>121418</v>
      </c>
      <c r="M493" t="s">
        <v>664</v>
      </c>
    </row>
    <row r="494" spans="12:13">
      <c r="L494" s="65">
        <v>121419</v>
      </c>
      <c r="M494" t="s">
        <v>665</v>
      </c>
    </row>
    <row r="495" spans="12:13">
      <c r="L495" s="65">
        <v>121500</v>
      </c>
      <c r="M495" t="s">
        <v>666</v>
      </c>
    </row>
    <row r="496" spans="12:13">
      <c r="L496" s="65">
        <v>121510</v>
      </c>
      <c r="M496" t="s">
        <v>666</v>
      </c>
    </row>
    <row r="497" spans="12:13">
      <c r="L497" s="65">
        <v>121511</v>
      </c>
      <c r="M497" t="s">
        <v>667</v>
      </c>
    </row>
    <row r="498" spans="12:13">
      <c r="L498" s="65">
        <v>121512</v>
      </c>
      <c r="M498" t="s">
        <v>668</v>
      </c>
    </row>
    <row r="499" spans="12:13">
      <c r="L499" s="65">
        <v>121513</v>
      </c>
      <c r="M499" t="s">
        <v>669</v>
      </c>
    </row>
    <row r="500" spans="12:13">
      <c r="L500" s="65">
        <v>121518</v>
      </c>
      <c r="M500" t="s">
        <v>670</v>
      </c>
    </row>
    <row r="501" spans="12:13">
      <c r="L501" s="65">
        <v>121600</v>
      </c>
      <c r="M501" t="s">
        <v>671</v>
      </c>
    </row>
    <row r="502" spans="12:13">
      <c r="L502" s="65">
        <v>121610</v>
      </c>
      <c r="M502" t="s">
        <v>671</v>
      </c>
    </row>
    <row r="503" spans="12:13">
      <c r="L503" s="65">
        <v>121611</v>
      </c>
      <c r="M503" t="s">
        <v>672</v>
      </c>
    </row>
    <row r="504" spans="12:13">
      <c r="L504" s="65">
        <v>121612</v>
      </c>
      <c r="M504" t="s">
        <v>673</v>
      </c>
    </row>
    <row r="505" spans="12:13">
      <c r="L505" s="65">
        <v>121618</v>
      </c>
      <c r="M505" t="s">
        <v>674</v>
      </c>
    </row>
    <row r="506" spans="12:13">
      <c r="L506" s="65">
        <v>121619</v>
      </c>
      <c r="M506" t="s">
        <v>675</v>
      </c>
    </row>
    <row r="507" spans="12:13">
      <c r="L507" s="65">
        <v>121700</v>
      </c>
      <c r="M507" t="s">
        <v>676</v>
      </c>
    </row>
    <row r="508" spans="12:13">
      <c r="L508" s="65">
        <v>121710</v>
      </c>
      <c r="M508" t="s">
        <v>676</v>
      </c>
    </row>
    <row r="509" spans="12:13">
      <c r="L509" s="65">
        <v>121711</v>
      </c>
      <c r="M509" t="s">
        <v>677</v>
      </c>
    </row>
    <row r="510" spans="12:13">
      <c r="L510" s="65">
        <v>121712</v>
      </c>
      <c r="M510" t="s">
        <v>678</v>
      </c>
    </row>
    <row r="511" spans="12:13">
      <c r="L511" s="65">
        <v>121713</v>
      </c>
      <c r="M511" t="s">
        <v>679</v>
      </c>
    </row>
    <row r="512" spans="12:13">
      <c r="L512" s="65">
        <v>121714</v>
      </c>
      <c r="M512" t="s">
        <v>680</v>
      </c>
    </row>
    <row r="513" spans="12:13">
      <c r="L513" s="65">
        <v>121715</v>
      </c>
      <c r="M513" t="s">
        <v>681</v>
      </c>
    </row>
    <row r="514" spans="12:13">
      <c r="L514" s="65">
        <v>121716</v>
      </c>
      <c r="M514" t="s">
        <v>682</v>
      </c>
    </row>
    <row r="515" spans="12:13">
      <c r="L515" s="65">
        <v>121717</v>
      </c>
      <c r="M515" t="s">
        <v>683</v>
      </c>
    </row>
    <row r="516" spans="12:13">
      <c r="L516" s="65">
        <v>121718</v>
      </c>
      <c r="M516" t="s">
        <v>684</v>
      </c>
    </row>
    <row r="517" spans="12:13">
      <c r="L517" s="65">
        <v>121719</v>
      </c>
      <c r="M517" t="s">
        <v>676</v>
      </c>
    </row>
    <row r="518" spans="12:13">
      <c r="L518" s="65">
        <v>121800</v>
      </c>
      <c r="M518" t="s">
        <v>685</v>
      </c>
    </row>
    <row r="519" spans="12:13">
      <c r="L519" s="65">
        <v>121810</v>
      </c>
      <c r="M519" t="s">
        <v>685</v>
      </c>
    </row>
    <row r="520" spans="12:13">
      <c r="L520" s="65">
        <v>121811</v>
      </c>
      <c r="M520" t="s">
        <v>686</v>
      </c>
    </row>
    <row r="521" spans="12:13">
      <c r="L521" s="65">
        <v>121812</v>
      </c>
      <c r="M521" t="s">
        <v>687</v>
      </c>
    </row>
    <row r="522" spans="12:13">
      <c r="L522" s="65">
        <v>121900</v>
      </c>
      <c r="M522" t="s">
        <v>688</v>
      </c>
    </row>
    <row r="523" spans="12:13">
      <c r="L523" s="65">
        <v>121910</v>
      </c>
      <c r="M523" t="s">
        <v>689</v>
      </c>
    </row>
    <row r="524" spans="12:13">
      <c r="L524" s="65">
        <v>121911</v>
      </c>
      <c r="M524" t="s">
        <v>690</v>
      </c>
    </row>
    <row r="525" spans="12:13">
      <c r="L525" s="65">
        <v>121912</v>
      </c>
      <c r="M525" t="s">
        <v>691</v>
      </c>
    </row>
    <row r="526" spans="12:13">
      <c r="L526" s="65">
        <v>121913</v>
      </c>
      <c r="M526" t="s">
        <v>692</v>
      </c>
    </row>
    <row r="527" spans="12:13">
      <c r="L527" s="65">
        <v>121914</v>
      </c>
      <c r="M527" t="s">
        <v>693</v>
      </c>
    </row>
    <row r="528" spans="12:13">
      <c r="L528" s="65">
        <v>121915</v>
      </c>
      <c r="M528" t="s">
        <v>694</v>
      </c>
    </row>
    <row r="529" spans="12:13">
      <c r="L529" s="65">
        <v>121916</v>
      </c>
      <c r="M529" t="s">
        <v>695</v>
      </c>
    </row>
    <row r="530" spans="12:13">
      <c r="L530" s="65">
        <v>121917</v>
      </c>
      <c r="M530" t="s">
        <v>696</v>
      </c>
    </row>
    <row r="531" spans="12:13">
      <c r="L531" s="65">
        <v>121920</v>
      </c>
      <c r="M531" t="s">
        <v>697</v>
      </c>
    </row>
    <row r="532" spans="12:13">
      <c r="L532" s="65">
        <v>121921</v>
      </c>
      <c r="M532" t="s">
        <v>698</v>
      </c>
    </row>
    <row r="533" spans="12:13">
      <c r="L533" s="65">
        <v>121922</v>
      </c>
      <c r="M533" t="s">
        <v>699</v>
      </c>
    </row>
    <row r="534" spans="12:13">
      <c r="L534" s="65">
        <v>121990</v>
      </c>
      <c r="M534" t="s">
        <v>700</v>
      </c>
    </row>
    <row r="535" spans="12:13">
      <c r="L535" s="65">
        <v>121991</v>
      </c>
      <c r="M535" t="s">
        <v>701</v>
      </c>
    </row>
    <row r="536" spans="12:13">
      <c r="L536" s="65">
        <v>121992</v>
      </c>
      <c r="M536" t="s">
        <v>702</v>
      </c>
    </row>
    <row r="537" spans="12:13">
      <c r="L537" s="65">
        <v>122000</v>
      </c>
      <c r="M537" t="s">
        <v>703</v>
      </c>
    </row>
    <row r="538" spans="12:13">
      <c r="L538" s="65">
        <v>122100</v>
      </c>
      <c r="M538" t="s">
        <v>704</v>
      </c>
    </row>
    <row r="539" spans="12:13">
      <c r="L539" s="65">
        <v>122110</v>
      </c>
      <c r="M539" t="s">
        <v>705</v>
      </c>
    </row>
    <row r="540" spans="12:13">
      <c r="L540" s="65">
        <v>122111</v>
      </c>
      <c r="M540" t="s">
        <v>706</v>
      </c>
    </row>
    <row r="541" spans="12:13">
      <c r="L541" s="65">
        <v>122112</v>
      </c>
      <c r="M541" t="s">
        <v>707</v>
      </c>
    </row>
    <row r="542" spans="12:13">
      <c r="L542" s="65">
        <v>122113</v>
      </c>
      <c r="M542" t="s">
        <v>708</v>
      </c>
    </row>
    <row r="543" spans="12:13">
      <c r="L543" s="65">
        <v>122119</v>
      </c>
      <c r="M543" t="s">
        <v>709</v>
      </c>
    </row>
    <row r="544" spans="12:13">
      <c r="L544" s="65">
        <v>122120</v>
      </c>
      <c r="M544" t="s">
        <v>710</v>
      </c>
    </row>
    <row r="545" spans="12:13">
      <c r="L545" s="65">
        <v>122121</v>
      </c>
      <c r="M545" t="s">
        <v>706</v>
      </c>
    </row>
    <row r="546" spans="12:13">
      <c r="L546" s="65">
        <v>122122</v>
      </c>
      <c r="M546" t="s">
        <v>708</v>
      </c>
    </row>
    <row r="547" spans="12:13">
      <c r="L547" s="65">
        <v>122129</v>
      </c>
      <c r="M547" t="s">
        <v>711</v>
      </c>
    </row>
    <row r="548" spans="12:13">
      <c r="L548" s="65">
        <v>122130</v>
      </c>
      <c r="M548" t="s">
        <v>712</v>
      </c>
    </row>
    <row r="549" spans="12:13">
      <c r="L549" s="65">
        <v>122131</v>
      </c>
      <c r="M549" t="s">
        <v>713</v>
      </c>
    </row>
    <row r="550" spans="12:13">
      <c r="L550" s="65">
        <v>122132</v>
      </c>
      <c r="M550" t="s">
        <v>714</v>
      </c>
    </row>
    <row r="551" spans="12:13">
      <c r="L551" s="65">
        <v>122133</v>
      </c>
      <c r="M551" t="s">
        <v>715</v>
      </c>
    </row>
    <row r="552" spans="12:13">
      <c r="L552" s="65">
        <v>122139</v>
      </c>
      <c r="M552" t="s">
        <v>716</v>
      </c>
    </row>
    <row r="553" spans="12:13">
      <c r="L553" s="65">
        <v>122140</v>
      </c>
      <c r="M553" t="s">
        <v>717</v>
      </c>
    </row>
    <row r="554" spans="12:13">
      <c r="L554" s="65">
        <v>122141</v>
      </c>
      <c r="M554" t="s">
        <v>718</v>
      </c>
    </row>
    <row r="555" spans="12:13">
      <c r="L555" s="65">
        <v>122142</v>
      </c>
      <c r="M555" t="s">
        <v>719</v>
      </c>
    </row>
    <row r="556" spans="12:13">
      <c r="L556" s="65">
        <v>122143</v>
      </c>
      <c r="M556" t="s">
        <v>720</v>
      </c>
    </row>
    <row r="557" spans="12:13">
      <c r="L557" s="65">
        <v>122144</v>
      </c>
      <c r="M557" t="s">
        <v>721</v>
      </c>
    </row>
    <row r="558" spans="12:13">
      <c r="L558" s="65">
        <v>122145</v>
      </c>
      <c r="M558" t="s">
        <v>722</v>
      </c>
    </row>
    <row r="559" spans="12:13">
      <c r="L559" s="65">
        <v>122146</v>
      </c>
      <c r="M559" t="s">
        <v>723</v>
      </c>
    </row>
    <row r="560" spans="12:13">
      <c r="L560" s="65">
        <v>122147</v>
      </c>
      <c r="M560" t="s">
        <v>724</v>
      </c>
    </row>
    <row r="561" spans="12:13">
      <c r="L561" s="65">
        <v>122148</v>
      </c>
      <c r="M561" t="s">
        <v>725</v>
      </c>
    </row>
    <row r="562" spans="12:13">
      <c r="L562" s="65">
        <v>122149</v>
      </c>
      <c r="M562" t="s">
        <v>726</v>
      </c>
    </row>
    <row r="563" spans="12:13">
      <c r="L563" s="65">
        <v>122150</v>
      </c>
      <c r="M563" t="s">
        <v>727</v>
      </c>
    </row>
    <row r="564" spans="12:13">
      <c r="L564" s="65">
        <v>122151</v>
      </c>
      <c r="M564" t="s">
        <v>728</v>
      </c>
    </row>
    <row r="565" spans="12:13">
      <c r="L565" s="65">
        <v>122152</v>
      </c>
      <c r="M565" t="s">
        <v>729</v>
      </c>
    </row>
    <row r="566" spans="12:13">
      <c r="L566" s="65">
        <v>122153</v>
      </c>
      <c r="M566" t="s">
        <v>730</v>
      </c>
    </row>
    <row r="567" spans="12:13">
      <c r="L567" s="65">
        <v>122154</v>
      </c>
      <c r="M567" t="s">
        <v>731</v>
      </c>
    </row>
    <row r="568" spans="12:13">
      <c r="L568" s="65">
        <v>122155</v>
      </c>
      <c r="M568" t="s">
        <v>732</v>
      </c>
    </row>
    <row r="569" spans="12:13">
      <c r="L569" s="65">
        <v>122156</v>
      </c>
      <c r="M569" t="s">
        <v>733</v>
      </c>
    </row>
    <row r="570" spans="12:13">
      <c r="L570" s="65">
        <v>122157</v>
      </c>
      <c r="M570" t="s">
        <v>734</v>
      </c>
    </row>
    <row r="571" spans="12:13">
      <c r="L571" s="65">
        <v>122159</v>
      </c>
      <c r="M571" t="s">
        <v>735</v>
      </c>
    </row>
    <row r="572" spans="12:13">
      <c r="L572" s="65">
        <v>122160</v>
      </c>
      <c r="M572" t="s">
        <v>736</v>
      </c>
    </row>
    <row r="573" spans="12:13">
      <c r="L573" s="65">
        <v>122161</v>
      </c>
      <c r="M573" t="s">
        <v>737</v>
      </c>
    </row>
    <row r="574" spans="12:13">
      <c r="L574" s="65">
        <v>122162</v>
      </c>
      <c r="M574" t="s">
        <v>738</v>
      </c>
    </row>
    <row r="575" spans="12:13">
      <c r="L575" s="65">
        <v>122163</v>
      </c>
      <c r="M575" t="s">
        <v>739</v>
      </c>
    </row>
    <row r="576" spans="12:13">
      <c r="L576" s="65">
        <v>122164</v>
      </c>
      <c r="M576" t="s">
        <v>740</v>
      </c>
    </row>
    <row r="577" spans="12:13">
      <c r="L577" s="65">
        <v>122165</v>
      </c>
      <c r="M577" t="s">
        <v>741</v>
      </c>
    </row>
    <row r="578" spans="12:13">
      <c r="L578" s="65">
        <v>122169</v>
      </c>
      <c r="M578" t="s">
        <v>742</v>
      </c>
    </row>
    <row r="579" spans="12:13">
      <c r="L579" s="65">
        <v>122190</v>
      </c>
      <c r="M579" t="s">
        <v>743</v>
      </c>
    </row>
    <row r="580" spans="12:13">
      <c r="L580" s="65">
        <v>122191</v>
      </c>
      <c r="M580" t="s">
        <v>744</v>
      </c>
    </row>
    <row r="581" spans="12:13">
      <c r="L581" s="65">
        <v>122192</v>
      </c>
      <c r="M581" t="s">
        <v>745</v>
      </c>
    </row>
    <row r="582" spans="12:13">
      <c r="L582" s="65">
        <v>122193</v>
      </c>
      <c r="M582" t="s">
        <v>746</v>
      </c>
    </row>
    <row r="583" spans="12:13">
      <c r="L583" s="65">
        <v>122194</v>
      </c>
      <c r="M583" t="s">
        <v>747</v>
      </c>
    </row>
    <row r="584" spans="12:13">
      <c r="L584" s="65">
        <v>122195</v>
      </c>
      <c r="M584" t="s">
        <v>748</v>
      </c>
    </row>
    <row r="585" spans="12:13">
      <c r="L585" s="65">
        <v>122196</v>
      </c>
      <c r="M585" t="s">
        <v>749</v>
      </c>
    </row>
    <row r="586" spans="12:13">
      <c r="L586" s="65">
        <v>122197</v>
      </c>
      <c r="M586" t="s">
        <v>734</v>
      </c>
    </row>
    <row r="587" spans="12:13">
      <c r="L587" s="65">
        <v>122198</v>
      </c>
      <c r="M587" t="s">
        <v>750</v>
      </c>
    </row>
    <row r="588" spans="12:13">
      <c r="L588" s="65">
        <v>122199</v>
      </c>
      <c r="M588" t="s">
        <v>751</v>
      </c>
    </row>
    <row r="589" spans="12:13">
      <c r="L589" s="65">
        <v>123000</v>
      </c>
      <c r="M589" t="s">
        <v>752</v>
      </c>
    </row>
    <row r="590" spans="12:13">
      <c r="L590" s="65">
        <v>123100</v>
      </c>
      <c r="M590" t="s">
        <v>753</v>
      </c>
    </row>
    <row r="591" spans="12:13">
      <c r="L591" s="65">
        <v>123110</v>
      </c>
      <c r="M591" t="s">
        <v>754</v>
      </c>
    </row>
    <row r="592" spans="12:13">
      <c r="L592" s="65">
        <v>123111</v>
      </c>
      <c r="M592" t="s">
        <v>755</v>
      </c>
    </row>
    <row r="593" spans="12:13">
      <c r="L593" s="65">
        <v>123112</v>
      </c>
      <c r="M593" t="s">
        <v>756</v>
      </c>
    </row>
    <row r="594" spans="12:13">
      <c r="L594" s="65">
        <v>123113</v>
      </c>
      <c r="M594" t="s">
        <v>757</v>
      </c>
    </row>
    <row r="595" spans="12:13">
      <c r="L595" s="65">
        <v>123119</v>
      </c>
      <c r="M595" t="s">
        <v>758</v>
      </c>
    </row>
    <row r="596" spans="12:13">
      <c r="L596" s="65">
        <v>123120</v>
      </c>
      <c r="M596" t="s">
        <v>759</v>
      </c>
    </row>
    <row r="597" spans="12:13">
      <c r="L597" s="65">
        <v>123121</v>
      </c>
      <c r="M597" t="s">
        <v>760</v>
      </c>
    </row>
    <row r="598" spans="12:13">
      <c r="L598" s="65">
        <v>123122</v>
      </c>
      <c r="M598" t="s">
        <v>761</v>
      </c>
    </row>
    <row r="599" spans="12:13">
      <c r="L599" s="65">
        <v>123129</v>
      </c>
      <c r="M599" t="s">
        <v>762</v>
      </c>
    </row>
    <row r="600" spans="12:13">
      <c r="L600" s="65">
        <v>123130</v>
      </c>
      <c r="M600" t="s">
        <v>734</v>
      </c>
    </row>
    <row r="601" spans="12:13">
      <c r="L601" s="65">
        <v>123131</v>
      </c>
      <c r="M601" t="s">
        <v>734</v>
      </c>
    </row>
    <row r="602" spans="12:13">
      <c r="L602" s="65">
        <v>123190</v>
      </c>
      <c r="M602" t="s">
        <v>763</v>
      </c>
    </row>
    <row r="603" spans="12:13">
      <c r="L603" s="65">
        <v>123191</v>
      </c>
      <c r="M603" t="s">
        <v>763</v>
      </c>
    </row>
    <row r="604" spans="12:13">
      <c r="L604" s="65">
        <v>123200</v>
      </c>
      <c r="M604" t="s">
        <v>764</v>
      </c>
    </row>
    <row r="605" spans="12:13">
      <c r="L605" s="65">
        <v>123210</v>
      </c>
      <c r="M605" t="s">
        <v>765</v>
      </c>
    </row>
    <row r="606" spans="12:13">
      <c r="L606" s="65">
        <v>123211</v>
      </c>
      <c r="M606" t="s">
        <v>765</v>
      </c>
    </row>
    <row r="607" spans="12:13">
      <c r="L607" s="65">
        <v>123220</v>
      </c>
      <c r="M607" t="s">
        <v>766</v>
      </c>
    </row>
    <row r="608" spans="12:13">
      <c r="L608" s="65">
        <v>123221</v>
      </c>
      <c r="M608" t="s">
        <v>766</v>
      </c>
    </row>
    <row r="609" spans="12:13">
      <c r="L609" s="65">
        <v>123230</v>
      </c>
      <c r="M609" t="s">
        <v>767</v>
      </c>
    </row>
    <row r="610" spans="12:13">
      <c r="L610" s="65">
        <v>123231</v>
      </c>
      <c r="M610" t="s">
        <v>767</v>
      </c>
    </row>
    <row r="611" spans="12:13">
      <c r="L611" s="65">
        <v>123240</v>
      </c>
      <c r="M611" t="s">
        <v>768</v>
      </c>
    </row>
    <row r="612" spans="12:13">
      <c r="L612" s="65">
        <v>123241</v>
      </c>
      <c r="M612" t="s">
        <v>768</v>
      </c>
    </row>
    <row r="613" spans="12:13">
      <c r="L613" s="65">
        <v>123250</v>
      </c>
      <c r="M613" t="s">
        <v>769</v>
      </c>
    </row>
    <row r="614" spans="12:13">
      <c r="L614" s="65">
        <v>123251</v>
      </c>
      <c r="M614" t="s">
        <v>769</v>
      </c>
    </row>
    <row r="615" spans="12:13">
      <c r="L615" s="65">
        <v>123260</v>
      </c>
      <c r="M615" t="s">
        <v>770</v>
      </c>
    </row>
    <row r="616" spans="12:13">
      <c r="L616" s="65">
        <v>123261</v>
      </c>
      <c r="M616" t="s">
        <v>770</v>
      </c>
    </row>
    <row r="617" spans="12:13">
      <c r="L617" s="65">
        <v>123290</v>
      </c>
      <c r="M617" t="s">
        <v>771</v>
      </c>
    </row>
    <row r="618" spans="12:13">
      <c r="L618" s="65">
        <v>123291</v>
      </c>
      <c r="M618" t="s">
        <v>771</v>
      </c>
    </row>
    <row r="619" spans="12:13">
      <c r="L619" s="65">
        <v>123300</v>
      </c>
      <c r="M619" t="s">
        <v>772</v>
      </c>
    </row>
    <row r="620" spans="12:13">
      <c r="L620" s="65">
        <v>123310</v>
      </c>
      <c r="M620" t="s">
        <v>773</v>
      </c>
    </row>
    <row r="621" spans="12:13">
      <c r="L621" s="65">
        <v>123311</v>
      </c>
      <c r="M621" t="s">
        <v>773</v>
      </c>
    </row>
    <row r="622" spans="12:13">
      <c r="L622" s="65">
        <v>123320</v>
      </c>
      <c r="M622" t="s">
        <v>698</v>
      </c>
    </row>
    <row r="623" spans="12:13">
      <c r="L623" s="65">
        <v>123321</v>
      </c>
      <c r="M623" t="s">
        <v>698</v>
      </c>
    </row>
    <row r="624" spans="12:13">
      <c r="L624" s="65">
        <v>123330</v>
      </c>
      <c r="M624" t="s">
        <v>774</v>
      </c>
    </row>
    <row r="625" spans="12:13">
      <c r="L625" s="65">
        <v>123331</v>
      </c>
      <c r="M625" t="s">
        <v>774</v>
      </c>
    </row>
    <row r="626" spans="12:13">
      <c r="L626" s="65">
        <v>123340</v>
      </c>
      <c r="M626" t="s">
        <v>775</v>
      </c>
    </row>
    <row r="627" spans="12:13">
      <c r="L627" s="65">
        <v>123341</v>
      </c>
      <c r="M627" t="s">
        <v>775</v>
      </c>
    </row>
    <row r="628" spans="12:13">
      <c r="L628" s="65">
        <v>123350</v>
      </c>
      <c r="M628" t="s">
        <v>776</v>
      </c>
    </row>
    <row r="629" spans="12:13">
      <c r="L629" s="65">
        <v>123351</v>
      </c>
      <c r="M629" t="s">
        <v>776</v>
      </c>
    </row>
    <row r="630" spans="12:13">
      <c r="L630" s="65">
        <v>123360</v>
      </c>
      <c r="M630" t="s">
        <v>777</v>
      </c>
    </row>
    <row r="631" spans="12:13">
      <c r="L631" s="65">
        <v>123361</v>
      </c>
      <c r="M631" t="s">
        <v>777</v>
      </c>
    </row>
    <row r="632" spans="12:13">
      <c r="L632" s="65">
        <v>123370</v>
      </c>
      <c r="M632" t="s">
        <v>778</v>
      </c>
    </row>
    <row r="633" spans="12:13">
      <c r="L633" s="65">
        <v>123371</v>
      </c>
      <c r="M633" t="s">
        <v>778</v>
      </c>
    </row>
    <row r="634" spans="12:13">
      <c r="L634" s="65">
        <v>123380</v>
      </c>
      <c r="M634" t="s">
        <v>779</v>
      </c>
    </row>
    <row r="635" spans="12:13">
      <c r="L635" s="65">
        <v>123381</v>
      </c>
      <c r="M635" t="s">
        <v>779</v>
      </c>
    </row>
    <row r="636" spans="12:13">
      <c r="L636" s="65">
        <v>123390</v>
      </c>
      <c r="M636" t="s">
        <v>780</v>
      </c>
    </row>
    <row r="637" spans="12:13">
      <c r="L637" s="65">
        <v>123391</v>
      </c>
      <c r="M637" t="s">
        <v>780</v>
      </c>
    </row>
    <row r="638" spans="12:13">
      <c r="L638" s="65">
        <v>123900</v>
      </c>
      <c r="M638" t="s">
        <v>781</v>
      </c>
    </row>
    <row r="639" spans="12:13">
      <c r="L639" s="65">
        <v>123910</v>
      </c>
      <c r="M639" t="s">
        <v>782</v>
      </c>
    </row>
    <row r="640" spans="12:13">
      <c r="L640" s="65">
        <v>123911</v>
      </c>
      <c r="M640" t="s">
        <v>782</v>
      </c>
    </row>
    <row r="641" spans="12:13">
      <c r="L641" s="65">
        <v>123920</v>
      </c>
      <c r="M641" t="s">
        <v>783</v>
      </c>
    </row>
    <row r="642" spans="12:13">
      <c r="L642" s="65">
        <v>123921</v>
      </c>
      <c r="M642" t="s">
        <v>783</v>
      </c>
    </row>
    <row r="643" spans="12:13">
      <c r="L643" s="65">
        <v>123930</v>
      </c>
      <c r="M643" t="s">
        <v>784</v>
      </c>
    </row>
    <row r="644" spans="12:13">
      <c r="L644" s="65">
        <v>123931</v>
      </c>
      <c r="M644" t="s">
        <v>784</v>
      </c>
    </row>
    <row r="645" spans="12:13">
      <c r="L645" s="65">
        <v>123940</v>
      </c>
      <c r="M645" t="s">
        <v>785</v>
      </c>
    </row>
    <row r="646" spans="12:13">
      <c r="L646" s="65">
        <v>123941</v>
      </c>
      <c r="M646" t="s">
        <v>785</v>
      </c>
    </row>
    <row r="647" spans="12:13">
      <c r="L647" s="65">
        <v>123950</v>
      </c>
      <c r="M647" t="s">
        <v>786</v>
      </c>
    </row>
    <row r="648" spans="12:13">
      <c r="L648" s="65">
        <v>123951</v>
      </c>
      <c r="M648" t="s">
        <v>786</v>
      </c>
    </row>
    <row r="649" spans="12:13">
      <c r="L649" s="65">
        <v>123960</v>
      </c>
      <c r="M649" t="s">
        <v>787</v>
      </c>
    </row>
    <row r="650" spans="12:13">
      <c r="L650" s="65">
        <v>123961</v>
      </c>
      <c r="M650" t="s">
        <v>788</v>
      </c>
    </row>
    <row r="651" spans="12:13">
      <c r="L651" s="65">
        <v>123962</v>
      </c>
      <c r="M651" t="s">
        <v>789</v>
      </c>
    </row>
    <row r="652" spans="12:13">
      <c r="L652" s="65">
        <v>123963</v>
      </c>
      <c r="M652" t="s">
        <v>790</v>
      </c>
    </row>
    <row r="653" spans="12:13">
      <c r="L653" s="65">
        <v>123964</v>
      </c>
      <c r="M653" t="s">
        <v>791</v>
      </c>
    </row>
    <row r="654" spans="12:13">
      <c r="L654" s="65">
        <v>123965</v>
      </c>
      <c r="M654" t="s">
        <v>792</v>
      </c>
    </row>
    <row r="655" spans="12:13">
      <c r="L655" s="65">
        <v>123966</v>
      </c>
      <c r="M655" t="s">
        <v>793</v>
      </c>
    </row>
    <row r="656" spans="12:13">
      <c r="L656" s="65">
        <v>123967</v>
      </c>
      <c r="M656" t="s">
        <v>794</v>
      </c>
    </row>
    <row r="657" spans="12:13">
      <c r="L657" s="65">
        <v>123968</v>
      </c>
      <c r="M657" t="s">
        <v>795</v>
      </c>
    </row>
    <row r="658" spans="12:13">
      <c r="L658" s="65">
        <v>123969</v>
      </c>
      <c r="M658" t="s">
        <v>796</v>
      </c>
    </row>
    <row r="659" spans="12:13">
      <c r="L659" s="65">
        <v>123990</v>
      </c>
      <c r="M659" t="s">
        <v>797</v>
      </c>
    </row>
    <row r="660" spans="12:13">
      <c r="L660" s="65">
        <v>123991</v>
      </c>
      <c r="M660" t="s">
        <v>797</v>
      </c>
    </row>
    <row r="661" spans="12:13">
      <c r="L661" s="65">
        <v>130000</v>
      </c>
      <c r="M661" t="s">
        <v>798</v>
      </c>
    </row>
    <row r="662" spans="12:13">
      <c r="L662" s="65">
        <v>131000</v>
      </c>
      <c r="M662" t="s">
        <v>798</v>
      </c>
    </row>
    <row r="663" spans="12:13">
      <c r="L663" s="65">
        <v>131100</v>
      </c>
      <c r="M663" t="s">
        <v>799</v>
      </c>
    </row>
    <row r="664" spans="12:13">
      <c r="L664" s="65">
        <v>131110</v>
      </c>
      <c r="M664" t="s">
        <v>799</v>
      </c>
    </row>
    <row r="665" spans="12:13">
      <c r="L665" s="65">
        <v>131111</v>
      </c>
      <c r="M665" t="s">
        <v>800</v>
      </c>
    </row>
    <row r="666" spans="12:13">
      <c r="L666" s="65">
        <v>131112</v>
      </c>
      <c r="M666" t="s">
        <v>801</v>
      </c>
    </row>
    <row r="667" spans="12:13">
      <c r="L667" s="65">
        <v>131113</v>
      </c>
      <c r="M667" t="s">
        <v>802</v>
      </c>
    </row>
    <row r="668" spans="12:13">
      <c r="L668" s="65">
        <v>131114</v>
      </c>
      <c r="M668" t="s">
        <v>803</v>
      </c>
    </row>
    <row r="669" spans="12:13">
      <c r="L669" s="65">
        <v>131119</v>
      </c>
      <c r="M669" t="s">
        <v>804</v>
      </c>
    </row>
    <row r="670" spans="12:13">
      <c r="L670" s="65">
        <v>131200</v>
      </c>
      <c r="M670" t="s">
        <v>805</v>
      </c>
    </row>
    <row r="671" spans="12:13">
      <c r="L671" s="65">
        <v>131210</v>
      </c>
      <c r="M671" t="s">
        <v>805</v>
      </c>
    </row>
    <row r="672" spans="12:13">
      <c r="L672" s="65">
        <v>131211</v>
      </c>
      <c r="M672" t="s">
        <v>806</v>
      </c>
    </row>
    <row r="673" spans="12:13">
      <c r="L673" s="65">
        <v>131212</v>
      </c>
      <c r="M673" t="s">
        <v>807</v>
      </c>
    </row>
    <row r="674" spans="12:13">
      <c r="L674" s="65">
        <v>131300</v>
      </c>
      <c r="M674" t="s">
        <v>808</v>
      </c>
    </row>
    <row r="675" spans="12:13">
      <c r="L675" s="65">
        <v>131310</v>
      </c>
      <c r="M675" t="s">
        <v>808</v>
      </c>
    </row>
    <row r="676" spans="12:13">
      <c r="L676" s="65">
        <v>131311</v>
      </c>
      <c r="M676" t="s">
        <v>809</v>
      </c>
    </row>
    <row r="677" spans="12:13">
      <c r="L677" s="65">
        <v>131312</v>
      </c>
      <c r="M677" t="s">
        <v>808</v>
      </c>
    </row>
    <row r="678" spans="12:13">
      <c r="L678" s="65">
        <v>200000</v>
      </c>
      <c r="M678" t="s">
        <v>810</v>
      </c>
    </row>
    <row r="679" spans="12:13">
      <c r="L679" s="66">
        <v>210000</v>
      </c>
      <c r="M679" s="62" t="s">
        <v>811</v>
      </c>
    </row>
    <row r="680" spans="12:13">
      <c r="L680" s="65">
        <v>211000</v>
      </c>
      <c r="M680" t="s">
        <v>812</v>
      </c>
    </row>
    <row r="681" spans="12:13">
      <c r="L681" s="65">
        <v>211100</v>
      </c>
      <c r="M681" t="s">
        <v>813</v>
      </c>
    </row>
    <row r="682" spans="12:13">
      <c r="L682" s="65">
        <v>211110</v>
      </c>
      <c r="M682" t="s">
        <v>813</v>
      </c>
    </row>
    <row r="683" spans="12:13">
      <c r="L683" s="65">
        <v>211111</v>
      </c>
      <c r="M683" t="s">
        <v>813</v>
      </c>
    </row>
    <row r="684" spans="12:13">
      <c r="L684" s="65">
        <v>211200</v>
      </c>
      <c r="M684" t="s">
        <v>814</v>
      </c>
    </row>
    <row r="685" spans="12:13">
      <c r="L685" s="65">
        <v>211210</v>
      </c>
      <c r="M685" t="s">
        <v>815</v>
      </c>
    </row>
    <row r="686" spans="12:13">
      <c r="L686" s="65">
        <v>211211</v>
      </c>
      <c r="M686" t="s">
        <v>815</v>
      </c>
    </row>
    <row r="687" spans="12:13">
      <c r="L687" s="65">
        <v>211220</v>
      </c>
      <c r="M687" t="s">
        <v>816</v>
      </c>
    </row>
    <row r="688" spans="12:13">
      <c r="L688" s="65">
        <v>211221</v>
      </c>
      <c r="M688" t="s">
        <v>816</v>
      </c>
    </row>
    <row r="689" spans="12:13">
      <c r="L689" s="65">
        <v>211230</v>
      </c>
      <c r="M689" t="s">
        <v>817</v>
      </c>
    </row>
    <row r="690" spans="12:13">
      <c r="L690" s="65">
        <v>211231</v>
      </c>
      <c r="M690" t="s">
        <v>817</v>
      </c>
    </row>
    <row r="691" spans="12:13">
      <c r="L691" s="65">
        <v>211240</v>
      </c>
      <c r="M691" t="s">
        <v>818</v>
      </c>
    </row>
    <row r="692" spans="12:13">
      <c r="L692" s="65">
        <v>211241</v>
      </c>
      <c r="M692" t="s">
        <v>818</v>
      </c>
    </row>
    <row r="693" spans="12:13">
      <c r="L693" s="65">
        <v>211250</v>
      </c>
      <c r="M693" t="s">
        <v>819</v>
      </c>
    </row>
    <row r="694" spans="12:13">
      <c r="L694" s="65">
        <v>211251</v>
      </c>
      <c r="M694" t="s">
        <v>820</v>
      </c>
    </row>
    <row r="695" spans="12:13">
      <c r="L695" s="65">
        <v>211252</v>
      </c>
      <c r="M695" t="s">
        <v>821</v>
      </c>
    </row>
    <row r="696" spans="12:13">
      <c r="L696" s="65">
        <v>211255</v>
      </c>
      <c r="M696" t="s">
        <v>822</v>
      </c>
    </row>
    <row r="697" spans="12:13">
      <c r="L697" s="65">
        <v>211300</v>
      </c>
      <c r="M697" t="s">
        <v>823</v>
      </c>
    </row>
    <row r="698" spans="12:13">
      <c r="L698" s="65">
        <v>211310</v>
      </c>
      <c r="M698" t="s">
        <v>823</v>
      </c>
    </row>
    <row r="699" spans="12:13">
      <c r="L699" s="65">
        <v>211311</v>
      </c>
      <c r="M699" t="s">
        <v>824</v>
      </c>
    </row>
    <row r="700" spans="12:13">
      <c r="L700" s="65">
        <v>211390</v>
      </c>
      <c r="M700" t="s">
        <v>825</v>
      </c>
    </row>
    <row r="701" spans="12:13">
      <c r="L701" s="65">
        <v>211391</v>
      </c>
      <c r="M701" t="s">
        <v>825</v>
      </c>
    </row>
    <row r="702" spans="12:13">
      <c r="L702" s="65">
        <v>211400</v>
      </c>
      <c r="M702" t="s">
        <v>826</v>
      </c>
    </row>
    <row r="703" spans="12:13">
      <c r="L703" s="65">
        <v>211410</v>
      </c>
      <c r="M703" t="s">
        <v>826</v>
      </c>
    </row>
    <row r="704" spans="12:13">
      <c r="L704" s="65">
        <v>211411</v>
      </c>
      <c r="M704" t="s">
        <v>826</v>
      </c>
    </row>
    <row r="705" spans="12:13">
      <c r="L705" s="65">
        <v>211500</v>
      </c>
      <c r="M705" t="s">
        <v>827</v>
      </c>
    </row>
    <row r="706" spans="12:13">
      <c r="L706" s="65">
        <v>211510</v>
      </c>
      <c r="M706" t="s">
        <v>827</v>
      </c>
    </row>
    <row r="707" spans="12:13">
      <c r="L707" s="65">
        <v>211511</v>
      </c>
      <c r="M707" t="s">
        <v>827</v>
      </c>
    </row>
    <row r="708" spans="12:13">
      <c r="L708" s="65">
        <v>211600</v>
      </c>
      <c r="M708" t="s">
        <v>828</v>
      </c>
    </row>
    <row r="709" spans="12:13">
      <c r="L709" s="65">
        <v>211610</v>
      </c>
      <c r="M709" t="s">
        <v>828</v>
      </c>
    </row>
    <row r="710" spans="12:13">
      <c r="L710" s="65">
        <v>211611</v>
      </c>
      <c r="M710" t="s">
        <v>828</v>
      </c>
    </row>
    <row r="711" spans="12:13">
      <c r="L711" s="65">
        <v>211700</v>
      </c>
      <c r="M711" t="s">
        <v>829</v>
      </c>
    </row>
    <row r="712" spans="12:13">
      <c r="L712" s="65">
        <v>211710</v>
      </c>
      <c r="M712" t="s">
        <v>829</v>
      </c>
    </row>
    <row r="713" spans="12:13">
      <c r="L713" s="65">
        <v>211711</v>
      </c>
      <c r="M713" t="s">
        <v>829</v>
      </c>
    </row>
    <row r="714" spans="12:13">
      <c r="L714" s="65">
        <v>211800</v>
      </c>
      <c r="M714" t="s">
        <v>830</v>
      </c>
    </row>
    <row r="715" spans="12:13">
      <c r="L715" s="65">
        <v>211810</v>
      </c>
      <c r="M715" t="s">
        <v>830</v>
      </c>
    </row>
    <row r="716" spans="12:13">
      <c r="L716" s="65">
        <v>211811</v>
      </c>
      <c r="M716" t="s">
        <v>830</v>
      </c>
    </row>
    <row r="717" spans="12:13">
      <c r="L717" s="65">
        <v>211900</v>
      </c>
      <c r="M717" t="s">
        <v>831</v>
      </c>
    </row>
    <row r="718" spans="12:13">
      <c r="L718" s="65">
        <v>211910</v>
      </c>
      <c r="M718" t="s">
        <v>831</v>
      </c>
    </row>
    <row r="719" spans="12:13">
      <c r="L719" s="65">
        <v>211911</v>
      </c>
      <c r="M719" t="s">
        <v>832</v>
      </c>
    </row>
    <row r="720" spans="12:13">
      <c r="L720" s="65">
        <v>211912</v>
      </c>
      <c r="M720" t="s">
        <v>833</v>
      </c>
    </row>
    <row r="721" spans="12:13">
      <c r="L721" s="65">
        <v>211913</v>
      </c>
      <c r="M721" t="s">
        <v>834</v>
      </c>
    </row>
    <row r="722" spans="12:13">
      <c r="L722" s="65">
        <v>212000</v>
      </c>
      <c r="M722" t="s">
        <v>835</v>
      </c>
    </row>
    <row r="723" spans="12:13">
      <c r="L723" s="65">
        <v>212100</v>
      </c>
      <c r="M723" t="s">
        <v>836</v>
      </c>
    </row>
    <row r="724" spans="12:13">
      <c r="L724" s="65">
        <v>212110</v>
      </c>
      <c r="M724" t="s">
        <v>836</v>
      </c>
    </row>
    <row r="725" spans="12:13">
      <c r="L725" s="65">
        <v>212111</v>
      </c>
      <c r="M725" t="s">
        <v>836</v>
      </c>
    </row>
    <row r="726" spans="12:13">
      <c r="L726" s="65">
        <v>212200</v>
      </c>
      <c r="M726" t="s">
        <v>837</v>
      </c>
    </row>
    <row r="727" spans="12:13">
      <c r="L727" s="65">
        <v>212210</v>
      </c>
      <c r="M727" t="s">
        <v>838</v>
      </c>
    </row>
    <row r="728" spans="12:13">
      <c r="L728" s="65">
        <v>212211</v>
      </c>
      <c r="M728" t="s">
        <v>838</v>
      </c>
    </row>
    <row r="729" spans="12:13">
      <c r="L729" s="65">
        <v>212220</v>
      </c>
      <c r="M729" t="s">
        <v>839</v>
      </c>
    </row>
    <row r="730" spans="12:13">
      <c r="L730" s="65">
        <v>212221</v>
      </c>
      <c r="M730" t="s">
        <v>839</v>
      </c>
    </row>
    <row r="731" spans="12:13">
      <c r="L731" s="65">
        <v>212290</v>
      </c>
      <c r="M731" t="s">
        <v>840</v>
      </c>
    </row>
    <row r="732" spans="12:13">
      <c r="L732" s="65">
        <v>212291</v>
      </c>
      <c r="M732" t="s">
        <v>840</v>
      </c>
    </row>
    <row r="733" spans="12:13">
      <c r="L733" s="65">
        <v>212300</v>
      </c>
      <c r="M733" t="s">
        <v>841</v>
      </c>
    </row>
    <row r="734" spans="12:13">
      <c r="L734" s="65">
        <v>212310</v>
      </c>
      <c r="M734" t="s">
        <v>842</v>
      </c>
    </row>
    <row r="735" spans="12:13">
      <c r="L735" s="65">
        <v>212311</v>
      </c>
      <c r="M735" t="s">
        <v>842</v>
      </c>
    </row>
    <row r="736" spans="12:13">
      <c r="L736" s="65">
        <v>212320</v>
      </c>
      <c r="M736" t="s">
        <v>843</v>
      </c>
    </row>
    <row r="737" spans="12:13">
      <c r="L737" s="65">
        <v>212321</v>
      </c>
      <c r="M737" t="s">
        <v>843</v>
      </c>
    </row>
    <row r="738" spans="12:13">
      <c r="L738" s="65">
        <v>212330</v>
      </c>
      <c r="M738" t="s">
        <v>844</v>
      </c>
    </row>
    <row r="739" spans="12:13">
      <c r="L739" s="65">
        <v>212331</v>
      </c>
      <c r="M739" t="s">
        <v>844</v>
      </c>
    </row>
    <row r="740" spans="12:13">
      <c r="L740" s="65">
        <v>212340</v>
      </c>
      <c r="M740" t="s">
        <v>845</v>
      </c>
    </row>
    <row r="741" spans="12:13">
      <c r="L741" s="65">
        <v>212341</v>
      </c>
      <c r="M741" t="s">
        <v>845</v>
      </c>
    </row>
    <row r="742" spans="12:13">
      <c r="L742" s="65">
        <v>212350</v>
      </c>
      <c r="M742" t="s">
        <v>846</v>
      </c>
    </row>
    <row r="743" spans="12:13">
      <c r="L743" s="65">
        <v>212351</v>
      </c>
      <c r="M743" t="s">
        <v>846</v>
      </c>
    </row>
    <row r="744" spans="12:13">
      <c r="L744" s="65">
        <v>212390</v>
      </c>
      <c r="M744" t="s">
        <v>847</v>
      </c>
    </row>
    <row r="745" spans="12:13">
      <c r="L745" s="65">
        <v>212391</v>
      </c>
      <c r="M745" t="s">
        <v>847</v>
      </c>
    </row>
    <row r="746" spans="12:13">
      <c r="L746" s="65">
        <v>212400</v>
      </c>
      <c r="M746" t="s">
        <v>848</v>
      </c>
    </row>
    <row r="747" spans="12:13">
      <c r="L747" s="65">
        <v>212410</v>
      </c>
      <c r="M747" t="s">
        <v>849</v>
      </c>
    </row>
    <row r="748" spans="12:13">
      <c r="L748" s="65">
        <v>212411</v>
      </c>
      <c r="M748" t="s">
        <v>849</v>
      </c>
    </row>
    <row r="749" spans="12:13">
      <c r="L749" s="65">
        <v>212490</v>
      </c>
      <c r="M749" t="s">
        <v>850</v>
      </c>
    </row>
    <row r="750" spans="12:13">
      <c r="L750" s="65">
        <v>212491</v>
      </c>
      <c r="M750" t="s">
        <v>850</v>
      </c>
    </row>
    <row r="751" spans="12:13">
      <c r="L751" s="65">
        <v>212500</v>
      </c>
      <c r="M751" t="s">
        <v>851</v>
      </c>
    </row>
    <row r="752" spans="12:13">
      <c r="L752" s="65">
        <v>212510</v>
      </c>
      <c r="M752" t="s">
        <v>851</v>
      </c>
    </row>
    <row r="753" spans="12:13">
      <c r="L753" s="65">
        <v>212511</v>
      </c>
      <c r="M753" t="s">
        <v>851</v>
      </c>
    </row>
    <row r="754" spans="12:13">
      <c r="L754" s="65">
        <v>212600</v>
      </c>
      <c r="M754" t="s">
        <v>852</v>
      </c>
    </row>
    <row r="755" spans="12:13">
      <c r="L755" s="65">
        <v>212610</v>
      </c>
      <c r="M755" t="s">
        <v>852</v>
      </c>
    </row>
    <row r="756" spans="12:13">
      <c r="L756" s="65">
        <v>212611</v>
      </c>
      <c r="M756" t="s">
        <v>852</v>
      </c>
    </row>
    <row r="757" spans="12:13">
      <c r="L757" s="65">
        <v>213000</v>
      </c>
      <c r="M757" t="s">
        <v>853</v>
      </c>
    </row>
    <row r="758" spans="12:13">
      <c r="L758" s="65">
        <v>213100</v>
      </c>
      <c r="M758" t="s">
        <v>853</v>
      </c>
    </row>
    <row r="759" spans="12:13">
      <c r="L759" s="65">
        <v>213110</v>
      </c>
      <c r="M759" t="s">
        <v>853</v>
      </c>
    </row>
    <row r="760" spans="12:13">
      <c r="L760" s="65">
        <v>213111</v>
      </c>
      <c r="M760" t="s">
        <v>853</v>
      </c>
    </row>
    <row r="761" spans="12:13">
      <c r="L761" s="65">
        <v>220000</v>
      </c>
      <c r="M761" t="s">
        <v>854</v>
      </c>
    </row>
    <row r="762" spans="12:13">
      <c r="L762" s="65">
        <v>221000</v>
      </c>
      <c r="M762" t="s">
        <v>855</v>
      </c>
    </row>
    <row r="763" spans="12:13">
      <c r="L763" s="65">
        <v>221100</v>
      </c>
      <c r="M763" t="s">
        <v>856</v>
      </c>
    </row>
    <row r="764" spans="12:13">
      <c r="L764" s="65">
        <v>221110</v>
      </c>
      <c r="M764" t="s">
        <v>856</v>
      </c>
    </row>
    <row r="765" spans="12:13">
      <c r="L765" s="65">
        <v>221111</v>
      </c>
      <c r="M765" t="s">
        <v>856</v>
      </c>
    </row>
    <row r="766" spans="12:13">
      <c r="L766" s="65">
        <v>221200</v>
      </c>
      <c r="M766" t="s">
        <v>857</v>
      </c>
    </row>
    <row r="767" spans="12:13">
      <c r="L767" s="65">
        <v>221210</v>
      </c>
      <c r="M767" t="s">
        <v>858</v>
      </c>
    </row>
    <row r="768" spans="12:13">
      <c r="L768" s="65">
        <v>221211</v>
      </c>
      <c r="M768" t="s">
        <v>858</v>
      </c>
    </row>
    <row r="769" spans="12:13">
      <c r="L769" s="65">
        <v>221220</v>
      </c>
      <c r="M769" t="s">
        <v>859</v>
      </c>
    </row>
    <row r="770" spans="12:13">
      <c r="L770" s="65">
        <v>221221</v>
      </c>
      <c r="M770" t="s">
        <v>859</v>
      </c>
    </row>
    <row r="771" spans="12:13">
      <c r="L771" s="65">
        <v>221230</v>
      </c>
      <c r="M771" t="s">
        <v>860</v>
      </c>
    </row>
    <row r="772" spans="12:13">
      <c r="L772" s="65">
        <v>221231</v>
      </c>
      <c r="M772" t="s">
        <v>860</v>
      </c>
    </row>
    <row r="773" spans="12:13">
      <c r="L773" s="65">
        <v>221240</v>
      </c>
      <c r="M773" t="s">
        <v>861</v>
      </c>
    </row>
    <row r="774" spans="12:13">
      <c r="L774" s="65">
        <v>221241</v>
      </c>
      <c r="M774" t="s">
        <v>861</v>
      </c>
    </row>
    <row r="775" spans="12:13">
      <c r="L775" s="65">
        <v>221250</v>
      </c>
      <c r="M775" t="s">
        <v>862</v>
      </c>
    </row>
    <row r="776" spans="12:13">
      <c r="L776" s="65">
        <v>221251</v>
      </c>
      <c r="M776" t="s">
        <v>863</v>
      </c>
    </row>
    <row r="777" spans="12:13">
      <c r="L777" s="65">
        <v>221252</v>
      </c>
      <c r="M777" t="s">
        <v>864</v>
      </c>
    </row>
    <row r="778" spans="12:13">
      <c r="L778" s="65">
        <v>221255</v>
      </c>
      <c r="M778" t="s">
        <v>865</v>
      </c>
    </row>
    <row r="779" spans="12:13">
      <c r="L779" s="65">
        <v>221300</v>
      </c>
      <c r="M779" t="s">
        <v>866</v>
      </c>
    </row>
    <row r="780" spans="12:13">
      <c r="L780" s="65">
        <v>221310</v>
      </c>
      <c r="M780" t="s">
        <v>867</v>
      </c>
    </row>
    <row r="781" spans="12:13">
      <c r="L781" s="65">
        <v>221311</v>
      </c>
      <c r="M781" t="s">
        <v>867</v>
      </c>
    </row>
    <row r="782" spans="12:13">
      <c r="L782" s="65">
        <v>221390</v>
      </c>
      <c r="M782" t="s">
        <v>868</v>
      </c>
    </row>
    <row r="783" spans="12:13">
      <c r="L783" s="65">
        <v>221391</v>
      </c>
      <c r="M783" t="s">
        <v>868</v>
      </c>
    </row>
    <row r="784" spans="12:13">
      <c r="L784" s="65">
        <v>221400</v>
      </c>
      <c r="M784" t="s">
        <v>869</v>
      </c>
    </row>
    <row r="785" spans="12:13">
      <c r="L785" s="65">
        <v>221410</v>
      </c>
      <c r="M785" t="s">
        <v>869</v>
      </c>
    </row>
    <row r="786" spans="12:13">
      <c r="L786" s="65">
        <v>221411</v>
      </c>
      <c r="M786" t="s">
        <v>869</v>
      </c>
    </row>
    <row r="787" spans="12:13">
      <c r="L787" s="65">
        <v>221500</v>
      </c>
      <c r="M787" t="s">
        <v>870</v>
      </c>
    </row>
    <row r="788" spans="12:13">
      <c r="L788" s="65">
        <v>221510</v>
      </c>
      <c r="M788" t="s">
        <v>870</v>
      </c>
    </row>
    <row r="789" spans="12:13">
      <c r="L789" s="65">
        <v>221511</v>
      </c>
      <c r="M789" t="s">
        <v>870</v>
      </c>
    </row>
    <row r="790" spans="12:13">
      <c r="L790" s="65">
        <v>221600</v>
      </c>
      <c r="M790" t="s">
        <v>871</v>
      </c>
    </row>
    <row r="791" spans="12:13">
      <c r="L791" s="65">
        <v>221610</v>
      </c>
      <c r="M791" t="s">
        <v>871</v>
      </c>
    </row>
    <row r="792" spans="12:13">
      <c r="L792" s="65">
        <v>221611</v>
      </c>
      <c r="M792" t="s">
        <v>871</v>
      </c>
    </row>
    <row r="793" spans="12:13">
      <c r="L793" s="65">
        <v>221700</v>
      </c>
      <c r="M793" t="s">
        <v>872</v>
      </c>
    </row>
    <row r="794" spans="12:13">
      <c r="L794" s="65">
        <v>221710</v>
      </c>
      <c r="M794" t="s">
        <v>872</v>
      </c>
    </row>
    <row r="795" spans="12:13">
      <c r="L795" s="65">
        <v>221711</v>
      </c>
      <c r="M795" t="s">
        <v>872</v>
      </c>
    </row>
    <row r="796" spans="12:13">
      <c r="L796" s="65">
        <v>221800</v>
      </c>
      <c r="M796" t="s">
        <v>873</v>
      </c>
    </row>
    <row r="797" spans="12:13">
      <c r="L797" s="65">
        <v>221810</v>
      </c>
      <c r="M797" t="s">
        <v>873</v>
      </c>
    </row>
    <row r="798" spans="12:13">
      <c r="L798" s="65">
        <v>221811</v>
      </c>
      <c r="M798" t="s">
        <v>873</v>
      </c>
    </row>
    <row r="799" spans="12:13">
      <c r="L799" s="65">
        <v>222000</v>
      </c>
      <c r="M799" t="s">
        <v>874</v>
      </c>
    </row>
    <row r="800" spans="12:13">
      <c r="L800" s="65">
        <v>222100</v>
      </c>
      <c r="M800" t="s">
        <v>875</v>
      </c>
    </row>
    <row r="801" spans="12:13">
      <c r="L801" s="65">
        <v>222110</v>
      </c>
      <c r="M801" t="s">
        <v>875</v>
      </c>
    </row>
    <row r="802" spans="12:13">
      <c r="L802" s="65">
        <v>222111</v>
      </c>
      <c r="M802" t="s">
        <v>875</v>
      </c>
    </row>
    <row r="803" spans="12:13">
      <c r="L803" s="65">
        <v>222200</v>
      </c>
      <c r="M803" t="s">
        <v>876</v>
      </c>
    </row>
    <row r="804" spans="12:13">
      <c r="L804" s="65">
        <v>222210</v>
      </c>
      <c r="M804" t="s">
        <v>877</v>
      </c>
    </row>
    <row r="805" spans="12:13">
      <c r="L805" s="65">
        <v>222211</v>
      </c>
      <c r="M805" t="s">
        <v>877</v>
      </c>
    </row>
    <row r="806" spans="12:13">
      <c r="L806" s="65">
        <v>222220</v>
      </c>
      <c r="M806" t="s">
        <v>878</v>
      </c>
    </row>
    <row r="807" spans="12:13">
      <c r="L807" s="65">
        <v>222221</v>
      </c>
      <c r="M807" t="s">
        <v>878</v>
      </c>
    </row>
    <row r="808" spans="12:13">
      <c r="L808" s="65">
        <v>222290</v>
      </c>
      <c r="M808" t="s">
        <v>879</v>
      </c>
    </row>
    <row r="809" spans="12:13">
      <c r="L809" s="65">
        <v>222291</v>
      </c>
      <c r="M809" t="s">
        <v>879</v>
      </c>
    </row>
    <row r="810" spans="12:13">
      <c r="L810" s="65">
        <v>222300</v>
      </c>
      <c r="M810" t="s">
        <v>880</v>
      </c>
    </row>
    <row r="811" spans="12:13">
      <c r="L811" s="65">
        <v>222310</v>
      </c>
      <c r="M811" t="s">
        <v>881</v>
      </c>
    </row>
    <row r="812" spans="12:13">
      <c r="L812" s="65">
        <v>222311</v>
      </c>
      <c r="M812" t="s">
        <v>881</v>
      </c>
    </row>
    <row r="813" spans="12:13">
      <c r="L813" s="65">
        <v>222320</v>
      </c>
      <c r="M813" t="s">
        <v>882</v>
      </c>
    </row>
    <row r="814" spans="12:13">
      <c r="L814" s="65">
        <v>222321</v>
      </c>
      <c r="M814" t="s">
        <v>882</v>
      </c>
    </row>
    <row r="815" spans="12:13">
      <c r="L815" s="65">
        <v>222330</v>
      </c>
      <c r="M815" t="s">
        <v>883</v>
      </c>
    </row>
    <row r="816" spans="12:13">
      <c r="L816" s="65">
        <v>222331</v>
      </c>
      <c r="M816" t="s">
        <v>883</v>
      </c>
    </row>
    <row r="817" spans="12:13">
      <c r="L817" s="65">
        <v>222340</v>
      </c>
      <c r="M817" t="s">
        <v>884</v>
      </c>
    </row>
    <row r="818" spans="12:13">
      <c r="L818" s="65">
        <v>222341</v>
      </c>
      <c r="M818" t="s">
        <v>884</v>
      </c>
    </row>
    <row r="819" spans="12:13">
      <c r="L819" s="65">
        <v>222350</v>
      </c>
      <c r="M819" t="s">
        <v>885</v>
      </c>
    </row>
    <row r="820" spans="12:13">
      <c r="L820" s="65">
        <v>222351</v>
      </c>
      <c r="M820" t="s">
        <v>885</v>
      </c>
    </row>
    <row r="821" spans="12:13">
      <c r="L821" s="65">
        <v>222390</v>
      </c>
      <c r="M821" t="s">
        <v>886</v>
      </c>
    </row>
    <row r="822" spans="12:13">
      <c r="L822" s="65">
        <v>222391</v>
      </c>
      <c r="M822" t="s">
        <v>886</v>
      </c>
    </row>
    <row r="823" spans="12:13">
      <c r="L823" s="65">
        <v>222400</v>
      </c>
      <c r="M823" t="s">
        <v>887</v>
      </c>
    </row>
    <row r="824" spans="12:13">
      <c r="L824" s="65">
        <v>222410</v>
      </c>
      <c r="M824" t="s">
        <v>888</v>
      </c>
    </row>
    <row r="825" spans="12:13">
      <c r="L825" s="65">
        <v>222411</v>
      </c>
      <c r="M825" t="s">
        <v>888</v>
      </c>
    </row>
    <row r="826" spans="12:13">
      <c r="L826" s="65">
        <v>222490</v>
      </c>
      <c r="M826" t="s">
        <v>889</v>
      </c>
    </row>
    <row r="827" spans="12:13">
      <c r="L827" s="65">
        <v>222491</v>
      </c>
      <c r="M827" t="s">
        <v>889</v>
      </c>
    </row>
    <row r="828" spans="12:13">
      <c r="L828" s="65">
        <v>222500</v>
      </c>
      <c r="M828" t="s">
        <v>890</v>
      </c>
    </row>
    <row r="829" spans="12:13">
      <c r="L829" s="65">
        <v>222510</v>
      </c>
      <c r="M829" t="s">
        <v>890</v>
      </c>
    </row>
    <row r="830" spans="12:13">
      <c r="L830" s="65">
        <v>222511</v>
      </c>
      <c r="M830" t="s">
        <v>890</v>
      </c>
    </row>
    <row r="831" spans="12:13">
      <c r="L831" s="65">
        <v>222600</v>
      </c>
      <c r="M831" t="s">
        <v>891</v>
      </c>
    </row>
    <row r="832" spans="12:13">
      <c r="L832" s="65">
        <v>222610</v>
      </c>
      <c r="M832" t="s">
        <v>891</v>
      </c>
    </row>
    <row r="833" spans="12:13">
      <c r="L833" s="65">
        <v>222611</v>
      </c>
      <c r="M833" t="s">
        <v>891</v>
      </c>
    </row>
    <row r="834" spans="12:13">
      <c r="L834" s="65">
        <v>223000</v>
      </c>
      <c r="M834" t="s">
        <v>892</v>
      </c>
    </row>
    <row r="835" spans="12:13">
      <c r="L835" s="65">
        <v>223100</v>
      </c>
      <c r="M835" t="s">
        <v>892</v>
      </c>
    </row>
    <row r="836" spans="12:13">
      <c r="L836" s="65">
        <v>223110</v>
      </c>
      <c r="M836" t="s">
        <v>892</v>
      </c>
    </row>
    <row r="837" spans="12:13">
      <c r="L837" s="65">
        <v>223111</v>
      </c>
      <c r="M837" t="s">
        <v>892</v>
      </c>
    </row>
    <row r="838" spans="12:13">
      <c r="L838" s="65">
        <v>230000</v>
      </c>
      <c r="M838" t="s">
        <v>893</v>
      </c>
    </row>
    <row r="839" spans="12:13">
      <c r="L839" s="65">
        <v>231000</v>
      </c>
      <c r="M839" t="s">
        <v>894</v>
      </c>
    </row>
    <row r="840" spans="12:13">
      <c r="L840" s="65">
        <v>231100</v>
      </c>
      <c r="M840" t="s">
        <v>895</v>
      </c>
    </row>
    <row r="841" spans="12:13">
      <c r="L841" s="65">
        <v>231110</v>
      </c>
      <c r="M841" t="s">
        <v>895</v>
      </c>
    </row>
    <row r="842" spans="12:13">
      <c r="L842" s="65">
        <v>231111</v>
      </c>
      <c r="M842" t="s">
        <v>895</v>
      </c>
    </row>
    <row r="843" spans="12:13">
      <c r="L843" s="65">
        <v>231200</v>
      </c>
      <c r="M843" t="s">
        <v>896</v>
      </c>
    </row>
    <row r="844" spans="12:13">
      <c r="L844" s="65">
        <v>231210</v>
      </c>
      <c r="M844" t="s">
        <v>896</v>
      </c>
    </row>
    <row r="845" spans="12:13">
      <c r="L845" s="65">
        <v>231211</v>
      </c>
      <c r="M845" t="s">
        <v>896</v>
      </c>
    </row>
    <row r="846" spans="12:13">
      <c r="L846" s="65">
        <v>231300</v>
      </c>
      <c r="M846" t="s">
        <v>897</v>
      </c>
    </row>
    <row r="847" spans="12:13">
      <c r="L847" s="65">
        <v>231310</v>
      </c>
      <c r="M847" t="s">
        <v>897</v>
      </c>
    </row>
    <row r="848" spans="12:13">
      <c r="L848" s="65">
        <v>231311</v>
      </c>
      <c r="M848" t="s">
        <v>897</v>
      </c>
    </row>
    <row r="849" spans="12:13">
      <c r="L849" s="65">
        <v>231400</v>
      </c>
      <c r="M849" t="s">
        <v>898</v>
      </c>
    </row>
    <row r="850" spans="12:13">
      <c r="L850" s="65">
        <v>231410</v>
      </c>
      <c r="M850" t="s">
        <v>898</v>
      </c>
    </row>
    <row r="851" spans="12:13">
      <c r="L851" s="65">
        <v>231411</v>
      </c>
      <c r="M851" t="s">
        <v>898</v>
      </c>
    </row>
    <row r="852" spans="12:13">
      <c r="L852" s="65">
        <v>231500</v>
      </c>
      <c r="M852" t="s">
        <v>899</v>
      </c>
    </row>
    <row r="853" spans="12:13">
      <c r="L853" s="65">
        <v>231510</v>
      </c>
      <c r="M853" t="s">
        <v>899</v>
      </c>
    </row>
    <row r="854" spans="12:13">
      <c r="L854" s="65">
        <v>231511</v>
      </c>
      <c r="M854" t="s">
        <v>899</v>
      </c>
    </row>
    <row r="855" spans="12:13">
      <c r="L855" s="65">
        <v>232000</v>
      </c>
      <c r="M855" t="s">
        <v>900</v>
      </c>
    </row>
    <row r="856" spans="12:13">
      <c r="L856" s="65">
        <v>232100</v>
      </c>
      <c r="M856" t="s">
        <v>901</v>
      </c>
    </row>
    <row r="857" spans="12:13">
      <c r="L857" s="65">
        <v>232110</v>
      </c>
      <c r="M857" t="s">
        <v>901</v>
      </c>
    </row>
    <row r="858" spans="12:13">
      <c r="L858" s="65">
        <v>232111</v>
      </c>
      <c r="M858" t="s">
        <v>901</v>
      </c>
    </row>
    <row r="859" spans="12:13">
      <c r="L859" s="65">
        <v>232200</v>
      </c>
      <c r="M859" t="s">
        <v>902</v>
      </c>
    </row>
    <row r="860" spans="12:13">
      <c r="L860" s="65">
        <v>232210</v>
      </c>
      <c r="M860" t="s">
        <v>902</v>
      </c>
    </row>
    <row r="861" spans="12:13">
      <c r="L861" s="65">
        <v>232211</v>
      </c>
      <c r="M861" t="s">
        <v>902</v>
      </c>
    </row>
    <row r="862" spans="12:13">
      <c r="L862" s="65">
        <v>232300</v>
      </c>
      <c r="M862" t="s">
        <v>903</v>
      </c>
    </row>
    <row r="863" spans="12:13">
      <c r="L863" s="65">
        <v>232310</v>
      </c>
      <c r="M863" t="s">
        <v>903</v>
      </c>
    </row>
    <row r="864" spans="12:13">
      <c r="L864" s="65">
        <v>232311</v>
      </c>
      <c r="M864" t="s">
        <v>903</v>
      </c>
    </row>
    <row r="865" spans="12:13">
      <c r="L865" s="65">
        <v>232400</v>
      </c>
      <c r="M865" t="s">
        <v>904</v>
      </c>
    </row>
    <row r="866" spans="12:13">
      <c r="L866" s="65">
        <v>232410</v>
      </c>
      <c r="M866" t="s">
        <v>904</v>
      </c>
    </row>
    <row r="867" spans="12:13">
      <c r="L867" s="65">
        <v>232411</v>
      </c>
      <c r="M867" t="s">
        <v>904</v>
      </c>
    </row>
    <row r="868" spans="12:13">
      <c r="L868" s="65">
        <v>232500</v>
      </c>
      <c r="M868" t="s">
        <v>905</v>
      </c>
    </row>
    <row r="869" spans="12:13">
      <c r="L869" s="65">
        <v>232510</v>
      </c>
      <c r="M869" t="s">
        <v>905</v>
      </c>
    </row>
    <row r="870" spans="12:13">
      <c r="L870" s="65">
        <v>232511</v>
      </c>
      <c r="M870" t="s">
        <v>905</v>
      </c>
    </row>
    <row r="871" spans="12:13">
      <c r="L871" s="65">
        <v>233000</v>
      </c>
      <c r="M871" t="s">
        <v>906</v>
      </c>
    </row>
    <row r="872" spans="12:13">
      <c r="L872" s="65">
        <v>233100</v>
      </c>
      <c r="M872" t="s">
        <v>907</v>
      </c>
    </row>
    <row r="873" spans="12:13">
      <c r="L873" s="65">
        <v>233110</v>
      </c>
      <c r="M873" t="s">
        <v>907</v>
      </c>
    </row>
    <row r="874" spans="12:13">
      <c r="L874" s="65">
        <v>233111</v>
      </c>
      <c r="M874" t="s">
        <v>907</v>
      </c>
    </row>
    <row r="875" spans="12:13">
      <c r="L875" s="65">
        <v>233200</v>
      </c>
      <c r="M875" t="s">
        <v>908</v>
      </c>
    </row>
    <row r="876" spans="12:13">
      <c r="L876" s="65">
        <v>233210</v>
      </c>
      <c r="M876" t="s">
        <v>908</v>
      </c>
    </row>
    <row r="877" spans="12:13">
      <c r="L877" s="65">
        <v>233211</v>
      </c>
      <c r="M877" t="s">
        <v>908</v>
      </c>
    </row>
    <row r="878" spans="12:13">
      <c r="L878" s="65">
        <v>233300</v>
      </c>
      <c r="M878" t="s">
        <v>909</v>
      </c>
    </row>
    <row r="879" spans="12:13">
      <c r="L879" s="65">
        <v>233310</v>
      </c>
      <c r="M879" t="s">
        <v>909</v>
      </c>
    </row>
    <row r="880" spans="12:13">
      <c r="L880" s="65">
        <v>233311</v>
      </c>
      <c r="M880" t="s">
        <v>909</v>
      </c>
    </row>
    <row r="881" spans="12:13">
      <c r="L881" s="65">
        <v>233400</v>
      </c>
      <c r="M881" t="s">
        <v>910</v>
      </c>
    </row>
    <row r="882" spans="12:13">
      <c r="L882" s="65">
        <v>233410</v>
      </c>
      <c r="M882" t="s">
        <v>910</v>
      </c>
    </row>
    <row r="883" spans="12:13">
      <c r="L883" s="65">
        <v>233411</v>
      </c>
      <c r="M883" t="s">
        <v>910</v>
      </c>
    </row>
    <row r="884" spans="12:13">
      <c r="L884" s="65">
        <v>233500</v>
      </c>
      <c r="M884" t="s">
        <v>911</v>
      </c>
    </row>
    <row r="885" spans="12:13">
      <c r="L885" s="65">
        <v>233510</v>
      </c>
      <c r="M885" t="s">
        <v>911</v>
      </c>
    </row>
    <row r="886" spans="12:13">
      <c r="L886" s="65">
        <v>233511</v>
      </c>
      <c r="M886" t="s">
        <v>911</v>
      </c>
    </row>
    <row r="887" spans="12:13">
      <c r="L887" s="65">
        <v>234000</v>
      </c>
      <c r="M887" t="s">
        <v>912</v>
      </c>
    </row>
    <row r="888" spans="12:13">
      <c r="L888" s="65">
        <v>234100</v>
      </c>
      <c r="M888" t="s">
        <v>913</v>
      </c>
    </row>
    <row r="889" spans="12:13">
      <c r="L889" s="65">
        <v>234110</v>
      </c>
      <c r="M889" t="s">
        <v>913</v>
      </c>
    </row>
    <row r="890" spans="12:13">
      <c r="L890" s="65">
        <v>234111</v>
      </c>
      <c r="M890" t="s">
        <v>913</v>
      </c>
    </row>
    <row r="891" spans="12:13">
      <c r="L891" s="65">
        <v>234200</v>
      </c>
      <c r="M891" t="s">
        <v>914</v>
      </c>
    </row>
    <row r="892" spans="12:13">
      <c r="L892" s="65">
        <v>234210</v>
      </c>
      <c r="M892" t="s">
        <v>914</v>
      </c>
    </row>
    <row r="893" spans="12:13">
      <c r="L893" s="65">
        <v>234211</v>
      </c>
      <c r="M893" t="s">
        <v>914</v>
      </c>
    </row>
    <row r="894" spans="12:13">
      <c r="L894" s="65">
        <v>234300</v>
      </c>
      <c r="M894" t="s">
        <v>915</v>
      </c>
    </row>
    <row r="895" spans="12:13">
      <c r="L895" s="65">
        <v>234310</v>
      </c>
      <c r="M895" t="s">
        <v>915</v>
      </c>
    </row>
    <row r="896" spans="12:13">
      <c r="L896" s="65">
        <v>234311</v>
      </c>
      <c r="M896" t="s">
        <v>915</v>
      </c>
    </row>
    <row r="897" spans="12:13">
      <c r="L897" s="65">
        <v>235000</v>
      </c>
      <c r="M897" t="s">
        <v>916</v>
      </c>
    </row>
    <row r="898" spans="12:13">
      <c r="L898" s="65">
        <v>235100</v>
      </c>
      <c r="M898" t="s">
        <v>917</v>
      </c>
    </row>
    <row r="899" spans="12:13">
      <c r="L899" s="65">
        <v>235110</v>
      </c>
      <c r="M899" t="s">
        <v>917</v>
      </c>
    </row>
    <row r="900" spans="12:13">
      <c r="L900" s="65">
        <v>235111</v>
      </c>
      <c r="M900" t="s">
        <v>917</v>
      </c>
    </row>
    <row r="901" spans="12:13">
      <c r="L901" s="65">
        <v>235200</v>
      </c>
      <c r="M901" t="s">
        <v>918</v>
      </c>
    </row>
    <row r="902" spans="12:13">
      <c r="L902" s="65">
        <v>235210</v>
      </c>
      <c r="M902" t="s">
        <v>918</v>
      </c>
    </row>
    <row r="903" spans="12:13">
      <c r="L903" s="65">
        <v>235211</v>
      </c>
      <c r="M903" t="s">
        <v>918</v>
      </c>
    </row>
    <row r="904" spans="12:13">
      <c r="L904" s="65">
        <v>235300</v>
      </c>
      <c r="M904" t="s">
        <v>919</v>
      </c>
    </row>
    <row r="905" spans="12:13">
      <c r="L905" s="65">
        <v>235310</v>
      </c>
      <c r="M905" t="s">
        <v>919</v>
      </c>
    </row>
    <row r="906" spans="12:13">
      <c r="L906" s="65">
        <v>235311</v>
      </c>
      <c r="M906" t="s">
        <v>919</v>
      </c>
    </row>
    <row r="907" spans="12:13">
      <c r="L907" s="65">
        <v>235400</v>
      </c>
      <c r="M907" t="s">
        <v>920</v>
      </c>
    </row>
    <row r="908" spans="12:13">
      <c r="L908" s="65">
        <v>235410</v>
      </c>
      <c r="M908" t="s">
        <v>920</v>
      </c>
    </row>
    <row r="909" spans="12:13">
      <c r="L909" s="65">
        <v>235411</v>
      </c>
      <c r="M909" t="s">
        <v>920</v>
      </c>
    </row>
    <row r="910" spans="12:13">
      <c r="L910" s="65">
        <v>235500</v>
      </c>
      <c r="M910" t="s">
        <v>921</v>
      </c>
    </row>
    <row r="911" spans="12:13">
      <c r="L911" s="65">
        <v>235510</v>
      </c>
      <c r="M911" t="s">
        <v>921</v>
      </c>
    </row>
    <row r="912" spans="12:13">
      <c r="L912" s="65">
        <v>235511</v>
      </c>
      <c r="M912" t="s">
        <v>921</v>
      </c>
    </row>
    <row r="913" spans="12:13">
      <c r="L913" s="65">
        <v>236000</v>
      </c>
      <c r="M913" t="s">
        <v>922</v>
      </c>
    </row>
    <row r="914" spans="12:13">
      <c r="L914" s="65">
        <v>236100</v>
      </c>
      <c r="M914" t="s">
        <v>923</v>
      </c>
    </row>
    <row r="915" spans="12:13">
      <c r="L915" s="65">
        <v>236110</v>
      </c>
      <c r="M915" t="s">
        <v>923</v>
      </c>
    </row>
    <row r="916" spans="12:13">
      <c r="L916" s="65">
        <v>236111</v>
      </c>
      <c r="M916" t="s">
        <v>923</v>
      </c>
    </row>
    <row r="917" spans="12:13">
      <c r="L917" s="65">
        <v>236120</v>
      </c>
      <c r="M917" t="s">
        <v>924</v>
      </c>
    </row>
    <row r="918" spans="12:13">
      <c r="L918" s="65">
        <v>236121</v>
      </c>
      <c r="M918" t="s">
        <v>925</v>
      </c>
    </row>
    <row r="919" spans="12:13">
      <c r="L919" s="65">
        <v>236122</v>
      </c>
      <c r="M919" t="s">
        <v>926</v>
      </c>
    </row>
    <row r="920" spans="12:13">
      <c r="L920" s="65">
        <v>236123</v>
      </c>
      <c r="M920" t="s">
        <v>927</v>
      </c>
    </row>
    <row r="921" spans="12:13">
      <c r="L921" s="65">
        <v>236200</v>
      </c>
      <c r="M921" t="s">
        <v>928</v>
      </c>
    </row>
    <row r="922" spans="12:13">
      <c r="L922" s="65">
        <v>236210</v>
      </c>
      <c r="M922" t="s">
        <v>928</v>
      </c>
    </row>
    <row r="923" spans="12:13">
      <c r="L923" s="65">
        <v>236211</v>
      </c>
      <c r="M923" t="s">
        <v>928</v>
      </c>
    </row>
    <row r="924" spans="12:13">
      <c r="L924" s="65">
        <v>236300</v>
      </c>
      <c r="M924" t="s">
        <v>929</v>
      </c>
    </row>
    <row r="925" spans="12:13">
      <c r="L925" s="65">
        <v>236310</v>
      </c>
      <c r="M925" t="s">
        <v>929</v>
      </c>
    </row>
    <row r="926" spans="12:13">
      <c r="L926" s="65">
        <v>236311</v>
      </c>
      <c r="M926" t="s">
        <v>929</v>
      </c>
    </row>
    <row r="927" spans="12:13">
      <c r="L927" s="65">
        <v>236400</v>
      </c>
      <c r="M927" t="s">
        <v>930</v>
      </c>
    </row>
    <row r="928" spans="12:13">
      <c r="L928" s="65">
        <v>236410</v>
      </c>
      <c r="M928" t="s">
        <v>930</v>
      </c>
    </row>
    <row r="929" spans="12:13">
      <c r="L929" s="65">
        <v>236411</v>
      </c>
      <c r="M929" t="s">
        <v>930</v>
      </c>
    </row>
    <row r="930" spans="12:13">
      <c r="L930" s="65">
        <v>236500</v>
      </c>
      <c r="M930" t="s">
        <v>931</v>
      </c>
    </row>
    <row r="931" spans="12:13">
      <c r="L931" s="65">
        <v>236510</v>
      </c>
      <c r="M931" t="s">
        <v>931</v>
      </c>
    </row>
    <row r="932" spans="12:13">
      <c r="L932" s="65">
        <v>236511</v>
      </c>
      <c r="M932" t="s">
        <v>931</v>
      </c>
    </row>
    <row r="933" spans="12:13">
      <c r="L933" s="65">
        <v>237000</v>
      </c>
      <c r="M933" t="s">
        <v>932</v>
      </c>
    </row>
    <row r="934" spans="12:13">
      <c r="L934" s="65">
        <v>237100</v>
      </c>
      <c r="M934" t="s">
        <v>933</v>
      </c>
    </row>
    <row r="935" spans="12:13">
      <c r="L935" s="65">
        <v>237110</v>
      </c>
      <c r="M935" t="s">
        <v>933</v>
      </c>
    </row>
    <row r="936" spans="12:13">
      <c r="L936" s="65">
        <v>237111</v>
      </c>
      <c r="M936" t="s">
        <v>934</v>
      </c>
    </row>
    <row r="937" spans="12:13">
      <c r="L937" s="65">
        <v>237112</v>
      </c>
      <c r="M937" t="s">
        <v>935</v>
      </c>
    </row>
    <row r="938" spans="12:13">
      <c r="L938" s="65">
        <v>237200</v>
      </c>
      <c r="M938" t="s">
        <v>936</v>
      </c>
    </row>
    <row r="939" spans="12:13">
      <c r="L939" s="65">
        <v>237210</v>
      </c>
      <c r="M939" t="s">
        <v>936</v>
      </c>
    </row>
    <row r="940" spans="12:13">
      <c r="L940" s="65">
        <v>237211</v>
      </c>
      <c r="M940" t="s">
        <v>936</v>
      </c>
    </row>
    <row r="941" spans="12:13">
      <c r="L941" s="65">
        <v>237300</v>
      </c>
      <c r="M941" t="s">
        <v>937</v>
      </c>
    </row>
    <row r="942" spans="12:13">
      <c r="L942" s="65">
        <v>237310</v>
      </c>
      <c r="M942" t="s">
        <v>937</v>
      </c>
    </row>
    <row r="943" spans="12:13">
      <c r="L943" s="65">
        <v>237311</v>
      </c>
      <c r="M943" t="s">
        <v>937</v>
      </c>
    </row>
    <row r="944" spans="12:13">
      <c r="L944" s="65">
        <v>237400</v>
      </c>
      <c r="M944" t="s">
        <v>938</v>
      </c>
    </row>
    <row r="945" spans="12:13">
      <c r="L945" s="65">
        <v>237410</v>
      </c>
      <c r="M945" t="s">
        <v>938</v>
      </c>
    </row>
    <row r="946" spans="12:13">
      <c r="L946" s="65">
        <v>237411</v>
      </c>
      <c r="M946" t="s">
        <v>938</v>
      </c>
    </row>
    <row r="947" spans="12:13">
      <c r="L947" s="65">
        <v>237500</v>
      </c>
      <c r="M947" t="s">
        <v>939</v>
      </c>
    </row>
    <row r="948" spans="12:13">
      <c r="L948" s="65">
        <v>237510</v>
      </c>
      <c r="M948" t="s">
        <v>939</v>
      </c>
    </row>
    <row r="949" spans="12:13">
      <c r="L949" s="65">
        <v>237511</v>
      </c>
      <c r="M949" t="s">
        <v>939</v>
      </c>
    </row>
    <row r="950" spans="12:13">
      <c r="L950" s="65">
        <v>237600</v>
      </c>
      <c r="M950" t="s">
        <v>940</v>
      </c>
    </row>
    <row r="951" spans="12:13">
      <c r="L951" s="65">
        <v>237610</v>
      </c>
      <c r="M951" t="s">
        <v>940</v>
      </c>
    </row>
    <row r="952" spans="12:13">
      <c r="L952" s="65">
        <v>237611</v>
      </c>
      <c r="M952" t="s">
        <v>940</v>
      </c>
    </row>
    <row r="953" spans="12:13">
      <c r="L953" s="65">
        <v>237700</v>
      </c>
      <c r="M953" t="s">
        <v>941</v>
      </c>
    </row>
    <row r="954" spans="12:13">
      <c r="L954" s="65">
        <v>237710</v>
      </c>
      <c r="M954" t="s">
        <v>941</v>
      </c>
    </row>
    <row r="955" spans="12:13">
      <c r="L955" s="65">
        <v>237711</v>
      </c>
      <c r="M955" t="s">
        <v>941</v>
      </c>
    </row>
    <row r="956" spans="12:13">
      <c r="L956" s="65">
        <v>238000</v>
      </c>
      <c r="M956" t="s">
        <v>942</v>
      </c>
    </row>
    <row r="957" spans="12:13">
      <c r="L957" s="65">
        <v>238100</v>
      </c>
      <c r="M957" t="s">
        <v>943</v>
      </c>
    </row>
    <row r="958" spans="12:13">
      <c r="L958" s="65">
        <v>238110</v>
      </c>
      <c r="M958" t="s">
        <v>943</v>
      </c>
    </row>
    <row r="959" spans="12:13">
      <c r="L959" s="65">
        <v>238111</v>
      </c>
      <c r="M959" t="s">
        <v>943</v>
      </c>
    </row>
    <row r="960" spans="12:13">
      <c r="L960" s="65">
        <v>238200</v>
      </c>
      <c r="M960" t="s">
        <v>944</v>
      </c>
    </row>
    <row r="961" spans="12:13">
      <c r="L961" s="65">
        <v>238210</v>
      </c>
      <c r="M961" t="s">
        <v>944</v>
      </c>
    </row>
    <row r="962" spans="12:13">
      <c r="L962" s="65">
        <v>238211</v>
      </c>
      <c r="M962" t="s">
        <v>944</v>
      </c>
    </row>
    <row r="963" spans="12:13">
      <c r="L963" s="65">
        <v>238300</v>
      </c>
      <c r="M963" t="s">
        <v>945</v>
      </c>
    </row>
    <row r="964" spans="12:13">
      <c r="L964" s="65">
        <v>238310</v>
      </c>
      <c r="M964" t="s">
        <v>945</v>
      </c>
    </row>
    <row r="965" spans="12:13">
      <c r="L965" s="65">
        <v>238311</v>
      </c>
      <c r="M965" t="s">
        <v>945</v>
      </c>
    </row>
    <row r="966" spans="12:13">
      <c r="L966" s="65">
        <v>238400</v>
      </c>
      <c r="M966" t="s">
        <v>946</v>
      </c>
    </row>
    <row r="967" spans="12:13">
      <c r="L967" s="65">
        <v>238410</v>
      </c>
      <c r="M967" t="s">
        <v>946</v>
      </c>
    </row>
    <row r="968" spans="12:13">
      <c r="L968" s="65">
        <v>238411</v>
      </c>
      <c r="M968" t="s">
        <v>946</v>
      </c>
    </row>
    <row r="969" spans="12:13">
      <c r="L969" s="65">
        <v>238500</v>
      </c>
      <c r="M969" t="s">
        <v>947</v>
      </c>
    </row>
    <row r="970" spans="12:13">
      <c r="L970" s="65">
        <v>238510</v>
      </c>
      <c r="M970" t="s">
        <v>947</v>
      </c>
    </row>
    <row r="971" spans="12:13">
      <c r="L971" s="65">
        <v>238511</v>
      </c>
      <c r="M971" t="s">
        <v>947</v>
      </c>
    </row>
    <row r="972" spans="12:13">
      <c r="L972" s="65">
        <v>239000</v>
      </c>
      <c r="M972" t="s">
        <v>948</v>
      </c>
    </row>
    <row r="973" spans="12:13">
      <c r="L973" s="65">
        <v>239100</v>
      </c>
      <c r="M973" t="s">
        <v>949</v>
      </c>
    </row>
    <row r="974" spans="12:13">
      <c r="L974" s="65">
        <v>239110</v>
      </c>
      <c r="M974" t="s">
        <v>949</v>
      </c>
    </row>
    <row r="975" spans="12:13">
      <c r="L975" s="65">
        <v>239111</v>
      </c>
      <c r="M975" t="s">
        <v>949</v>
      </c>
    </row>
    <row r="976" spans="12:13">
      <c r="L976" s="65">
        <v>239200</v>
      </c>
      <c r="M976" t="s">
        <v>950</v>
      </c>
    </row>
    <row r="977" spans="12:13">
      <c r="L977" s="65">
        <v>239210</v>
      </c>
      <c r="M977" t="s">
        <v>950</v>
      </c>
    </row>
    <row r="978" spans="12:13">
      <c r="L978" s="65">
        <v>239211</v>
      </c>
      <c r="M978" t="s">
        <v>950</v>
      </c>
    </row>
    <row r="979" spans="12:13">
      <c r="L979" s="65">
        <v>239300</v>
      </c>
      <c r="M979" t="s">
        <v>951</v>
      </c>
    </row>
    <row r="980" spans="12:13">
      <c r="L980" s="65">
        <v>239310</v>
      </c>
      <c r="M980" t="s">
        <v>951</v>
      </c>
    </row>
    <row r="981" spans="12:13">
      <c r="L981" s="65">
        <v>239311</v>
      </c>
      <c r="M981" t="s">
        <v>951</v>
      </c>
    </row>
    <row r="982" spans="12:13">
      <c r="L982" s="65">
        <v>239400</v>
      </c>
      <c r="M982" t="s">
        <v>952</v>
      </c>
    </row>
    <row r="983" spans="12:13">
      <c r="L983" s="65">
        <v>239410</v>
      </c>
      <c r="M983" t="s">
        <v>952</v>
      </c>
    </row>
    <row r="984" spans="12:13">
      <c r="L984" s="65">
        <v>239411</v>
      </c>
      <c r="M984" t="s">
        <v>952</v>
      </c>
    </row>
    <row r="985" spans="12:13">
      <c r="L985" s="65">
        <v>239500</v>
      </c>
      <c r="M985" t="s">
        <v>953</v>
      </c>
    </row>
    <row r="986" spans="12:13">
      <c r="L986" s="65">
        <v>239510</v>
      </c>
      <c r="M986" t="s">
        <v>953</v>
      </c>
    </row>
    <row r="987" spans="12:13">
      <c r="L987" s="65">
        <v>239511</v>
      </c>
      <c r="M987" t="s">
        <v>953</v>
      </c>
    </row>
    <row r="988" spans="12:13">
      <c r="L988" s="65">
        <v>240000</v>
      </c>
      <c r="M988" t="s">
        <v>954</v>
      </c>
    </row>
    <row r="989" spans="12:13">
      <c r="L989" s="65">
        <v>241000</v>
      </c>
      <c r="M989" t="s">
        <v>955</v>
      </c>
    </row>
    <row r="990" spans="12:13">
      <c r="L990" s="65">
        <v>241100</v>
      </c>
      <c r="M990" t="s">
        <v>956</v>
      </c>
    </row>
    <row r="991" spans="12:13">
      <c r="L991" s="65">
        <v>241110</v>
      </c>
      <c r="M991" t="s">
        <v>957</v>
      </c>
    </row>
    <row r="992" spans="12:13">
      <c r="L992" s="65">
        <v>241111</v>
      </c>
      <c r="M992" t="s">
        <v>958</v>
      </c>
    </row>
    <row r="993" spans="12:13">
      <c r="L993" s="65">
        <v>241112</v>
      </c>
      <c r="M993" t="s">
        <v>959</v>
      </c>
    </row>
    <row r="994" spans="12:13">
      <c r="L994" s="65">
        <v>241120</v>
      </c>
      <c r="M994" t="s">
        <v>960</v>
      </c>
    </row>
    <row r="995" spans="12:13">
      <c r="L995" s="65">
        <v>241121</v>
      </c>
      <c r="M995" t="s">
        <v>961</v>
      </c>
    </row>
    <row r="996" spans="12:13">
      <c r="L996" s="65">
        <v>241122</v>
      </c>
      <c r="M996" t="s">
        <v>962</v>
      </c>
    </row>
    <row r="997" spans="12:13">
      <c r="L997" s="65">
        <v>241123</v>
      </c>
      <c r="M997" t="s">
        <v>963</v>
      </c>
    </row>
    <row r="998" spans="12:13">
      <c r="L998" s="65">
        <v>241124</v>
      </c>
      <c r="M998" t="s">
        <v>964</v>
      </c>
    </row>
    <row r="999" spans="12:13">
      <c r="L999" s="65">
        <v>241125</v>
      </c>
      <c r="M999" t="s">
        <v>965</v>
      </c>
    </row>
    <row r="1000" spans="12:13">
      <c r="L1000" s="65">
        <v>241130</v>
      </c>
      <c r="M1000" t="s">
        <v>966</v>
      </c>
    </row>
    <row r="1001" spans="12:13">
      <c r="L1001" s="65">
        <v>241131</v>
      </c>
      <c r="M1001" t="s">
        <v>967</v>
      </c>
    </row>
    <row r="1002" spans="12:13">
      <c r="L1002" s="65">
        <v>241132</v>
      </c>
      <c r="M1002" t="s">
        <v>968</v>
      </c>
    </row>
    <row r="1003" spans="12:13">
      <c r="L1003" s="65">
        <v>241140</v>
      </c>
      <c r="M1003" t="s">
        <v>969</v>
      </c>
    </row>
    <row r="1004" spans="12:13">
      <c r="L1004" s="65">
        <v>241141</v>
      </c>
      <c r="M1004" t="s">
        <v>969</v>
      </c>
    </row>
    <row r="1005" spans="12:13">
      <c r="L1005" s="65">
        <v>241150</v>
      </c>
      <c r="M1005" t="s">
        <v>970</v>
      </c>
    </row>
    <row r="1006" spans="12:13">
      <c r="L1006" s="65">
        <v>241151</v>
      </c>
      <c r="M1006" t="s">
        <v>970</v>
      </c>
    </row>
    <row r="1007" spans="12:13">
      <c r="L1007" s="65">
        <v>241160</v>
      </c>
      <c r="M1007" t="s">
        <v>971</v>
      </c>
    </row>
    <row r="1008" spans="12:13">
      <c r="L1008" s="65">
        <v>241161</v>
      </c>
      <c r="M1008" t="s">
        <v>971</v>
      </c>
    </row>
    <row r="1009" spans="12:13">
      <c r="L1009" s="65">
        <v>241170</v>
      </c>
      <c r="M1009" t="s">
        <v>972</v>
      </c>
    </row>
    <row r="1010" spans="12:13">
      <c r="L1010" s="65">
        <v>241171</v>
      </c>
      <c r="M1010" t="s">
        <v>972</v>
      </c>
    </row>
    <row r="1011" spans="12:13">
      <c r="L1011" s="65">
        <v>241180</v>
      </c>
      <c r="M1011" t="s">
        <v>973</v>
      </c>
    </row>
    <row r="1012" spans="12:13">
      <c r="L1012" s="65">
        <v>241181</v>
      </c>
      <c r="M1012" t="s">
        <v>973</v>
      </c>
    </row>
    <row r="1013" spans="12:13">
      <c r="L1013" s="65">
        <v>241200</v>
      </c>
      <c r="M1013" t="s">
        <v>974</v>
      </c>
    </row>
    <row r="1014" spans="12:13">
      <c r="L1014" s="65">
        <v>241210</v>
      </c>
      <c r="M1014" t="s">
        <v>975</v>
      </c>
    </row>
    <row r="1015" spans="12:13">
      <c r="L1015" s="65">
        <v>241211</v>
      </c>
      <c r="M1015" t="s">
        <v>976</v>
      </c>
    </row>
    <row r="1016" spans="12:13">
      <c r="L1016" s="65">
        <v>241212</v>
      </c>
      <c r="M1016" t="s">
        <v>977</v>
      </c>
    </row>
    <row r="1017" spans="12:13">
      <c r="L1017" s="65">
        <v>241220</v>
      </c>
      <c r="M1017" t="s">
        <v>978</v>
      </c>
    </row>
    <row r="1018" spans="12:13">
      <c r="L1018" s="65">
        <v>241221</v>
      </c>
      <c r="M1018" t="s">
        <v>979</v>
      </c>
    </row>
    <row r="1019" spans="12:13">
      <c r="L1019" s="65">
        <v>241222</v>
      </c>
      <c r="M1019" t="s">
        <v>980</v>
      </c>
    </row>
    <row r="1020" spans="12:13">
      <c r="L1020" s="65">
        <v>241229</v>
      </c>
      <c r="M1020" t="s">
        <v>981</v>
      </c>
    </row>
    <row r="1021" spans="12:13">
      <c r="L1021" s="65">
        <v>241230</v>
      </c>
      <c r="M1021" t="s">
        <v>982</v>
      </c>
    </row>
    <row r="1022" spans="12:13">
      <c r="L1022" s="65">
        <v>241231</v>
      </c>
      <c r="M1022" t="s">
        <v>983</v>
      </c>
    </row>
    <row r="1023" spans="12:13">
      <c r="L1023" s="65">
        <v>241232</v>
      </c>
      <c r="M1023" t="s">
        <v>984</v>
      </c>
    </row>
    <row r="1024" spans="12:13">
      <c r="L1024" s="65">
        <v>241233</v>
      </c>
      <c r="M1024" t="s">
        <v>985</v>
      </c>
    </row>
    <row r="1025" spans="12:13">
      <c r="L1025" s="65">
        <v>241234</v>
      </c>
      <c r="M1025" t="s">
        <v>986</v>
      </c>
    </row>
    <row r="1026" spans="12:13">
      <c r="L1026" s="65">
        <v>241235</v>
      </c>
      <c r="M1026" t="s">
        <v>987</v>
      </c>
    </row>
    <row r="1027" spans="12:13">
      <c r="L1027" s="65">
        <v>241239</v>
      </c>
      <c r="M1027" t="s">
        <v>988</v>
      </c>
    </row>
    <row r="1028" spans="12:13">
      <c r="L1028" s="65">
        <v>241240</v>
      </c>
      <c r="M1028" t="s">
        <v>989</v>
      </c>
    </row>
    <row r="1029" spans="12:13">
      <c r="L1029" s="65">
        <v>241241</v>
      </c>
      <c r="M1029" t="s">
        <v>990</v>
      </c>
    </row>
    <row r="1030" spans="12:13">
      <c r="L1030" s="65">
        <v>241249</v>
      </c>
      <c r="M1030" t="s">
        <v>991</v>
      </c>
    </row>
    <row r="1031" spans="12:13">
      <c r="L1031" s="65">
        <v>241250</v>
      </c>
      <c r="M1031" t="s">
        <v>992</v>
      </c>
    </row>
    <row r="1032" spans="12:13">
      <c r="L1032" s="65">
        <v>241251</v>
      </c>
      <c r="M1032" t="s">
        <v>992</v>
      </c>
    </row>
    <row r="1033" spans="12:13">
      <c r="L1033" s="65">
        <v>241260</v>
      </c>
      <c r="M1033" t="s">
        <v>993</v>
      </c>
    </row>
    <row r="1034" spans="12:13">
      <c r="L1034" s="65">
        <v>241261</v>
      </c>
      <c r="M1034" t="s">
        <v>993</v>
      </c>
    </row>
    <row r="1035" spans="12:13">
      <c r="L1035" s="65">
        <v>241300</v>
      </c>
      <c r="M1035" t="s">
        <v>994</v>
      </c>
    </row>
    <row r="1036" spans="12:13">
      <c r="L1036" s="65">
        <v>241310</v>
      </c>
      <c r="M1036" t="s">
        <v>994</v>
      </c>
    </row>
    <row r="1037" spans="12:13">
      <c r="L1037" s="65">
        <v>241311</v>
      </c>
      <c r="M1037" t="s">
        <v>994</v>
      </c>
    </row>
    <row r="1038" spans="12:13">
      <c r="L1038" s="65">
        <v>241400</v>
      </c>
      <c r="M1038" t="s">
        <v>995</v>
      </c>
    </row>
    <row r="1039" spans="12:13">
      <c r="L1039" s="65">
        <v>241410</v>
      </c>
      <c r="M1039" t="s">
        <v>995</v>
      </c>
    </row>
    <row r="1040" spans="12:13">
      <c r="L1040" s="65">
        <v>241411</v>
      </c>
      <c r="M1040" t="s">
        <v>996</v>
      </c>
    </row>
    <row r="1041" spans="12:13">
      <c r="L1041" s="65">
        <v>241412</v>
      </c>
      <c r="M1041" t="s">
        <v>997</v>
      </c>
    </row>
    <row r="1042" spans="12:13">
      <c r="L1042" s="65">
        <v>241413</v>
      </c>
      <c r="M1042" t="s">
        <v>998</v>
      </c>
    </row>
    <row r="1043" spans="12:13">
      <c r="L1043" s="65">
        <v>242000</v>
      </c>
      <c r="M1043" t="s">
        <v>999</v>
      </c>
    </row>
    <row r="1044" spans="12:13">
      <c r="L1044" s="65">
        <v>242100</v>
      </c>
      <c r="M1044" t="s">
        <v>1000</v>
      </c>
    </row>
    <row r="1045" spans="12:13">
      <c r="L1045" s="65">
        <v>242110</v>
      </c>
      <c r="M1045" t="s">
        <v>1001</v>
      </c>
    </row>
    <row r="1046" spans="12:13">
      <c r="L1046" s="65">
        <v>242111</v>
      </c>
      <c r="M1046" t="s">
        <v>1002</v>
      </c>
    </row>
    <row r="1047" spans="12:13">
      <c r="L1047" s="65">
        <v>242112</v>
      </c>
      <c r="M1047" t="s">
        <v>1003</v>
      </c>
    </row>
    <row r="1048" spans="12:13">
      <c r="L1048" s="65">
        <v>242113</v>
      </c>
      <c r="M1048" t="s">
        <v>1004</v>
      </c>
    </row>
    <row r="1049" spans="12:13">
      <c r="L1049" s="65">
        <v>242114</v>
      </c>
      <c r="M1049" t="s">
        <v>1005</v>
      </c>
    </row>
    <row r="1050" spans="12:13">
      <c r="L1050" s="65">
        <v>242119</v>
      </c>
      <c r="M1050" t="s">
        <v>1006</v>
      </c>
    </row>
    <row r="1051" spans="12:13">
      <c r="L1051" s="65">
        <v>242120</v>
      </c>
      <c r="M1051" t="s">
        <v>1007</v>
      </c>
    </row>
    <row r="1052" spans="12:13">
      <c r="L1052" s="65">
        <v>242121</v>
      </c>
      <c r="M1052" t="s">
        <v>1008</v>
      </c>
    </row>
    <row r="1053" spans="12:13">
      <c r="L1053" s="65">
        <v>242122</v>
      </c>
      <c r="M1053" t="s">
        <v>1009</v>
      </c>
    </row>
    <row r="1054" spans="12:13">
      <c r="L1054" s="65">
        <v>242123</v>
      </c>
      <c r="M1054" t="s">
        <v>1010</v>
      </c>
    </row>
    <row r="1055" spans="12:13">
      <c r="L1055" s="65">
        <v>242124</v>
      </c>
      <c r="M1055" t="s">
        <v>1011</v>
      </c>
    </row>
    <row r="1056" spans="12:13">
      <c r="L1056" s="65">
        <v>242129</v>
      </c>
      <c r="M1056" t="s">
        <v>1012</v>
      </c>
    </row>
    <row r="1057" spans="12:13">
      <c r="L1057" s="65">
        <v>242200</v>
      </c>
      <c r="M1057" t="s">
        <v>1013</v>
      </c>
    </row>
    <row r="1058" spans="12:13">
      <c r="L1058" s="65">
        <v>242210</v>
      </c>
      <c r="M1058" t="s">
        <v>1014</v>
      </c>
    </row>
    <row r="1059" spans="12:13">
      <c r="L1059" s="65">
        <v>242211</v>
      </c>
      <c r="M1059" t="s">
        <v>1015</v>
      </c>
    </row>
    <row r="1060" spans="12:13">
      <c r="L1060" s="65">
        <v>242219</v>
      </c>
      <c r="M1060" t="s">
        <v>1016</v>
      </c>
    </row>
    <row r="1061" spans="12:13">
      <c r="L1061" s="65">
        <v>242220</v>
      </c>
      <c r="M1061" t="s">
        <v>1017</v>
      </c>
    </row>
    <row r="1062" spans="12:13">
      <c r="L1062" s="65">
        <v>242221</v>
      </c>
      <c r="M1062" t="s">
        <v>1018</v>
      </c>
    </row>
    <row r="1063" spans="12:13">
      <c r="L1063" s="65">
        <v>242229</v>
      </c>
      <c r="M1063" t="s">
        <v>1019</v>
      </c>
    </row>
    <row r="1064" spans="12:13">
      <c r="L1064" s="65">
        <v>242300</v>
      </c>
      <c r="M1064" t="s">
        <v>1020</v>
      </c>
    </row>
    <row r="1065" spans="12:13">
      <c r="L1065" s="65">
        <v>242310</v>
      </c>
      <c r="M1065" t="s">
        <v>1021</v>
      </c>
    </row>
    <row r="1066" spans="12:13">
      <c r="L1066" s="65">
        <v>242311</v>
      </c>
      <c r="M1066" t="s">
        <v>1022</v>
      </c>
    </row>
    <row r="1067" spans="12:13">
      <c r="L1067" s="65">
        <v>242319</v>
      </c>
      <c r="M1067" t="s">
        <v>1023</v>
      </c>
    </row>
    <row r="1068" spans="12:13">
      <c r="L1068" s="65">
        <v>242320</v>
      </c>
      <c r="M1068" t="s">
        <v>1024</v>
      </c>
    </row>
    <row r="1069" spans="12:13">
      <c r="L1069" s="65">
        <v>242321</v>
      </c>
      <c r="M1069" t="s">
        <v>1025</v>
      </c>
    </row>
    <row r="1070" spans="12:13">
      <c r="L1070" s="65">
        <v>242329</v>
      </c>
      <c r="M1070" t="s">
        <v>1026</v>
      </c>
    </row>
    <row r="1071" spans="12:13">
      <c r="L1071" s="65">
        <v>242400</v>
      </c>
      <c r="M1071" t="s">
        <v>1027</v>
      </c>
    </row>
    <row r="1072" spans="12:13">
      <c r="L1072" s="65">
        <v>242410</v>
      </c>
      <c r="M1072" t="s">
        <v>1028</v>
      </c>
    </row>
    <row r="1073" spans="12:13">
      <c r="L1073" s="65">
        <v>242411</v>
      </c>
      <c r="M1073" t="s">
        <v>1028</v>
      </c>
    </row>
    <row r="1074" spans="12:13">
      <c r="L1074" s="65">
        <v>242420</v>
      </c>
      <c r="M1074" t="s">
        <v>1029</v>
      </c>
    </row>
    <row r="1075" spans="12:13">
      <c r="L1075" s="65">
        <v>242421</v>
      </c>
      <c r="M1075" t="s">
        <v>1029</v>
      </c>
    </row>
    <row r="1076" spans="12:13">
      <c r="L1076" s="65">
        <v>243000</v>
      </c>
      <c r="M1076" t="s">
        <v>1030</v>
      </c>
    </row>
    <row r="1077" spans="12:13">
      <c r="L1077" s="65">
        <v>243100</v>
      </c>
      <c r="M1077" t="s">
        <v>1031</v>
      </c>
    </row>
    <row r="1078" spans="12:13">
      <c r="L1078" s="65">
        <v>243110</v>
      </c>
      <c r="M1078" t="s">
        <v>1032</v>
      </c>
    </row>
    <row r="1079" spans="12:13">
      <c r="L1079" s="65">
        <v>243111</v>
      </c>
      <c r="M1079" t="s">
        <v>1032</v>
      </c>
    </row>
    <row r="1080" spans="12:13">
      <c r="L1080" s="65">
        <v>243120</v>
      </c>
      <c r="M1080" t="s">
        <v>1033</v>
      </c>
    </row>
    <row r="1081" spans="12:13">
      <c r="L1081" s="65">
        <v>243121</v>
      </c>
      <c r="M1081" t="s">
        <v>1033</v>
      </c>
    </row>
    <row r="1082" spans="12:13">
      <c r="L1082" s="65">
        <v>243200</v>
      </c>
      <c r="M1082" t="s">
        <v>1034</v>
      </c>
    </row>
    <row r="1083" spans="12:13">
      <c r="L1083" s="65">
        <v>243210</v>
      </c>
      <c r="M1083" t="s">
        <v>1035</v>
      </c>
    </row>
    <row r="1084" spans="12:13">
      <c r="L1084" s="65">
        <v>243211</v>
      </c>
      <c r="M1084" t="s">
        <v>1036</v>
      </c>
    </row>
    <row r="1085" spans="12:13">
      <c r="L1085" s="65">
        <v>243212</v>
      </c>
      <c r="M1085" t="s">
        <v>1037</v>
      </c>
    </row>
    <row r="1086" spans="12:13">
      <c r="L1086" s="65">
        <v>243219</v>
      </c>
      <c r="M1086" t="s">
        <v>1038</v>
      </c>
    </row>
    <row r="1087" spans="12:13">
      <c r="L1087" s="65">
        <v>243220</v>
      </c>
      <c r="M1087" t="s">
        <v>1039</v>
      </c>
    </row>
    <row r="1088" spans="12:13">
      <c r="L1088" s="65">
        <v>243221</v>
      </c>
      <c r="M1088" t="s">
        <v>1040</v>
      </c>
    </row>
    <row r="1089" spans="12:13">
      <c r="L1089" s="65">
        <v>243222</v>
      </c>
      <c r="M1089" t="s">
        <v>1041</v>
      </c>
    </row>
    <row r="1090" spans="12:13">
      <c r="L1090" s="65">
        <v>243229</v>
      </c>
      <c r="M1090" t="s">
        <v>1042</v>
      </c>
    </row>
    <row r="1091" spans="12:13">
      <c r="L1091" s="65">
        <v>243300</v>
      </c>
      <c r="M1091" t="s">
        <v>1043</v>
      </c>
    </row>
    <row r="1092" spans="12:13">
      <c r="L1092" s="65">
        <v>243310</v>
      </c>
      <c r="M1092" t="s">
        <v>1044</v>
      </c>
    </row>
    <row r="1093" spans="12:13">
      <c r="L1093" s="65">
        <v>243311</v>
      </c>
      <c r="M1093" t="s">
        <v>1045</v>
      </c>
    </row>
    <row r="1094" spans="12:13">
      <c r="L1094" s="65">
        <v>243312</v>
      </c>
      <c r="M1094" t="s">
        <v>1046</v>
      </c>
    </row>
    <row r="1095" spans="12:13">
      <c r="L1095" s="65">
        <v>243313</v>
      </c>
      <c r="M1095" t="s">
        <v>1047</v>
      </c>
    </row>
    <row r="1096" spans="12:13">
      <c r="L1096" s="65">
        <v>243314</v>
      </c>
      <c r="M1096" t="s">
        <v>1048</v>
      </c>
    </row>
    <row r="1097" spans="12:13">
      <c r="L1097" s="65">
        <v>243320</v>
      </c>
      <c r="M1097" t="s">
        <v>1049</v>
      </c>
    </row>
    <row r="1098" spans="12:13">
      <c r="L1098" s="65">
        <v>243321</v>
      </c>
      <c r="M1098" t="s">
        <v>1050</v>
      </c>
    </row>
    <row r="1099" spans="12:13">
      <c r="L1099" s="65">
        <v>243322</v>
      </c>
      <c r="M1099" t="s">
        <v>1051</v>
      </c>
    </row>
    <row r="1100" spans="12:13">
      <c r="L1100" s="65">
        <v>243323</v>
      </c>
      <c r="M1100" t="s">
        <v>1052</v>
      </c>
    </row>
    <row r="1101" spans="12:13">
      <c r="L1101" s="65">
        <v>243324</v>
      </c>
      <c r="M1101" t="s">
        <v>1053</v>
      </c>
    </row>
    <row r="1102" spans="12:13">
      <c r="L1102" s="65">
        <v>243400</v>
      </c>
      <c r="M1102" t="s">
        <v>1054</v>
      </c>
    </row>
    <row r="1103" spans="12:13">
      <c r="L1103" s="65">
        <v>243410</v>
      </c>
      <c r="M1103" t="s">
        <v>1055</v>
      </c>
    </row>
    <row r="1104" spans="12:13">
      <c r="L1104" s="65">
        <v>243411</v>
      </c>
      <c r="M1104" t="s">
        <v>1056</v>
      </c>
    </row>
    <row r="1105" spans="12:13">
      <c r="L1105" s="65">
        <v>243412</v>
      </c>
      <c r="M1105" t="s">
        <v>1057</v>
      </c>
    </row>
    <row r="1106" spans="12:13">
      <c r="L1106" s="65">
        <v>243413</v>
      </c>
      <c r="M1106" t="s">
        <v>1058</v>
      </c>
    </row>
    <row r="1107" spans="12:13">
      <c r="L1107" s="65">
        <v>243414</v>
      </c>
      <c r="M1107" t="s">
        <v>1059</v>
      </c>
    </row>
    <row r="1108" spans="12:13">
      <c r="L1108" s="65">
        <v>243415</v>
      </c>
      <c r="M1108" t="s">
        <v>1060</v>
      </c>
    </row>
    <row r="1109" spans="12:13">
      <c r="L1109" s="65">
        <v>243420</v>
      </c>
      <c r="M1109" t="s">
        <v>1061</v>
      </c>
    </row>
    <row r="1110" spans="12:13">
      <c r="L1110" s="65">
        <v>243421</v>
      </c>
      <c r="M1110" t="s">
        <v>1062</v>
      </c>
    </row>
    <row r="1111" spans="12:13">
      <c r="L1111" s="65">
        <v>243422</v>
      </c>
      <c r="M1111" t="s">
        <v>1063</v>
      </c>
    </row>
    <row r="1112" spans="12:13">
      <c r="L1112" s="65">
        <v>243425</v>
      </c>
      <c r="M1112" t="s">
        <v>1064</v>
      </c>
    </row>
    <row r="1113" spans="12:13">
      <c r="L1113" s="65">
        <v>244000</v>
      </c>
      <c r="M1113" t="s">
        <v>1065</v>
      </c>
    </row>
    <row r="1114" spans="12:13">
      <c r="L1114" s="65">
        <v>244100</v>
      </c>
      <c r="M1114" t="s">
        <v>1066</v>
      </c>
    </row>
    <row r="1115" spans="12:13">
      <c r="L1115" s="65">
        <v>244110</v>
      </c>
      <c r="M1115" t="s">
        <v>1067</v>
      </c>
    </row>
    <row r="1116" spans="12:13">
      <c r="L1116" s="65">
        <v>244111</v>
      </c>
      <c r="M1116" t="s">
        <v>1068</v>
      </c>
    </row>
    <row r="1117" spans="12:13">
      <c r="L1117" s="65">
        <v>244112</v>
      </c>
      <c r="M1117" t="s">
        <v>1069</v>
      </c>
    </row>
    <row r="1118" spans="12:13">
      <c r="L1118" s="65">
        <v>244113</v>
      </c>
      <c r="M1118" t="s">
        <v>1070</v>
      </c>
    </row>
    <row r="1119" spans="12:13">
      <c r="L1119" s="65">
        <v>244114</v>
      </c>
      <c r="M1119" t="s">
        <v>1071</v>
      </c>
    </row>
    <row r="1120" spans="12:13">
      <c r="L1120" s="65">
        <v>244119</v>
      </c>
      <c r="M1120" t="s">
        <v>1072</v>
      </c>
    </row>
    <row r="1121" spans="12:13">
      <c r="L1121" s="65">
        <v>244120</v>
      </c>
      <c r="M1121" t="s">
        <v>1073</v>
      </c>
    </row>
    <row r="1122" spans="12:13">
      <c r="L1122" s="65">
        <v>244121</v>
      </c>
      <c r="M1122" t="s">
        <v>1074</v>
      </c>
    </row>
    <row r="1123" spans="12:13">
      <c r="L1123" s="65">
        <v>244122</v>
      </c>
      <c r="M1123" t="s">
        <v>1075</v>
      </c>
    </row>
    <row r="1124" spans="12:13">
      <c r="L1124" s="65">
        <v>244123</v>
      </c>
      <c r="M1124" t="s">
        <v>1076</v>
      </c>
    </row>
    <row r="1125" spans="12:13">
      <c r="L1125" s="65">
        <v>244124</v>
      </c>
      <c r="M1125" t="s">
        <v>1077</v>
      </c>
    </row>
    <row r="1126" spans="12:13">
      <c r="L1126" s="65">
        <v>244125</v>
      </c>
      <c r="M1126" t="s">
        <v>1078</v>
      </c>
    </row>
    <row r="1127" spans="12:13">
      <c r="L1127" s="65">
        <v>244126</v>
      </c>
      <c r="M1127" t="s">
        <v>1079</v>
      </c>
    </row>
    <row r="1128" spans="12:13">
      <c r="L1128" s="65">
        <v>244129</v>
      </c>
      <c r="M1128" t="s">
        <v>1080</v>
      </c>
    </row>
    <row r="1129" spans="12:13">
      <c r="L1129" s="65">
        <v>244190</v>
      </c>
      <c r="M1129" t="s">
        <v>1081</v>
      </c>
    </row>
    <row r="1130" spans="12:13">
      <c r="L1130" s="65">
        <v>244191</v>
      </c>
      <c r="M1130" t="s">
        <v>1082</v>
      </c>
    </row>
    <row r="1131" spans="12:13">
      <c r="L1131" s="65">
        <v>244192</v>
      </c>
      <c r="M1131" t="s">
        <v>1083</v>
      </c>
    </row>
    <row r="1132" spans="12:13">
      <c r="L1132" s="65">
        <v>244193</v>
      </c>
      <c r="M1132" t="s">
        <v>1084</v>
      </c>
    </row>
    <row r="1133" spans="12:13">
      <c r="L1133" s="65">
        <v>244194</v>
      </c>
      <c r="M1133" t="s">
        <v>1085</v>
      </c>
    </row>
    <row r="1134" spans="12:13">
      <c r="L1134" s="65">
        <v>244195</v>
      </c>
      <c r="M1134" t="s">
        <v>1086</v>
      </c>
    </row>
    <row r="1135" spans="12:13">
      <c r="L1135" s="65">
        <v>244200</v>
      </c>
      <c r="M1135" t="s">
        <v>1087</v>
      </c>
    </row>
    <row r="1136" spans="12:13">
      <c r="L1136" s="65">
        <v>244210</v>
      </c>
      <c r="M1136" t="s">
        <v>1088</v>
      </c>
    </row>
    <row r="1137" spans="12:13">
      <c r="L1137" s="65">
        <v>244211</v>
      </c>
      <c r="M1137" t="s">
        <v>1089</v>
      </c>
    </row>
    <row r="1138" spans="12:13">
      <c r="L1138" s="65">
        <v>244212</v>
      </c>
      <c r="M1138" t="s">
        <v>1090</v>
      </c>
    </row>
    <row r="1139" spans="12:13">
      <c r="L1139" s="65">
        <v>244213</v>
      </c>
      <c r="M1139" t="s">
        <v>1091</v>
      </c>
    </row>
    <row r="1140" spans="12:13">
      <c r="L1140" s="65">
        <v>244220</v>
      </c>
      <c r="M1140" t="s">
        <v>1092</v>
      </c>
    </row>
    <row r="1141" spans="12:13">
      <c r="L1141" s="65">
        <v>244221</v>
      </c>
      <c r="M1141" t="s">
        <v>1092</v>
      </c>
    </row>
    <row r="1142" spans="12:13">
      <c r="L1142" s="65">
        <v>244230</v>
      </c>
      <c r="M1142" t="s">
        <v>1093</v>
      </c>
    </row>
    <row r="1143" spans="12:13">
      <c r="L1143" s="65">
        <v>244231</v>
      </c>
      <c r="M1143" t="s">
        <v>1093</v>
      </c>
    </row>
    <row r="1144" spans="12:13">
      <c r="L1144" s="65">
        <v>244240</v>
      </c>
      <c r="M1144" t="s">
        <v>1094</v>
      </c>
    </row>
    <row r="1145" spans="12:13">
      <c r="L1145" s="65">
        <v>244241</v>
      </c>
      <c r="M1145" t="s">
        <v>1094</v>
      </c>
    </row>
    <row r="1146" spans="12:13">
      <c r="L1146" s="65">
        <v>244250</v>
      </c>
      <c r="M1146" t="s">
        <v>1095</v>
      </c>
    </row>
    <row r="1147" spans="12:13">
      <c r="L1147" s="65">
        <v>244251</v>
      </c>
      <c r="M1147" t="s">
        <v>1096</v>
      </c>
    </row>
    <row r="1148" spans="12:13">
      <c r="L1148" s="65">
        <v>244252</v>
      </c>
      <c r="M1148" t="s">
        <v>1097</v>
      </c>
    </row>
    <row r="1149" spans="12:13">
      <c r="L1149" s="65">
        <v>244260</v>
      </c>
      <c r="M1149" t="s">
        <v>1098</v>
      </c>
    </row>
    <row r="1150" spans="12:13">
      <c r="L1150" s="65">
        <v>244261</v>
      </c>
      <c r="M1150" t="s">
        <v>1098</v>
      </c>
    </row>
    <row r="1151" spans="12:13">
      <c r="L1151" s="65">
        <v>244270</v>
      </c>
      <c r="M1151" t="s">
        <v>1099</v>
      </c>
    </row>
    <row r="1152" spans="12:13">
      <c r="L1152" s="65">
        <v>244271</v>
      </c>
      <c r="M1152" t="s">
        <v>1100</v>
      </c>
    </row>
    <row r="1153" spans="12:13">
      <c r="L1153" s="65">
        <v>244272</v>
      </c>
      <c r="M1153" t="s">
        <v>1101</v>
      </c>
    </row>
    <row r="1154" spans="12:13">
      <c r="L1154" s="65">
        <v>244273</v>
      </c>
      <c r="M1154" t="s">
        <v>1102</v>
      </c>
    </row>
    <row r="1155" spans="12:13">
      <c r="L1155" s="65">
        <v>244274</v>
      </c>
      <c r="M1155" t="s">
        <v>1103</v>
      </c>
    </row>
    <row r="1156" spans="12:13">
      <c r="L1156" s="65">
        <v>244280</v>
      </c>
      <c r="M1156" t="s">
        <v>1104</v>
      </c>
    </row>
    <row r="1157" spans="12:13">
      <c r="L1157" s="65">
        <v>244281</v>
      </c>
      <c r="M1157" t="s">
        <v>1104</v>
      </c>
    </row>
    <row r="1158" spans="12:13">
      <c r="L1158" s="65">
        <v>244290</v>
      </c>
      <c r="M1158" t="s">
        <v>1105</v>
      </c>
    </row>
    <row r="1159" spans="12:13">
      <c r="L1159" s="65">
        <v>244291</v>
      </c>
      <c r="M1159" t="s">
        <v>1106</v>
      </c>
    </row>
    <row r="1160" spans="12:13">
      <c r="L1160" s="65">
        <v>244292</v>
      </c>
      <c r="M1160" t="s">
        <v>1107</v>
      </c>
    </row>
    <row r="1161" spans="12:13">
      <c r="L1161" s="65">
        <v>244293</v>
      </c>
      <c r="M1161" t="s">
        <v>1108</v>
      </c>
    </row>
    <row r="1162" spans="12:13">
      <c r="L1162" s="65">
        <v>245000</v>
      </c>
      <c r="M1162" t="s">
        <v>1109</v>
      </c>
    </row>
    <row r="1163" spans="12:13">
      <c r="L1163" s="65">
        <v>245100</v>
      </c>
      <c r="M1163" t="s">
        <v>1110</v>
      </c>
    </row>
    <row r="1164" spans="12:13">
      <c r="L1164" s="65">
        <v>245110</v>
      </c>
      <c r="M1164" t="s">
        <v>1111</v>
      </c>
    </row>
    <row r="1165" spans="12:13">
      <c r="L1165" s="65">
        <v>245111</v>
      </c>
      <c r="M1165" t="s">
        <v>1111</v>
      </c>
    </row>
    <row r="1166" spans="12:13">
      <c r="L1166" s="65">
        <v>245112</v>
      </c>
      <c r="M1166" t="s">
        <v>1112</v>
      </c>
    </row>
    <row r="1167" spans="12:13">
      <c r="L1167" s="65">
        <v>245113</v>
      </c>
      <c r="M1167" t="s">
        <v>1113</v>
      </c>
    </row>
    <row r="1168" spans="12:13">
      <c r="L1168" s="65">
        <v>245190</v>
      </c>
      <c r="M1168" t="s">
        <v>1114</v>
      </c>
    </row>
    <row r="1169" spans="12:13">
      <c r="L1169" s="65">
        <v>245191</v>
      </c>
      <c r="M1169" t="s">
        <v>1115</v>
      </c>
    </row>
    <row r="1170" spans="12:13">
      <c r="L1170" s="65">
        <v>245192</v>
      </c>
      <c r="M1170" t="s">
        <v>1116</v>
      </c>
    </row>
    <row r="1171" spans="12:13">
      <c r="L1171" s="65">
        <v>245193</v>
      </c>
      <c r="M1171" t="s">
        <v>1117</v>
      </c>
    </row>
    <row r="1172" spans="12:13">
      <c r="L1172" s="65">
        <v>245194</v>
      </c>
      <c r="M1172" t="s">
        <v>1118</v>
      </c>
    </row>
    <row r="1173" spans="12:13">
      <c r="L1173" s="65">
        <v>245195</v>
      </c>
      <c r="M1173" t="s">
        <v>1119</v>
      </c>
    </row>
    <row r="1174" spans="12:13">
      <c r="L1174" s="65">
        <v>245196</v>
      </c>
      <c r="M1174" t="s">
        <v>1120</v>
      </c>
    </row>
    <row r="1175" spans="12:13">
      <c r="L1175" s="65">
        <v>245199</v>
      </c>
      <c r="M1175" t="s">
        <v>1114</v>
      </c>
    </row>
    <row r="1176" spans="12:13">
      <c r="L1176" s="65">
        <v>245200</v>
      </c>
      <c r="M1176" t="s">
        <v>1121</v>
      </c>
    </row>
    <row r="1177" spans="12:13">
      <c r="L1177" s="65">
        <v>245210</v>
      </c>
      <c r="M1177" t="s">
        <v>1122</v>
      </c>
    </row>
    <row r="1178" spans="12:13">
      <c r="L1178" s="65">
        <v>245211</v>
      </c>
      <c r="M1178" t="s">
        <v>1123</v>
      </c>
    </row>
    <row r="1179" spans="12:13">
      <c r="L1179" s="65">
        <v>245212</v>
      </c>
      <c r="M1179" t="s">
        <v>1124</v>
      </c>
    </row>
    <row r="1180" spans="12:13">
      <c r="L1180" s="65">
        <v>245213</v>
      </c>
      <c r="M1180" t="s">
        <v>1125</v>
      </c>
    </row>
    <row r="1181" spans="12:13">
      <c r="L1181" s="65">
        <v>245214</v>
      </c>
      <c r="M1181" t="s">
        <v>1126</v>
      </c>
    </row>
    <row r="1182" spans="12:13">
      <c r="L1182" s="65">
        <v>245219</v>
      </c>
      <c r="M1182" t="s">
        <v>1127</v>
      </c>
    </row>
    <row r="1183" spans="12:13">
      <c r="L1183" s="65">
        <v>245220</v>
      </c>
      <c r="M1183" t="s">
        <v>1128</v>
      </c>
    </row>
    <row r="1184" spans="12:13">
      <c r="L1184" s="65">
        <v>245221</v>
      </c>
      <c r="M1184" t="s">
        <v>1129</v>
      </c>
    </row>
    <row r="1185" spans="12:13">
      <c r="L1185" s="65">
        <v>245222</v>
      </c>
      <c r="M1185" t="s">
        <v>1130</v>
      </c>
    </row>
    <row r="1186" spans="12:13">
      <c r="L1186" s="65">
        <v>245223</v>
      </c>
      <c r="M1186" t="s">
        <v>1131</v>
      </c>
    </row>
    <row r="1187" spans="12:13">
      <c r="L1187" s="65">
        <v>245224</v>
      </c>
      <c r="M1187" t="s">
        <v>1132</v>
      </c>
    </row>
    <row r="1188" spans="12:13">
      <c r="L1188" s="65">
        <v>245225</v>
      </c>
      <c r="M1188" t="s">
        <v>1133</v>
      </c>
    </row>
    <row r="1189" spans="12:13">
      <c r="L1189" s="65">
        <v>245230</v>
      </c>
      <c r="M1189" t="s">
        <v>1134</v>
      </c>
    </row>
    <row r="1190" spans="12:13">
      <c r="L1190" s="65">
        <v>245231</v>
      </c>
      <c r="M1190" t="s">
        <v>1135</v>
      </c>
    </row>
    <row r="1191" spans="12:13">
      <c r="L1191" s="65">
        <v>245232</v>
      </c>
      <c r="M1191" t="s">
        <v>1136</v>
      </c>
    </row>
    <row r="1192" spans="12:13">
      <c r="L1192" s="65">
        <v>245233</v>
      </c>
      <c r="M1192" t="s">
        <v>1137</v>
      </c>
    </row>
    <row r="1193" spans="12:13">
      <c r="L1193" s="65">
        <v>245234</v>
      </c>
      <c r="M1193" t="s">
        <v>1138</v>
      </c>
    </row>
    <row r="1194" spans="12:13">
      <c r="L1194" s="65">
        <v>245240</v>
      </c>
      <c r="M1194" t="s">
        <v>1139</v>
      </c>
    </row>
    <row r="1195" spans="12:13">
      <c r="L1195" s="65">
        <v>245241</v>
      </c>
      <c r="M1195" t="s">
        <v>1140</v>
      </c>
    </row>
    <row r="1196" spans="12:13">
      <c r="L1196" s="65">
        <v>245242</v>
      </c>
      <c r="M1196" t="s">
        <v>1141</v>
      </c>
    </row>
    <row r="1197" spans="12:13">
      <c r="L1197" s="65">
        <v>245243</v>
      </c>
      <c r="M1197" t="s">
        <v>1142</v>
      </c>
    </row>
    <row r="1198" spans="12:13">
      <c r="L1198" s="65">
        <v>245244</v>
      </c>
      <c r="M1198" t="s">
        <v>1143</v>
      </c>
    </row>
    <row r="1199" spans="12:13">
      <c r="L1199" s="65">
        <v>245245</v>
      </c>
      <c r="M1199" t="s">
        <v>1144</v>
      </c>
    </row>
    <row r="1200" spans="12:13">
      <c r="L1200" s="65">
        <v>245246</v>
      </c>
      <c r="M1200" t="s">
        <v>1145</v>
      </c>
    </row>
    <row r="1201" spans="12:13">
      <c r="L1201" s="65">
        <v>245247</v>
      </c>
      <c r="M1201" t="s">
        <v>1146</v>
      </c>
    </row>
    <row r="1202" spans="12:13">
      <c r="L1202" s="65">
        <v>245248</v>
      </c>
      <c r="M1202" t="s">
        <v>1147</v>
      </c>
    </row>
    <row r="1203" spans="12:13">
      <c r="L1203" s="65">
        <v>245249</v>
      </c>
      <c r="M1203" t="s">
        <v>1148</v>
      </c>
    </row>
    <row r="1204" spans="12:13">
      <c r="L1204" s="65">
        <v>245300</v>
      </c>
      <c r="M1204" t="s">
        <v>1149</v>
      </c>
    </row>
    <row r="1205" spans="12:13">
      <c r="L1205" s="65">
        <v>245310</v>
      </c>
      <c r="M1205" t="s">
        <v>1149</v>
      </c>
    </row>
    <row r="1206" spans="12:13">
      <c r="L1206" s="65">
        <v>245311</v>
      </c>
      <c r="M1206" t="s">
        <v>1149</v>
      </c>
    </row>
    <row r="1207" spans="12:13">
      <c r="L1207" s="65">
        <v>245400</v>
      </c>
      <c r="M1207" t="s">
        <v>1150</v>
      </c>
    </row>
    <row r="1208" spans="12:13">
      <c r="L1208" s="65">
        <v>245410</v>
      </c>
      <c r="M1208" t="s">
        <v>1150</v>
      </c>
    </row>
    <row r="1209" spans="12:13">
      <c r="L1209" s="65">
        <v>245411</v>
      </c>
      <c r="M1209" t="s">
        <v>1150</v>
      </c>
    </row>
    <row r="1210" spans="12:13">
      <c r="L1210" s="65">
        <v>245420</v>
      </c>
      <c r="M1210" t="s">
        <v>1151</v>
      </c>
    </row>
    <row r="1211" spans="12:13">
      <c r="L1211" s="65">
        <v>245421</v>
      </c>
      <c r="M1211" t="s">
        <v>1151</v>
      </c>
    </row>
    <row r="1212" spans="12:13">
      <c r="L1212" s="65">
        <v>245500</v>
      </c>
      <c r="M1212" t="s">
        <v>1152</v>
      </c>
    </row>
    <row r="1213" spans="12:13">
      <c r="L1213" s="65">
        <v>245510</v>
      </c>
      <c r="M1213" t="s">
        <v>1152</v>
      </c>
    </row>
    <row r="1214" spans="12:13">
      <c r="L1214" s="65">
        <v>245511</v>
      </c>
      <c r="M1214" t="s">
        <v>1152</v>
      </c>
    </row>
    <row r="1215" spans="12:13">
      <c r="L1215" s="65">
        <v>250000</v>
      </c>
      <c r="M1215" t="s">
        <v>1153</v>
      </c>
    </row>
    <row r="1216" spans="12:13">
      <c r="L1216" s="65">
        <v>251000</v>
      </c>
      <c r="M1216" t="s">
        <v>1154</v>
      </c>
    </row>
    <row r="1217" spans="12:13">
      <c r="L1217" s="65">
        <v>251100</v>
      </c>
      <c r="M1217" t="s">
        <v>1155</v>
      </c>
    </row>
    <row r="1218" spans="12:13">
      <c r="L1218" s="65">
        <v>251110</v>
      </c>
      <c r="M1218" t="s">
        <v>1155</v>
      </c>
    </row>
    <row r="1219" spans="12:13">
      <c r="L1219" s="65">
        <v>251111</v>
      </c>
      <c r="M1219" t="s">
        <v>1155</v>
      </c>
    </row>
    <row r="1220" spans="12:13">
      <c r="L1220" s="65">
        <v>251200</v>
      </c>
      <c r="M1220" t="s">
        <v>1156</v>
      </c>
    </row>
    <row r="1221" spans="12:13">
      <c r="L1221" s="65">
        <v>251210</v>
      </c>
      <c r="M1221" t="s">
        <v>1156</v>
      </c>
    </row>
    <row r="1222" spans="12:13">
      <c r="L1222" s="65">
        <v>251211</v>
      </c>
      <c r="M1222" t="s">
        <v>1156</v>
      </c>
    </row>
    <row r="1223" spans="12:13">
      <c r="L1223" s="65">
        <v>251212</v>
      </c>
      <c r="M1223" t="s">
        <v>1157</v>
      </c>
    </row>
    <row r="1224" spans="12:13">
      <c r="L1224" s="65">
        <v>251219</v>
      </c>
      <c r="M1224" t="s">
        <v>1158</v>
      </c>
    </row>
    <row r="1225" spans="12:13">
      <c r="L1225" s="65">
        <v>251300</v>
      </c>
      <c r="M1225" t="s">
        <v>1159</v>
      </c>
    </row>
    <row r="1226" spans="12:13">
      <c r="L1226" s="65">
        <v>251310</v>
      </c>
      <c r="M1226" t="s">
        <v>1159</v>
      </c>
    </row>
    <row r="1227" spans="12:13">
      <c r="L1227" s="65">
        <v>251311</v>
      </c>
      <c r="M1227" t="s">
        <v>1159</v>
      </c>
    </row>
    <row r="1228" spans="12:13">
      <c r="L1228" s="65">
        <v>252000</v>
      </c>
      <c r="M1228" t="s">
        <v>1160</v>
      </c>
    </row>
    <row r="1229" spans="12:13">
      <c r="L1229" s="65">
        <v>252100</v>
      </c>
      <c r="M1229" t="s">
        <v>1161</v>
      </c>
    </row>
    <row r="1230" spans="12:13">
      <c r="L1230" s="65">
        <v>252110</v>
      </c>
      <c r="M1230" t="s">
        <v>1161</v>
      </c>
    </row>
    <row r="1231" spans="12:13">
      <c r="L1231" s="65">
        <v>252111</v>
      </c>
      <c r="M1231" t="s">
        <v>1161</v>
      </c>
    </row>
    <row r="1232" spans="12:13">
      <c r="L1232" s="65">
        <v>252200</v>
      </c>
      <c r="M1232" t="s">
        <v>1162</v>
      </c>
    </row>
    <row r="1233" spans="12:13">
      <c r="L1233" s="65">
        <v>252210</v>
      </c>
      <c r="M1233" t="s">
        <v>1162</v>
      </c>
    </row>
    <row r="1234" spans="12:13">
      <c r="L1234" s="65">
        <v>252211</v>
      </c>
      <c r="M1234" t="s">
        <v>1162</v>
      </c>
    </row>
    <row r="1235" spans="12:13">
      <c r="L1235" s="65">
        <v>253000</v>
      </c>
      <c r="M1235" t="s">
        <v>1163</v>
      </c>
    </row>
    <row r="1236" spans="12:13">
      <c r="L1236" s="65">
        <v>253100</v>
      </c>
      <c r="M1236" t="s">
        <v>1163</v>
      </c>
    </row>
    <row r="1237" spans="12:13">
      <c r="L1237" s="65">
        <v>253110</v>
      </c>
      <c r="M1237" t="s">
        <v>1163</v>
      </c>
    </row>
    <row r="1238" spans="12:13">
      <c r="L1238" s="65">
        <v>253111</v>
      </c>
      <c r="M1238" t="s">
        <v>1164</v>
      </c>
    </row>
    <row r="1239" spans="12:13">
      <c r="L1239" s="65">
        <v>253112</v>
      </c>
      <c r="M1239" t="s">
        <v>1165</v>
      </c>
    </row>
    <row r="1240" spans="12:13">
      <c r="L1240" s="65">
        <v>254000</v>
      </c>
      <c r="M1240" t="s">
        <v>1166</v>
      </c>
    </row>
    <row r="1241" spans="12:13">
      <c r="L1241" s="65">
        <v>254100</v>
      </c>
      <c r="M1241" t="s">
        <v>1167</v>
      </c>
    </row>
    <row r="1242" spans="12:13">
      <c r="L1242" s="65">
        <v>254110</v>
      </c>
      <c r="M1242" t="s">
        <v>1167</v>
      </c>
    </row>
    <row r="1243" spans="12:13">
      <c r="L1243" s="65">
        <v>254111</v>
      </c>
      <c r="M1243" t="s">
        <v>1168</v>
      </c>
    </row>
    <row r="1244" spans="12:13">
      <c r="L1244" s="65">
        <v>254112</v>
      </c>
      <c r="M1244" t="s">
        <v>1169</v>
      </c>
    </row>
    <row r="1245" spans="12:13">
      <c r="L1245" s="65">
        <v>254113</v>
      </c>
      <c r="M1245" t="s">
        <v>1170</v>
      </c>
    </row>
    <row r="1246" spans="12:13">
      <c r="L1246" s="65">
        <v>254114</v>
      </c>
      <c r="M1246" t="s">
        <v>1171</v>
      </c>
    </row>
    <row r="1247" spans="12:13">
      <c r="L1247" s="65">
        <v>254200</v>
      </c>
      <c r="M1247" t="s">
        <v>1172</v>
      </c>
    </row>
    <row r="1248" spans="12:13">
      <c r="L1248" s="65">
        <v>254210</v>
      </c>
      <c r="M1248" t="s">
        <v>1172</v>
      </c>
    </row>
    <row r="1249" spans="12:13">
      <c r="L1249" s="65">
        <v>254211</v>
      </c>
      <c r="M1249" t="s">
        <v>1172</v>
      </c>
    </row>
    <row r="1250" spans="12:13">
      <c r="L1250" s="65">
        <v>254900</v>
      </c>
      <c r="M1250" t="s">
        <v>1173</v>
      </c>
    </row>
    <row r="1251" spans="12:13">
      <c r="L1251" s="65">
        <v>254910</v>
      </c>
      <c r="M1251" t="s">
        <v>1174</v>
      </c>
    </row>
    <row r="1252" spans="12:13">
      <c r="L1252" s="65">
        <v>254911</v>
      </c>
      <c r="M1252" t="s">
        <v>1175</v>
      </c>
    </row>
    <row r="1253" spans="12:13">
      <c r="L1253" s="65">
        <v>254912</v>
      </c>
      <c r="M1253" t="s">
        <v>1176</v>
      </c>
    </row>
    <row r="1254" spans="12:13">
      <c r="L1254" s="65">
        <v>254913</v>
      </c>
      <c r="M1254" t="s">
        <v>1177</v>
      </c>
    </row>
    <row r="1255" spans="12:13">
      <c r="L1255" s="65">
        <v>254920</v>
      </c>
      <c r="M1255" t="s">
        <v>1178</v>
      </c>
    </row>
    <row r="1256" spans="12:13">
      <c r="L1256" s="65">
        <v>254921</v>
      </c>
      <c r="M1256" t="s">
        <v>1179</v>
      </c>
    </row>
    <row r="1257" spans="12:13">
      <c r="L1257" s="65">
        <v>254922</v>
      </c>
      <c r="M1257" t="s">
        <v>1180</v>
      </c>
    </row>
    <row r="1258" spans="12:13">
      <c r="L1258" s="65">
        <v>254930</v>
      </c>
      <c r="M1258" t="s">
        <v>1181</v>
      </c>
    </row>
    <row r="1259" spans="12:13">
      <c r="L1259" s="65">
        <v>254931</v>
      </c>
      <c r="M1259" t="s">
        <v>1181</v>
      </c>
    </row>
    <row r="1260" spans="12:13">
      <c r="L1260" s="65">
        <v>254932</v>
      </c>
      <c r="M1260" t="s">
        <v>1182</v>
      </c>
    </row>
    <row r="1261" spans="12:13">
      <c r="L1261" s="65">
        <v>290000</v>
      </c>
      <c r="M1261" t="s">
        <v>1183</v>
      </c>
    </row>
    <row r="1262" spans="12:13">
      <c r="L1262" s="65">
        <v>291000</v>
      </c>
      <c r="M1262" t="s">
        <v>1183</v>
      </c>
    </row>
    <row r="1263" spans="12:13">
      <c r="L1263" s="65">
        <v>291100</v>
      </c>
      <c r="M1263" t="s">
        <v>1184</v>
      </c>
    </row>
    <row r="1264" spans="12:13">
      <c r="L1264" s="65">
        <v>291110</v>
      </c>
      <c r="M1264" t="s">
        <v>1185</v>
      </c>
    </row>
    <row r="1265" spans="12:13">
      <c r="L1265" s="65">
        <v>291111</v>
      </c>
      <c r="M1265" t="s">
        <v>1185</v>
      </c>
    </row>
    <row r="1266" spans="12:13">
      <c r="L1266" s="65">
        <v>291190</v>
      </c>
      <c r="M1266" t="s">
        <v>1186</v>
      </c>
    </row>
    <row r="1267" spans="12:13">
      <c r="L1267" s="65">
        <v>291191</v>
      </c>
      <c r="M1267" t="s">
        <v>1186</v>
      </c>
    </row>
    <row r="1268" spans="12:13">
      <c r="L1268" s="65">
        <v>291200</v>
      </c>
      <c r="M1268" t="s">
        <v>1187</v>
      </c>
    </row>
    <row r="1269" spans="12:13">
      <c r="L1269" s="65">
        <v>291210</v>
      </c>
      <c r="M1269" t="s">
        <v>1188</v>
      </c>
    </row>
    <row r="1270" spans="12:13">
      <c r="L1270" s="65">
        <v>291211</v>
      </c>
      <c r="M1270" t="s">
        <v>1189</v>
      </c>
    </row>
    <row r="1271" spans="12:13">
      <c r="L1271" s="65">
        <v>291212</v>
      </c>
      <c r="M1271" t="s">
        <v>1190</v>
      </c>
    </row>
    <row r="1272" spans="12:13">
      <c r="L1272" s="65">
        <v>291213</v>
      </c>
      <c r="M1272" t="s">
        <v>1191</v>
      </c>
    </row>
    <row r="1273" spans="12:13">
      <c r="L1273" s="65">
        <v>291220</v>
      </c>
      <c r="M1273" t="s">
        <v>1192</v>
      </c>
    </row>
    <row r="1274" spans="12:13">
      <c r="L1274" s="65">
        <v>291221</v>
      </c>
      <c r="M1274" t="s">
        <v>1192</v>
      </c>
    </row>
    <row r="1275" spans="12:13">
      <c r="L1275" s="65">
        <v>291300</v>
      </c>
      <c r="M1275" t="s">
        <v>1193</v>
      </c>
    </row>
    <row r="1276" spans="12:13">
      <c r="L1276" s="65">
        <v>291310</v>
      </c>
      <c r="M1276" t="s">
        <v>1193</v>
      </c>
    </row>
    <row r="1277" spans="12:13">
      <c r="L1277" s="65">
        <v>291311</v>
      </c>
      <c r="M1277" t="s">
        <v>1194</v>
      </c>
    </row>
    <row r="1278" spans="12:13">
      <c r="L1278" s="65">
        <v>291312</v>
      </c>
      <c r="M1278" t="s">
        <v>1195</v>
      </c>
    </row>
    <row r="1279" spans="12:13">
      <c r="L1279" s="65">
        <v>291900</v>
      </c>
      <c r="M1279" t="s">
        <v>1196</v>
      </c>
    </row>
    <row r="1280" spans="12:13">
      <c r="L1280" s="65">
        <v>291910</v>
      </c>
      <c r="M1280" t="s">
        <v>1196</v>
      </c>
    </row>
    <row r="1281" spans="12:13">
      <c r="L1281" s="65">
        <v>291911</v>
      </c>
      <c r="M1281" t="s">
        <v>1197</v>
      </c>
    </row>
    <row r="1282" spans="12:13">
      <c r="L1282" s="65">
        <v>291919</v>
      </c>
      <c r="M1282" t="s">
        <v>1196</v>
      </c>
    </row>
    <row r="1283" spans="12:13">
      <c r="L1283" s="65">
        <v>300000</v>
      </c>
      <c r="M1283" t="s">
        <v>1198</v>
      </c>
    </row>
    <row r="1284" spans="12:13">
      <c r="L1284" s="65">
        <v>310000</v>
      </c>
      <c r="M1284" t="s">
        <v>1199</v>
      </c>
    </row>
    <row r="1285" spans="12:13">
      <c r="L1285" s="65">
        <v>311000</v>
      </c>
      <c r="M1285" t="s">
        <v>1199</v>
      </c>
    </row>
    <row r="1286" spans="12:13">
      <c r="L1286" s="65">
        <v>311100</v>
      </c>
      <c r="M1286" t="s">
        <v>266</v>
      </c>
    </row>
    <row r="1287" spans="12:13">
      <c r="L1287" s="66">
        <v>311110</v>
      </c>
      <c r="M1287" t="s">
        <v>1200</v>
      </c>
    </row>
    <row r="1288" spans="12:13">
      <c r="L1288" s="65">
        <v>311111</v>
      </c>
      <c r="M1288" t="s">
        <v>268</v>
      </c>
    </row>
    <row r="1289" spans="12:13">
      <c r="L1289" s="65">
        <v>311112</v>
      </c>
      <c r="M1289" t="s">
        <v>324</v>
      </c>
    </row>
    <row r="1290" spans="12:13">
      <c r="L1290" s="65">
        <v>311113</v>
      </c>
      <c r="M1290" t="s">
        <v>391</v>
      </c>
    </row>
    <row r="1291" spans="12:13">
      <c r="L1291" s="65">
        <v>311120</v>
      </c>
      <c r="M1291" t="s">
        <v>396</v>
      </c>
    </row>
    <row r="1292" spans="12:13">
      <c r="L1292" s="65">
        <v>311121</v>
      </c>
      <c r="M1292" t="s">
        <v>396</v>
      </c>
    </row>
    <row r="1293" spans="12:13">
      <c r="L1293" s="65">
        <v>311130</v>
      </c>
      <c r="M1293" t="s">
        <v>402</v>
      </c>
    </row>
    <row r="1294" spans="12:13">
      <c r="L1294" s="65">
        <v>311131</v>
      </c>
      <c r="M1294" t="s">
        <v>402</v>
      </c>
    </row>
    <row r="1295" spans="12:13">
      <c r="L1295" s="65">
        <v>311140</v>
      </c>
      <c r="M1295" t="s">
        <v>1201</v>
      </c>
    </row>
    <row r="1296" spans="12:13">
      <c r="L1296" s="65">
        <v>311141</v>
      </c>
      <c r="M1296" t="s">
        <v>1201</v>
      </c>
    </row>
    <row r="1297" spans="12:13">
      <c r="L1297" s="65">
        <v>311150</v>
      </c>
      <c r="M1297" t="s">
        <v>438</v>
      </c>
    </row>
    <row r="1298" spans="12:13">
      <c r="L1298" s="65">
        <v>311151</v>
      </c>
      <c r="M1298" t="s">
        <v>438</v>
      </c>
    </row>
    <row r="1299" spans="12:13">
      <c r="L1299" s="65">
        <v>311160</v>
      </c>
      <c r="M1299" t="s">
        <v>488</v>
      </c>
    </row>
    <row r="1300" spans="12:13">
      <c r="L1300" s="65">
        <v>311161</v>
      </c>
      <c r="M1300" t="s">
        <v>488</v>
      </c>
    </row>
    <row r="1301" spans="12:13">
      <c r="L1301" s="65">
        <v>311200</v>
      </c>
      <c r="M1301" t="s">
        <v>519</v>
      </c>
    </row>
    <row r="1302" spans="12:13">
      <c r="L1302" s="65">
        <v>311210</v>
      </c>
      <c r="M1302" t="s">
        <v>1202</v>
      </c>
    </row>
    <row r="1303" spans="12:13">
      <c r="L1303" s="65">
        <v>311211</v>
      </c>
      <c r="M1303" t="s">
        <v>1202</v>
      </c>
    </row>
    <row r="1304" spans="12:13">
      <c r="L1304" s="65">
        <v>311220</v>
      </c>
      <c r="M1304" t="s">
        <v>1203</v>
      </c>
    </row>
    <row r="1305" spans="12:13">
      <c r="L1305" s="65">
        <v>311221</v>
      </c>
      <c r="M1305" t="s">
        <v>1203</v>
      </c>
    </row>
    <row r="1306" spans="12:13">
      <c r="L1306" s="65">
        <v>311230</v>
      </c>
      <c r="M1306" t="s">
        <v>1204</v>
      </c>
    </row>
    <row r="1307" spans="12:13">
      <c r="L1307" s="65">
        <v>311231</v>
      </c>
      <c r="M1307" t="s">
        <v>1204</v>
      </c>
    </row>
    <row r="1308" spans="12:13">
      <c r="L1308" s="65">
        <v>311240</v>
      </c>
      <c r="M1308" t="s">
        <v>1205</v>
      </c>
    </row>
    <row r="1309" spans="12:13">
      <c r="L1309" s="65">
        <v>311241</v>
      </c>
      <c r="M1309" t="s">
        <v>1205</v>
      </c>
    </row>
    <row r="1310" spans="12:13">
      <c r="L1310" s="65">
        <v>311250</v>
      </c>
      <c r="M1310" t="s">
        <v>1206</v>
      </c>
    </row>
    <row r="1311" spans="12:13">
      <c r="L1311" s="65">
        <v>311251</v>
      </c>
      <c r="M1311" t="s">
        <v>1206</v>
      </c>
    </row>
    <row r="1312" spans="12:13">
      <c r="L1312" s="65">
        <v>311260</v>
      </c>
      <c r="M1312" t="s">
        <v>539</v>
      </c>
    </row>
    <row r="1313" spans="12:13">
      <c r="L1313" s="65">
        <v>311261</v>
      </c>
      <c r="M1313" t="s">
        <v>539</v>
      </c>
    </row>
    <row r="1314" spans="12:13">
      <c r="L1314" s="65">
        <v>311270</v>
      </c>
      <c r="M1314" t="s">
        <v>536</v>
      </c>
    </row>
    <row r="1315" spans="12:13">
      <c r="L1315" s="65">
        <v>311271</v>
      </c>
      <c r="M1315" t="s">
        <v>536</v>
      </c>
    </row>
    <row r="1316" spans="12:13">
      <c r="L1316" s="65">
        <v>311300</v>
      </c>
      <c r="M1316" t="s">
        <v>1207</v>
      </c>
    </row>
    <row r="1317" spans="12:13">
      <c r="L1317" s="65">
        <v>311310</v>
      </c>
      <c r="M1317" t="s">
        <v>1207</v>
      </c>
    </row>
    <row r="1318" spans="12:13">
      <c r="L1318" s="65">
        <v>311311</v>
      </c>
      <c r="M1318" t="s">
        <v>1207</v>
      </c>
    </row>
    <row r="1319" spans="12:13">
      <c r="L1319" s="65">
        <v>311400</v>
      </c>
      <c r="M1319" t="s">
        <v>559</v>
      </c>
    </row>
    <row r="1320" spans="12:13">
      <c r="L1320" s="65">
        <v>311410</v>
      </c>
      <c r="M1320" t="s">
        <v>559</v>
      </c>
    </row>
    <row r="1321" spans="12:13">
      <c r="L1321" s="65">
        <v>311411</v>
      </c>
      <c r="M1321" t="s">
        <v>561</v>
      </c>
    </row>
    <row r="1322" spans="12:13">
      <c r="L1322" s="65">
        <v>311412</v>
      </c>
      <c r="M1322" t="s">
        <v>1208</v>
      </c>
    </row>
    <row r="1323" spans="12:13">
      <c r="L1323" s="65">
        <v>311419</v>
      </c>
      <c r="M1323" t="s">
        <v>1209</v>
      </c>
    </row>
    <row r="1324" spans="12:13">
      <c r="L1324" s="65">
        <v>311500</v>
      </c>
      <c r="M1324" t="s">
        <v>1210</v>
      </c>
    </row>
    <row r="1325" spans="12:13">
      <c r="L1325" s="65">
        <v>311510</v>
      </c>
      <c r="M1325" t="s">
        <v>1210</v>
      </c>
    </row>
    <row r="1326" spans="12:13">
      <c r="L1326" s="65">
        <v>311511</v>
      </c>
      <c r="M1326" t="s">
        <v>1211</v>
      </c>
    </row>
    <row r="1327" spans="12:13">
      <c r="L1327" s="65">
        <v>311512</v>
      </c>
      <c r="M1327" t="s">
        <v>1212</v>
      </c>
    </row>
    <row r="1328" spans="12:13">
      <c r="L1328" s="65">
        <v>311513</v>
      </c>
      <c r="M1328" t="s">
        <v>1213</v>
      </c>
    </row>
    <row r="1329" spans="12:13">
      <c r="L1329" s="65">
        <v>311519</v>
      </c>
      <c r="M1329" t="s">
        <v>1214</v>
      </c>
    </row>
    <row r="1330" spans="12:13">
      <c r="L1330" s="65">
        <v>311600</v>
      </c>
      <c r="M1330" t="s">
        <v>1215</v>
      </c>
    </row>
    <row r="1331" spans="12:13">
      <c r="L1331" s="65">
        <v>311610</v>
      </c>
      <c r="M1331" t="s">
        <v>1216</v>
      </c>
    </row>
    <row r="1332" spans="12:13">
      <c r="L1332" s="65">
        <v>311611</v>
      </c>
      <c r="M1332" t="s">
        <v>1217</v>
      </c>
    </row>
    <row r="1333" spans="12:13">
      <c r="L1333" s="65">
        <v>311612</v>
      </c>
      <c r="M1333" t="s">
        <v>1218</v>
      </c>
    </row>
    <row r="1334" spans="12:13">
      <c r="L1334" s="65">
        <v>311700</v>
      </c>
      <c r="M1334" t="s">
        <v>1219</v>
      </c>
    </row>
    <row r="1335" spans="12:13">
      <c r="L1335" s="65">
        <v>311710</v>
      </c>
      <c r="M1335" t="s">
        <v>1219</v>
      </c>
    </row>
    <row r="1336" spans="12:13">
      <c r="L1336" s="65">
        <v>311711</v>
      </c>
      <c r="M1336" t="s">
        <v>1220</v>
      </c>
    </row>
    <row r="1337" spans="12:13">
      <c r="L1337" s="65">
        <v>311712</v>
      </c>
      <c r="M1337" t="s">
        <v>1221</v>
      </c>
    </row>
    <row r="1338" spans="12:13">
      <c r="L1338" s="65">
        <v>311713</v>
      </c>
      <c r="M1338" t="s">
        <v>1222</v>
      </c>
    </row>
    <row r="1339" spans="12:13">
      <c r="L1339" s="65">
        <v>311900</v>
      </c>
      <c r="M1339" t="s">
        <v>1223</v>
      </c>
    </row>
    <row r="1340" spans="12:13">
      <c r="L1340" s="65">
        <v>311910</v>
      </c>
      <c r="M1340" t="s">
        <v>1223</v>
      </c>
    </row>
    <row r="1341" spans="12:13">
      <c r="L1341" s="65">
        <v>311911</v>
      </c>
      <c r="M1341" t="s">
        <v>1223</v>
      </c>
    </row>
    <row r="1342" spans="12:13">
      <c r="L1342" s="65">
        <v>320000</v>
      </c>
      <c r="M1342" t="s">
        <v>1224</v>
      </c>
    </row>
    <row r="1343" spans="12:13">
      <c r="L1343" s="65">
        <v>321000</v>
      </c>
      <c r="M1343" t="s">
        <v>1224</v>
      </c>
    </row>
    <row r="1344" spans="12:13">
      <c r="L1344" s="65">
        <v>321100</v>
      </c>
      <c r="M1344" t="s">
        <v>1224</v>
      </c>
    </row>
    <row r="1345" spans="12:13">
      <c r="L1345" s="65">
        <v>321110</v>
      </c>
      <c r="M1345" t="s">
        <v>1225</v>
      </c>
    </row>
    <row r="1346" spans="12:13">
      <c r="L1346" s="65">
        <v>321111</v>
      </c>
      <c r="M1346" t="s">
        <v>1225</v>
      </c>
    </row>
    <row r="1347" spans="12:13">
      <c r="L1347" s="65">
        <v>321120</v>
      </c>
      <c r="M1347" t="s">
        <v>1226</v>
      </c>
    </row>
    <row r="1348" spans="12:13">
      <c r="L1348" s="65">
        <v>321121</v>
      </c>
      <c r="M1348" t="s">
        <v>1227</v>
      </c>
    </row>
    <row r="1349" spans="12:13">
      <c r="L1349" s="65">
        <v>321122</v>
      </c>
      <c r="M1349" t="s">
        <v>1228</v>
      </c>
    </row>
    <row r="1350" spans="12:13">
      <c r="L1350" s="65">
        <v>321200</v>
      </c>
      <c r="M1350" t="s">
        <v>1229</v>
      </c>
    </row>
    <row r="1351" spans="12:13">
      <c r="L1351" s="65">
        <v>321210</v>
      </c>
      <c r="M1351" t="s">
        <v>1229</v>
      </c>
    </row>
    <row r="1352" spans="12:13">
      <c r="L1352" s="65">
        <v>321211</v>
      </c>
      <c r="M1352" t="s">
        <v>1229</v>
      </c>
    </row>
    <row r="1353" spans="12:13">
      <c r="L1353" s="65">
        <v>321300</v>
      </c>
      <c r="M1353" t="s">
        <v>1230</v>
      </c>
    </row>
    <row r="1354" spans="12:13">
      <c r="L1354" s="65">
        <v>321310</v>
      </c>
      <c r="M1354" t="s">
        <v>1230</v>
      </c>
    </row>
    <row r="1355" spans="12:13">
      <c r="L1355" s="65">
        <v>321311</v>
      </c>
      <c r="M1355" t="s">
        <v>1231</v>
      </c>
    </row>
    <row r="1356" spans="12:13">
      <c r="L1356" s="65">
        <v>321312</v>
      </c>
      <c r="M1356" t="s">
        <v>1232</v>
      </c>
    </row>
    <row r="1357" spans="12:13">
      <c r="L1357" s="65">
        <v>330000</v>
      </c>
      <c r="M1357" t="s">
        <v>1233</v>
      </c>
    </row>
    <row r="1358" spans="12:13">
      <c r="L1358" s="65">
        <v>331000</v>
      </c>
      <c r="M1358" t="s">
        <v>1233</v>
      </c>
    </row>
    <row r="1359" spans="12:13">
      <c r="L1359" s="65">
        <v>331100</v>
      </c>
      <c r="M1359" t="s">
        <v>1233</v>
      </c>
    </row>
    <row r="1360" spans="12:13">
      <c r="L1360" s="65">
        <v>331110</v>
      </c>
      <c r="M1360" t="s">
        <v>275</v>
      </c>
    </row>
    <row r="1361" spans="12:13">
      <c r="L1361" s="65">
        <v>331111</v>
      </c>
      <c r="M1361" t="s">
        <v>275</v>
      </c>
    </row>
    <row r="1362" spans="12:13">
      <c r="L1362" s="65">
        <v>331120</v>
      </c>
      <c r="M1362" t="s">
        <v>1234</v>
      </c>
    </row>
    <row r="1363" spans="12:13">
      <c r="L1363" s="65">
        <v>331121</v>
      </c>
      <c r="M1363" t="s">
        <v>1234</v>
      </c>
    </row>
    <row r="1364" spans="12:13">
      <c r="L1364" s="65">
        <v>331130</v>
      </c>
      <c r="M1364" t="s">
        <v>1235</v>
      </c>
    </row>
    <row r="1365" spans="12:13">
      <c r="L1365" s="65">
        <v>331131</v>
      </c>
      <c r="M1365" t="s">
        <v>1235</v>
      </c>
    </row>
    <row r="1366" spans="12:13">
      <c r="L1366" s="65">
        <v>331140</v>
      </c>
      <c r="M1366" t="s">
        <v>1236</v>
      </c>
    </row>
    <row r="1367" spans="12:13">
      <c r="L1367" s="65">
        <v>331141</v>
      </c>
      <c r="M1367" t="s">
        <v>1236</v>
      </c>
    </row>
    <row r="1368" spans="12:13">
      <c r="L1368" s="65">
        <v>331150</v>
      </c>
      <c r="M1368" t="s">
        <v>408</v>
      </c>
    </row>
    <row r="1369" spans="12:13">
      <c r="L1369" s="65">
        <v>331151</v>
      </c>
      <c r="M1369" t="s">
        <v>408</v>
      </c>
    </row>
    <row r="1370" spans="12:13">
      <c r="L1370" s="65">
        <v>331160</v>
      </c>
      <c r="M1370" t="s">
        <v>1237</v>
      </c>
    </row>
    <row r="1371" spans="12:13">
      <c r="L1371" s="65">
        <v>331161</v>
      </c>
      <c r="M1371" t="s">
        <v>1238</v>
      </c>
    </row>
    <row r="1372" spans="12:13">
      <c r="L1372" s="65">
        <v>331170</v>
      </c>
      <c r="M1372" t="s">
        <v>1239</v>
      </c>
    </row>
    <row r="1373" spans="12:13">
      <c r="L1373" s="65">
        <v>331171</v>
      </c>
      <c r="M1373" t="s">
        <v>1239</v>
      </c>
    </row>
    <row r="1374" spans="12:13">
      <c r="L1374" s="65">
        <v>331180</v>
      </c>
      <c r="M1374" t="s">
        <v>1240</v>
      </c>
    </row>
    <row r="1375" spans="12:13">
      <c r="L1375" s="65">
        <v>331181</v>
      </c>
      <c r="M1375" t="s">
        <v>1240</v>
      </c>
    </row>
    <row r="1376" spans="12:13">
      <c r="L1376" s="65">
        <v>340000</v>
      </c>
      <c r="M1376" t="s">
        <v>1241</v>
      </c>
    </row>
    <row r="1377" spans="12:13">
      <c r="L1377" s="65">
        <v>341000</v>
      </c>
      <c r="M1377" t="s">
        <v>1241</v>
      </c>
    </row>
    <row r="1378" spans="12:13">
      <c r="L1378" s="65">
        <v>341100</v>
      </c>
      <c r="M1378" t="s">
        <v>1241</v>
      </c>
    </row>
    <row r="1379" spans="12:13">
      <c r="L1379" s="65">
        <v>341110</v>
      </c>
      <c r="M1379" t="s">
        <v>276</v>
      </c>
    </row>
    <row r="1380" spans="12:13">
      <c r="L1380" s="65">
        <v>341111</v>
      </c>
      <c r="M1380" t="s">
        <v>276</v>
      </c>
    </row>
    <row r="1381" spans="12:13">
      <c r="L1381" s="65">
        <v>341120</v>
      </c>
      <c r="M1381" t="s">
        <v>1242</v>
      </c>
    </row>
    <row r="1382" spans="12:13">
      <c r="L1382" s="65">
        <v>341121</v>
      </c>
      <c r="M1382" t="s">
        <v>1242</v>
      </c>
    </row>
    <row r="1383" spans="12:13">
      <c r="L1383" s="65">
        <v>341130</v>
      </c>
      <c r="M1383" t="s">
        <v>1243</v>
      </c>
    </row>
    <row r="1384" spans="12:13">
      <c r="L1384" s="65">
        <v>341131</v>
      </c>
      <c r="M1384" t="s">
        <v>1243</v>
      </c>
    </row>
    <row r="1385" spans="12:13">
      <c r="L1385" s="65">
        <v>341140</v>
      </c>
      <c r="M1385" t="s">
        <v>400</v>
      </c>
    </row>
    <row r="1386" spans="12:13">
      <c r="L1386" s="65">
        <v>341141</v>
      </c>
      <c r="M1386" t="s">
        <v>400</v>
      </c>
    </row>
    <row r="1387" spans="12:13">
      <c r="L1387" s="65">
        <v>341150</v>
      </c>
      <c r="M1387" t="s">
        <v>409</v>
      </c>
    </row>
    <row r="1388" spans="12:13">
      <c r="L1388" s="65">
        <v>341151</v>
      </c>
      <c r="M1388" t="s">
        <v>409</v>
      </c>
    </row>
    <row r="1389" spans="12:13">
      <c r="L1389" s="65">
        <v>341160</v>
      </c>
      <c r="M1389" t="s">
        <v>1244</v>
      </c>
    </row>
    <row r="1390" spans="12:13">
      <c r="L1390" s="65">
        <v>341161</v>
      </c>
      <c r="M1390" t="s">
        <v>1244</v>
      </c>
    </row>
    <row r="1391" spans="12:13">
      <c r="L1391" s="65">
        <v>341170</v>
      </c>
      <c r="M1391" t="s">
        <v>507</v>
      </c>
    </row>
    <row r="1392" spans="12:13">
      <c r="L1392" s="65">
        <v>341171</v>
      </c>
      <c r="M1392" t="s">
        <v>507</v>
      </c>
    </row>
    <row r="1393" spans="12:13">
      <c r="L1393" s="65">
        <v>341180</v>
      </c>
      <c r="M1393" t="s">
        <v>1245</v>
      </c>
    </row>
    <row r="1394" spans="12:13">
      <c r="L1394" s="65">
        <v>341181</v>
      </c>
      <c r="M1394" t="s">
        <v>1245</v>
      </c>
    </row>
    <row r="1395" spans="12:13">
      <c r="L1395" s="65">
        <v>350000</v>
      </c>
      <c r="M1395" t="s">
        <v>1246</v>
      </c>
    </row>
    <row r="1396" spans="12:13">
      <c r="L1396" s="65">
        <v>351000</v>
      </c>
      <c r="M1396" t="s">
        <v>1247</v>
      </c>
    </row>
    <row r="1397" spans="12:13">
      <c r="L1397" s="65">
        <v>351100</v>
      </c>
      <c r="M1397" t="s">
        <v>1247</v>
      </c>
    </row>
    <row r="1398" spans="12:13">
      <c r="L1398" s="65">
        <v>351110</v>
      </c>
      <c r="M1398" t="s">
        <v>1248</v>
      </c>
    </row>
    <row r="1399" spans="12:13">
      <c r="L1399" s="65">
        <v>351111</v>
      </c>
      <c r="M1399" t="s">
        <v>1248</v>
      </c>
    </row>
    <row r="1400" spans="12:13">
      <c r="L1400" s="65">
        <v>351120</v>
      </c>
      <c r="M1400" t="s">
        <v>1249</v>
      </c>
    </row>
    <row r="1401" spans="12:13">
      <c r="L1401" s="65">
        <v>351121</v>
      </c>
      <c r="M1401" t="s">
        <v>1250</v>
      </c>
    </row>
    <row r="1402" spans="12:13">
      <c r="L1402" s="65">
        <v>351122</v>
      </c>
      <c r="M1402" t="s">
        <v>1251</v>
      </c>
    </row>
    <row r="1403" spans="12:13">
      <c r="L1403" s="65">
        <v>351123</v>
      </c>
      <c r="M1403" t="s">
        <v>1252</v>
      </c>
    </row>
    <row r="1404" spans="12:13">
      <c r="L1404" s="65">
        <v>351130</v>
      </c>
      <c r="M1404" t="s">
        <v>1253</v>
      </c>
    </row>
    <row r="1405" spans="12:13">
      <c r="L1405" s="65">
        <v>351131</v>
      </c>
      <c r="M1405" t="s">
        <v>1253</v>
      </c>
    </row>
    <row r="1406" spans="12:13">
      <c r="L1406" s="65">
        <v>351140</v>
      </c>
      <c r="M1406" t="s">
        <v>1254</v>
      </c>
    </row>
    <row r="1407" spans="12:13">
      <c r="L1407" s="65">
        <v>351141</v>
      </c>
      <c r="M1407" t="s">
        <v>1254</v>
      </c>
    </row>
    <row r="1408" spans="12:13">
      <c r="L1408" s="65">
        <v>351150</v>
      </c>
      <c r="M1408" t="s">
        <v>1255</v>
      </c>
    </row>
    <row r="1409" spans="12:13">
      <c r="L1409" s="65">
        <v>351151</v>
      </c>
      <c r="M1409" t="s">
        <v>1255</v>
      </c>
    </row>
    <row r="1410" spans="12:13">
      <c r="L1410" s="65">
        <v>352000</v>
      </c>
      <c r="M1410" t="s">
        <v>1256</v>
      </c>
    </row>
    <row r="1411" spans="12:13">
      <c r="L1411" s="65">
        <v>352100</v>
      </c>
      <c r="M1411" t="s">
        <v>1256</v>
      </c>
    </row>
    <row r="1412" spans="12:13">
      <c r="L1412" s="65">
        <v>352110</v>
      </c>
      <c r="M1412" t="s">
        <v>1257</v>
      </c>
    </row>
    <row r="1413" spans="12:13">
      <c r="L1413" s="65">
        <v>352111</v>
      </c>
      <c r="M1413" t="s">
        <v>1257</v>
      </c>
    </row>
    <row r="1414" spans="12:13">
      <c r="L1414" s="65">
        <v>352120</v>
      </c>
      <c r="M1414" t="s">
        <v>1258</v>
      </c>
    </row>
    <row r="1415" spans="12:13">
      <c r="L1415" s="65">
        <v>352121</v>
      </c>
      <c r="M1415" t="s">
        <v>1259</v>
      </c>
    </row>
    <row r="1416" spans="12:13">
      <c r="L1416" s="65">
        <v>352122</v>
      </c>
      <c r="M1416" t="s">
        <v>1260</v>
      </c>
    </row>
    <row r="1417" spans="12:13">
      <c r="L1417" s="65">
        <v>352123</v>
      </c>
      <c r="M1417" t="s">
        <v>1261</v>
      </c>
    </row>
    <row r="1418" spans="12:13">
      <c r="L1418" s="65">
        <v>352130</v>
      </c>
      <c r="M1418" t="s">
        <v>1262</v>
      </c>
    </row>
    <row r="1419" spans="12:13">
      <c r="L1419" s="65">
        <v>352131</v>
      </c>
      <c r="M1419" t="s">
        <v>1262</v>
      </c>
    </row>
    <row r="1420" spans="12:13">
      <c r="L1420" s="65">
        <v>352140</v>
      </c>
      <c r="M1420" t="s">
        <v>1263</v>
      </c>
    </row>
    <row r="1421" spans="12:13">
      <c r="L1421" s="65">
        <v>352141</v>
      </c>
      <c r="M1421" t="s">
        <v>1263</v>
      </c>
    </row>
    <row r="1422" spans="12:13">
      <c r="L1422" s="65">
        <v>352150</v>
      </c>
      <c r="M1422" t="s">
        <v>1264</v>
      </c>
    </row>
    <row r="1423" spans="12:13">
      <c r="L1423" s="65">
        <v>352151</v>
      </c>
      <c r="M1423" t="s">
        <v>1264</v>
      </c>
    </row>
    <row r="1424" spans="12:13">
      <c r="L1424" s="65">
        <v>400000</v>
      </c>
      <c r="M1424" t="s">
        <v>1265</v>
      </c>
    </row>
    <row r="1425" spans="12:13">
      <c r="L1425" s="65">
        <v>410000</v>
      </c>
      <c r="M1425" t="s">
        <v>1266</v>
      </c>
    </row>
    <row r="1426" spans="12:13">
      <c r="L1426" s="65">
        <v>411000</v>
      </c>
      <c r="M1426" t="s">
        <v>1267</v>
      </c>
    </row>
    <row r="1427" spans="12:13">
      <c r="L1427" s="65">
        <v>411100</v>
      </c>
      <c r="M1427" t="s">
        <v>1268</v>
      </c>
    </row>
    <row r="1428" spans="12:13">
      <c r="L1428" s="65">
        <v>411110</v>
      </c>
      <c r="M1428" t="s">
        <v>1268</v>
      </c>
    </row>
    <row r="1429" spans="12:13">
      <c r="L1429" s="65">
        <v>411111</v>
      </c>
      <c r="M1429" t="s">
        <v>1269</v>
      </c>
    </row>
    <row r="1430" spans="12:13">
      <c r="L1430" s="65">
        <v>411112</v>
      </c>
      <c r="M1430" t="s">
        <v>1270</v>
      </c>
    </row>
    <row r="1431" spans="12:13">
      <c r="L1431" s="65">
        <v>411113</v>
      </c>
      <c r="M1431" t="s">
        <v>1271</v>
      </c>
    </row>
    <row r="1432" spans="12:13">
      <c r="L1432" s="65">
        <v>411114</v>
      </c>
      <c r="M1432" t="s">
        <v>1272</v>
      </c>
    </row>
    <row r="1433" spans="12:13">
      <c r="L1433" s="65">
        <v>411115</v>
      </c>
      <c r="M1433" t="s">
        <v>1273</v>
      </c>
    </row>
    <row r="1434" spans="12:13">
      <c r="L1434" s="65">
        <v>411116</v>
      </c>
      <c r="M1434" t="s">
        <v>1274</v>
      </c>
    </row>
    <row r="1435" spans="12:13">
      <c r="L1435" s="65">
        <v>411117</v>
      </c>
      <c r="M1435" t="s">
        <v>1275</v>
      </c>
    </row>
    <row r="1436" spans="12:13">
      <c r="L1436" s="65">
        <v>411118</v>
      </c>
      <c r="M1436" t="s">
        <v>1276</v>
      </c>
    </row>
    <row r="1437" spans="12:13">
      <c r="L1437" s="66">
        <v>411119</v>
      </c>
      <c r="M1437" t="s">
        <v>1277</v>
      </c>
    </row>
    <row r="1438" spans="12:13">
      <c r="L1438" s="65">
        <v>411120</v>
      </c>
      <c r="M1438" t="s">
        <v>1278</v>
      </c>
    </row>
    <row r="1439" spans="12:13">
      <c r="L1439" s="65">
        <v>411121</v>
      </c>
      <c r="M1439" t="s">
        <v>1279</v>
      </c>
    </row>
    <row r="1440" spans="12:13">
      <c r="L1440" s="65">
        <v>411122</v>
      </c>
      <c r="M1440" t="s">
        <v>1280</v>
      </c>
    </row>
    <row r="1441" spans="12:13">
      <c r="L1441" s="65">
        <v>411130</v>
      </c>
      <c r="M1441" t="s">
        <v>1281</v>
      </c>
    </row>
    <row r="1442" spans="12:13">
      <c r="L1442" s="65">
        <v>411131</v>
      </c>
      <c r="M1442" t="s">
        <v>1281</v>
      </c>
    </row>
    <row r="1443" spans="12:13">
      <c r="L1443" s="65">
        <v>411140</v>
      </c>
      <c r="M1443" t="s">
        <v>1282</v>
      </c>
    </row>
    <row r="1444" spans="12:13">
      <c r="L1444" s="65">
        <v>411141</v>
      </c>
      <c r="M1444" t="s">
        <v>1282</v>
      </c>
    </row>
    <row r="1445" spans="12:13">
      <c r="L1445" s="65">
        <v>411150</v>
      </c>
      <c r="M1445" t="s">
        <v>1283</v>
      </c>
    </row>
    <row r="1446" spans="12:13">
      <c r="L1446" s="65">
        <v>411151</v>
      </c>
      <c r="M1446" t="s">
        <v>1284</v>
      </c>
    </row>
    <row r="1447" spans="12:13">
      <c r="L1447" s="65">
        <v>411159</v>
      </c>
      <c r="M1447" t="s">
        <v>1285</v>
      </c>
    </row>
    <row r="1448" spans="12:13">
      <c r="L1448" s="65">
        <v>411190</v>
      </c>
      <c r="M1448" t="s">
        <v>1286</v>
      </c>
    </row>
    <row r="1449" spans="12:13">
      <c r="L1449" s="65">
        <v>411191</v>
      </c>
      <c r="M1449" t="s">
        <v>1286</v>
      </c>
    </row>
    <row r="1450" spans="12:13">
      <c r="L1450" s="65">
        <v>412000</v>
      </c>
      <c r="M1450" t="s">
        <v>1287</v>
      </c>
    </row>
    <row r="1451" spans="12:13">
      <c r="L1451" s="65">
        <v>412100</v>
      </c>
      <c r="M1451" t="s">
        <v>1288</v>
      </c>
    </row>
    <row r="1452" spans="12:13">
      <c r="L1452" s="65">
        <v>412110</v>
      </c>
      <c r="M1452" t="s">
        <v>1288</v>
      </c>
    </row>
    <row r="1453" spans="12:13">
      <c r="L1453" s="65">
        <v>412111</v>
      </c>
      <c r="M1453" t="s">
        <v>1288</v>
      </c>
    </row>
    <row r="1454" spans="12:13">
      <c r="L1454" s="65">
        <v>412112</v>
      </c>
      <c r="M1454" t="s">
        <v>1289</v>
      </c>
    </row>
    <row r="1455" spans="12:13">
      <c r="L1455" s="65">
        <v>412113</v>
      </c>
      <c r="M1455" t="s">
        <v>1290</v>
      </c>
    </row>
    <row r="1456" spans="12:13">
      <c r="L1456" s="65">
        <v>412200</v>
      </c>
      <c r="M1456" t="s">
        <v>1291</v>
      </c>
    </row>
    <row r="1457" spans="12:13">
      <c r="L1457" s="65">
        <v>412210</v>
      </c>
      <c r="M1457" t="s">
        <v>1291</v>
      </c>
    </row>
    <row r="1458" spans="12:13">
      <c r="L1458" s="65">
        <v>412211</v>
      </c>
      <c r="M1458" t="s">
        <v>1291</v>
      </c>
    </row>
    <row r="1459" spans="12:13">
      <c r="L1459" s="65">
        <v>412221</v>
      </c>
      <c r="M1459" t="s">
        <v>1292</v>
      </c>
    </row>
    <row r="1460" spans="12:13">
      <c r="L1460" s="65">
        <v>412300</v>
      </c>
      <c r="M1460" t="s">
        <v>1293</v>
      </c>
    </row>
    <row r="1461" spans="12:13">
      <c r="L1461" s="65">
        <v>412310</v>
      </c>
      <c r="M1461" t="s">
        <v>1293</v>
      </c>
    </row>
    <row r="1462" spans="12:13">
      <c r="L1462" s="65">
        <v>412311</v>
      </c>
      <c r="M1462" t="s">
        <v>1293</v>
      </c>
    </row>
    <row r="1463" spans="12:13">
      <c r="L1463" s="65">
        <v>413000</v>
      </c>
      <c r="M1463" t="s">
        <v>1294</v>
      </c>
    </row>
    <row r="1464" spans="12:13">
      <c r="L1464" s="65">
        <v>413100</v>
      </c>
      <c r="M1464" t="s">
        <v>1294</v>
      </c>
    </row>
    <row r="1465" spans="12:13">
      <c r="L1465" s="65">
        <v>413110</v>
      </c>
      <c r="M1465" t="s">
        <v>1294</v>
      </c>
    </row>
    <row r="1466" spans="12:13">
      <c r="L1466" s="65">
        <v>413111</v>
      </c>
      <c r="M1466" t="s">
        <v>1295</v>
      </c>
    </row>
    <row r="1467" spans="12:13">
      <c r="L1467" s="65">
        <v>413112</v>
      </c>
      <c r="M1467" t="s">
        <v>1296</v>
      </c>
    </row>
    <row r="1468" spans="12:13">
      <c r="L1468" s="65">
        <v>413119</v>
      </c>
      <c r="M1468" t="s">
        <v>1297</v>
      </c>
    </row>
    <row r="1469" spans="12:13">
      <c r="L1469" s="65">
        <v>413120</v>
      </c>
      <c r="M1469" t="s">
        <v>1298</v>
      </c>
    </row>
    <row r="1470" spans="12:13">
      <c r="L1470" s="65">
        <v>413121</v>
      </c>
      <c r="M1470" t="s">
        <v>1298</v>
      </c>
    </row>
    <row r="1471" spans="12:13">
      <c r="L1471" s="65">
        <v>413130</v>
      </c>
      <c r="M1471" t="s">
        <v>1299</v>
      </c>
    </row>
    <row r="1472" spans="12:13">
      <c r="L1472" s="65">
        <v>413131</v>
      </c>
      <c r="M1472" t="s">
        <v>1300</v>
      </c>
    </row>
    <row r="1473" spans="12:13">
      <c r="L1473" s="65">
        <v>413139</v>
      </c>
      <c r="M1473" t="s">
        <v>1301</v>
      </c>
    </row>
    <row r="1474" spans="12:13">
      <c r="L1474" s="65">
        <v>413140</v>
      </c>
      <c r="M1474" t="s">
        <v>1302</v>
      </c>
    </row>
    <row r="1475" spans="12:13">
      <c r="L1475" s="65">
        <v>413141</v>
      </c>
      <c r="M1475" t="s">
        <v>1303</v>
      </c>
    </row>
    <row r="1476" spans="12:13">
      <c r="L1476" s="65">
        <v>413142</v>
      </c>
      <c r="M1476" t="s">
        <v>1304</v>
      </c>
    </row>
    <row r="1477" spans="12:13">
      <c r="L1477" s="65">
        <v>413150</v>
      </c>
      <c r="M1477" t="s">
        <v>1305</v>
      </c>
    </row>
    <row r="1478" spans="12:13">
      <c r="L1478" s="65">
        <v>413151</v>
      </c>
      <c r="M1478" t="s">
        <v>1305</v>
      </c>
    </row>
    <row r="1479" spans="12:13">
      <c r="L1479" s="65">
        <v>413160</v>
      </c>
      <c r="M1479" t="s">
        <v>1306</v>
      </c>
    </row>
    <row r="1480" spans="12:13">
      <c r="L1480" s="65">
        <v>413161</v>
      </c>
      <c r="M1480" t="s">
        <v>1306</v>
      </c>
    </row>
    <row r="1481" spans="12:13">
      <c r="L1481" s="65">
        <v>413170</v>
      </c>
      <c r="M1481" t="s">
        <v>1307</v>
      </c>
    </row>
    <row r="1482" spans="12:13">
      <c r="L1482" s="65">
        <v>413171</v>
      </c>
      <c r="M1482" t="s">
        <v>1307</v>
      </c>
    </row>
    <row r="1483" spans="12:13">
      <c r="L1483" s="65">
        <v>413180</v>
      </c>
      <c r="M1483" t="s">
        <v>1308</v>
      </c>
    </row>
    <row r="1484" spans="12:13">
      <c r="L1484" s="65">
        <v>413181</v>
      </c>
      <c r="M1484" t="s">
        <v>1308</v>
      </c>
    </row>
    <row r="1485" spans="12:13">
      <c r="L1485" s="65">
        <v>414000</v>
      </c>
      <c r="M1485" t="s">
        <v>1309</v>
      </c>
    </row>
    <row r="1486" spans="12:13">
      <c r="L1486" s="65">
        <v>414100</v>
      </c>
      <c r="M1486" t="s">
        <v>1310</v>
      </c>
    </row>
    <row r="1487" spans="12:13">
      <c r="L1487" s="65">
        <v>414110</v>
      </c>
      <c r="M1487" t="s">
        <v>1311</v>
      </c>
    </row>
    <row r="1488" spans="12:13">
      <c r="L1488" s="65">
        <v>414111</v>
      </c>
      <c r="M1488" t="s">
        <v>1311</v>
      </c>
    </row>
    <row r="1489" spans="12:13">
      <c r="L1489" s="65">
        <v>414120</v>
      </c>
      <c r="M1489" t="s">
        <v>1312</v>
      </c>
    </row>
    <row r="1490" spans="12:13">
      <c r="L1490" s="65">
        <v>414121</v>
      </c>
      <c r="M1490" t="s">
        <v>1312</v>
      </c>
    </row>
    <row r="1491" spans="12:13">
      <c r="L1491" s="65">
        <v>414130</v>
      </c>
      <c r="M1491" t="s">
        <v>1313</v>
      </c>
    </row>
    <row r="1492" spans="12:13">
      <c r="L1492" s="65">
        <v>414131</v>
      </c>
      <c r="M1492" t="s">
        <v>1313</v>
      </c>
    </row>
    <row r="1493" spans="12:13">
      <c r="L1493" s="65">
        <v>414200</v>
      </c>
      <c r="M1493" t="s">
        <v>1314</v>
      </c>
    </row>
    <row r="1494" spans="12:13">
      <c r="L1494" s="65">
        <v>414210</v>
      </c>
      <c r="M1494" t="s">
        <v>1314</v>
      </c>
    </row>
    <row r="1495" spans="12:13">
      <c r="L1495" s="65">
        <v>414211</v>
      </c>
      <c r="M1495" t="s">
        <v>1314</v>
      </c>
    </row>
    <row r="1496" spans="12:13">
      <c r="L1496" s="65">
        <v>414300</v>
      </c>
      <c r="M1496" t="s">
        <v>1315</v>
      </c>
    </row>
    <row r="1497" spans="12:13">
      <c r="L1497" s="65">
        <v>414310</v>
      </c>
      <c r="M1497" t="s">
        <v>1315</v>
      </c>
    </row>
    <row r="1498" spans="12:13">
      <c r="L1498" s="65">
        <v>414311</v>
      </c>
      <c r="M1498" t="s">
        <v>1316</v>
      </c>
    </row>
    <row r="1499" spans="12:13">
      <c r="L1499" s="65">
        <v>414312</v>
      </c>
      <c r="M1499" t="s">
        <v>1317</v>
      </c>
    </row>
    <row r="1500" spans="12:13">
      <c r="L1500" s="65">
        <v>414314</v>
      </c>
      <c r="M1500" t="s">
        <v>1318</v>
      </c>
    </row>
    <row r="1501" spans="12:13">
      <c r="L1501" s="65">
        <v>414400</v>
      </c>
      <c r="M1501" t="s">
        <v>1319</v>
      </c>
    </row>
    <row r="1502" spans="12:13">
      <c r="L1502" s="65">
        <v>414410</v>
      </c>
      <c r="M1502" t="s">
        <v>1319</v>
      </c>
    </row>
    <row r="1503" spans="12:13">
      <c r="L1503" s="65">
        <v>414411</v>
      </c>
      <c r="M1503" t="s">
        <v>1320</v>
      </c>
    </row>
    <row r="1504" spans="12:13">
      <c r="L1504" s="65">
        <v>414412</v>
      </c>
      <c r="M1504" t="s">
        <v>1321</v>
      </c>
    </row>
    <row r="1505" spans="12:13">
      <c r="L1505" s="65">
        <v>414419</v>
      </c>
      <c r="M1505" t="s">
        <v>1322</v>
      </c>
    </row>
    <row r="1506" spans="12:13">
      <c r="L1506" s="65">
        <v>415000</v>
      </c>
      <c r="M1506" t="s">
        <v>1323</v>
      </c>
    </row>
    <row r="1507" spans="12:13">
      <c r="L1507" s="65">
        <v>415100</v>
      </c>
      <c r="M1507" t="s">
        <v>1323</v>
      </c>
    </row>
    <row r="1508" spans="12:13">
      <c r="L1508" s="65">
        <v>415110</v>
      </c>
      <c r="M1508" t="s">
        <v>1323</v>
      </c>
    </row>
    <row r="1509" spans="12:13">
      <c r="L1509" s="65">
        <v>415111</v>
      </c>
      <c r="M1509" t="s">
        <v>1324</v>
      </c>
    </row>
    <row r="1510" spans="12:13">
      <c r="L1510" s="65">
        <v>415112</v>
      </c>
      <c r="M1510" t="s">
        <v>1325</v>
      </c>
    </row>
    <row r="1511" spans="12:13">
      <c r="L1511" s="65">
        <v>415113</v>
      </c>
      <c r="M1511" t="s">
        <v>1326</v>
      </c>
    </row>
    <row r="1512" spans="12:13">
      <c r="L1512" s="65">
        <v>415114</v>
      </c>
      <c r="M1512" t="s">
        <v>1327</v>
      </c>
    </row>
    <row r="1513" spans="12:13">
      <c r="L1513" s="65">
        <v>415119</v>
      </c>
      <c r="M1513" t="s">
        <v>1328</v>
      </c>
    </row>
    <row r="1514" spans="12:13">
      <c r="L1514" s="65">
        <v>416000</v>
      </c>
      <c r="M1514" t="s">
        <v>1329</v>
      </c>
    </row>
    <row r="1515" spans="12:13">
      <c r="L1515" s="65">
        <v>416100</v>
      </c>
      <c r="M1515" t="s">
        <v>1329</v>
      </c>
    </row>
    <row r="1516" spans="12:13">
      <c r="L1516" s="65">
        <v>416110</v>
      </c>
      <c r="M1516" t="s">
        <v>1330</v>
      </c>
    </row>
    <row r="1517" spans="12:13">
      <c r="L1517" s="65">
        <v>416111</v>
      </c>
      <c r="M1517" t="s">
        <v>1331</v>
      </c>
    </row>
    <row r="1518" spans="12:13">
      <c r="L1518" s="65">
        <v>416112</v>
      </c>
      <c r="M1518" t="s">
        <v>1332</v>
      </c>
    </row>
    <row r="1519" spans="12:13">
      <c r="L1519" s="65">
        <v>416119</v>
      </c>
      <c r="M1519" t="s">
        <v>1333</v>
      </c>
    </row>
    <row r="1520" spans="12:13">
      <c r="L1520" s="65">
        <v>416120</v>
      </c>
      <c r="M1520" t="s">
        <v>1334</v>
      </c>
    </row>
    <row r="1521" spans="12:13">
      <c r="L1521" s="65">
        <v>416121</v>
      </c>
      <c r="M1521" t="s">
        <v>1335</v>
      </c>
    </row>
    <row r="1522" spans="12:13">
      <c r="L1522" s="65">
        <v>416130</v>
      </c>
      <c r="M1522" t="s">
        <v>1336</v>
      </c>
    </row>
    <row r="1523" spans="12:13">
      <c r="L1523" s="65">
        <v>416131</v>
      </c>
      <c r="M1523" t="s">
        <v>1337</v>
      </c>
    </row>
    <row r="1524" spans="12:13">
      <c r="L1524" s="65">
        <v>416132</v>
      </c>
      <c r="M1524" t="s">
        <v>1338</v>
      </c>
    </row>
    <row r="1525" spans="12:13">
      <c r="L1525" s="65">
        <v>417000</v>
      </c>
      <c r="M1525" t="s">
        <v>1339</v>
      </c>
    </row>
    <row r="1526" spans="12:13">
      <c r="L1526" s="65">
        <v>417100</v>
      </c>
      <c r="M1526" t="s">
        <v>1339</v>
      </c>
    </row>
    <row r="1527" spans="12:13">
      <c r="L1527" s="65">
        <v>417110</v>
      </c>
      <c r="M1527" t="s">
        <v>1339</v>
      </c>
    </row>
    <row r="1528" spans="12:13">
      <c r="L1528" s="65">
        <v>417111</v>
      </c>
      <c r="M1528" t="s">
        <v>1339</v>
      </c>
    </row>
    <row r="1529" spans="12:13">
      <c r="L1529" s="65">
        <v>418000</v>
      </c>
      <c r="M1529" t="s">
        <v>1340</v>
      </c>
    </row>
    <row r="1530" spans="12:13">
      <c r="L1530" s="65">
        <v>418100</v>
      </c>
      <c r="M1530" t="s">
        <v>1340</v>
      </c>
    </row>
    <row r="1531" spans="12:13">
      <c r="L1531" s="65">
        <v>418110</v>
      </c>
      <c r="M1531" t="s">
        <v>1340</v>
      </c>
    </row>
    <row r="1532" spans="12:13">
      <c r="L1532" s="65">
        <v>418111</v>
      </c>
      <c r="M1532" t="s">
        <v>1340</v>
      </c>
    </row>
    <row r="1533" spans="12:13">
      <c r="L1533" s="65">
        <v>420000</v>
      </c>
      <c r="M1533" t="s">
        <v>1341</v>
      </c>
    </row>
    <row r="1534" spans="12:13">
      <c r="L1534" s="65">
        <v>421000</v>
      </c>
      <c r="M1534" t="s">
        <v>1342</v>
      </c>
    </row>
    <row r="1535" spans="12:13">
      <c r="L1535" s="65">
        <v>421100</v>
      </c>
      <c r="M1535" t="s">
        <v>1343</v>
      </c>
    </row>
    <row r="1536" spans="12:13">
      <c r="L1536" s="65">
        <v>421110</v>
      </c>
      <c r="M1536" t="s">
        <v>1344</v>
      </c>
    </row>
    <row r="1537" spans="12:13">
      <c r="L1537" s="65">
        <v>421111</v>
      </c>
      <c r="M1537" t="s">
        <v>1344</v>
      </c>
    </row>
    <row r="1538" spans="12:13">
      <c r="L1538" s="65">
        <v>421120</v>
      </c>
      <c r="M1538" t="s">
        <v>1345</v>
      </c>
    </row>
    <row r="1539" spans="12:13">
      <c r="L1539" s="65">
        <v>421121</v>
      </c>
      <c r="M1539" t="s">
        <v>1345</v>
      </c>
    </row>
    <row r="1540" spans="12:13">
      <c r="L1540" s="65">
        <v>421200</v>
      </c>
      <c r="M1540" t="s">
        <v>1346</v>
      </c>
    </row>
    <row r="1541" spans="12:13">
      <c r="L1541" s="65">
        <v>421210</v>
      </c>
      <c r="M1541" t="s">
        <v>1347</v>
      </c>
    </row>
    <row r="1542" spans="12:13">
      <c r="L1542" s="65">
        <v>421211</v>
      </c>
      <c r="M1542" t="s">
        <v>1347</v>
      </c>
    </row>
    <row r="1543" spans="12:13">
      <c r="L1543" s="65">
        <v>421220</v>
      </c>
      <c r="M1543" t="s">
        <v>1348</v>
      </c>
    </row>
    <row r="1544" spans="12:13">
      <c r="L1544" s="65">
        <v>421221</v>
      </c>
      <c r="M1544" t="s">
        <v>1349</v>
      </c>
    </row>
    <row r="1545" spans="12:13">
      <c r="L1545" s="65">
        <v>421222</v>
      </c>
      <c r="M1545" t="s">
        <v>1350</v>
      </c>
    </row>
    <row r="1546" spans="12:13">
      <c r="L1546" s="65">
        <v>421223</v>
      </c>
      <c r="M1546" t="s">
        <v>1351</v>
      </c>
    </row>
    <row r="1547" spans="12:13">
      <c r="L1547" s="65">
        <v>421224</v>
      </c>
      <c r="M1547" t="s">
        <v>1352</v>
      </c>
    </row>
    <row r="1548" spans="12:13">
      <c r="L1548" s="65">
        <v>421225</v>
      </c>
      <c r="M1548" t="s">
        <v>1353</v>
      </c>
    </row>
    <row r="1549" spans="12:13">
      <c r="L1549" s="65">
        <v>421300</v>
      </c>
      <c r="M1549" t="s">
        <v>1354</v>
      </c>
    </row>
    <row r="1550" spans="12:13">
      <c r="L1550" s="65">
        <v>421310</v>
      </c>
      <c r="M1550" t="s">
        <v>1355</v>
      </c>
    </row>
    <row r="1551" spans="12:13">
      <c r="L1551" s="65">
        <v>421311</v>
      </c>
      <c r="M1551" t="s">
        <v>1355</v>
      </c>
    </row>
    <row r="1552" spans="12:13">
      <c r="L1552" s="65">
        <v>421320</v>
      </c>
      <c r="M1552" t="s">
        <v>1356</v>
      </c>
    </row>
    <row r="1553" spans="12:13">
      <c r="L1553" s="65">
        <v>421321</v>
      </c>
      <c r="M1553" t="s">
        <v>1357</v>
      </c>
    </row>
    <row r="1554" spans="12:13">
      <c r="L1554" s="65">
        <v>421322</v>
      </c>
      <c r="M1554" t="s">
        <v>1358</v>
      </c>
    </row>
    <row r="1555" spans="12:13">
      <c r="L1555" s="65">
        <v>421323</v>
      </c>
      <c r="M1555" t="s">
        <v>1359</v>
      </c>
    </row>
    <row r="1556" spans="12:13">
      <c r="L1556" s="65">
        <v>421324</v>
      </c>
      <c r="M1556" t="s">
        <v>1360</v>
      </c>
    </row>
    <row r="1557" spans="12:13">
      <c r="L1557" s="65">
        <v>421325</v>
      </c>
      <c r="M1557" t="s">
        <v>1361</v>
      </c>
    </row>
    <row r="1558" spans="12:13">
      <c r="L1558" s="65">
        <v>421390</v>
      </c>
      <c r="M1558" t="s">
        <v>1362</v>
      </c>
    </row>
    <row r="1559" spans="12:13">
      <c r="L1559" s="65">
        <v>421391</v>
      </c>
      <c r="M1559" t="s">
        <v>1363</v>
      </c>
    </row>
    <row r="1560" spans="12:13">
      <c r="L1560" s="65">
        <v>421392</v>
      </c>
      <c r="M1560" t="s">
        <v>1364</v>
      </c>
    </row>
    <row r="1561" spans="12:13">
      <c r="L1561" s="65">
        <v>421400</v>
      </c>
      <c r="M1561" t="s">
        <v>1365</v>
      </c>
    </row>
    <row r="1562" spans="12:13">
      <c r="L1562" s="65">
        <v>421410</v>
      </c>
      <c r="M1562" t="s">
        <v>1366</v>
      </c>
    </row>
    <row r="1563" spans="12:13">
      <c r="L1563" s="65">
        <v>421411</v>
      </c>
      <c r="M1563" t="s">
        <v>1367</v>
      </c>
    </row>
    <row r="1564" spans="12:13">
      <c r="L1564" s="65">
        <v>421412</v>
      </c>
      <c r="M1564" t="s">
        <v>1368</v>
      </c>
    </row>
    <row r="1565" spans="12:13">
      <c r="L1565" s="65">
        <v>421413</v>
      </c>
      <c r="M1565" t="s">
        <v>1369</v>
      </c>
    </row>
    <row r="1566" spans="12:13">
      <c r="L1566" s="65">
        <v>421414</v>
      </c>
      <c r="M1566" t="s">
        <v>1370</v>
      </c>
    </row>
    <row r="1567" spans="12:13">
      <c r="L1567" s="65">
        <v>421419</v>
      </c>
      <c r="M1567" t="s">
        <v>1371</v>
      </c>
    </row>
    <row r="1568" spans="12:13">
      <c r="L1568" s="65">
        <v>421420</v>
      </c>
      <c r="M1568" t="s">
        <v>1372</v>
      </c>
    </row>
    <row r="1569" spans="12:13">
      <c r="L1569" s="65">
        <v>421421</v>
      </c>
      <c r="M1569" t="s">
        <v>1373</v>
      </c>
    </row>
    <row r="1570" spans="12:13">
      <c r="L1570" s="65">
        <v>421422</v>
      </c>
      <c r="M1570" t="s">
        <v>1374</v>
      </c>
    </row>
    <row r="1571" spans="12:13">
      <c r="L1571" s="65">
        <v>421429</v>
      </c>
      <c r="M1571" t="s">
        <v>1375</v>
      </c>
    </row>
    <row r="1572" spans="12:13">
      <c r="L1572" s="65">
        <v>421500</v>
      </c>
      <c r="M1572" t="s">
        <v>1376</v>
      </c>
    </row>
    <row r="1573" spans="12:13">
      <c r="L1573" s="65">
        <v>421510</v>
      </c>
      <c r="M1573" t="s">
        <v>1377</v>
      </c>
    </row>
    <row r="1574" spans="12:13">
      <c r="L1574" s="65">
        <v>421511</v>
      </c>
      <c r="M1574" t="s">
        <v>1378</v>
      </c>
    </row>
    <row r="1575" spans="12:13">
      <c r="L1575" s="65">
        <v>421512</v>
      </c>
      <c r="M1575" t="s">
        <v>1379</v>
      </c>
    </row>
    <row r="1576" spans="12:13">
      <c r="L1576" s="65">
        <v>421513</v>
      </c>
      <c r="M1576" t="s">
        <v>1380</v>
      </c>
    </row>
    <row r="1577" spans="12:13">
      <c r="L1577" s="65">
        <v>421519</v>
      </c>
      <c r="M1577" t="s">
        <v>1381</v>
      </c>
    </row>
    <row r="1578" spans="12:13">
      <c r="L1578" s="65">
        <v>421520</v>
      </c>
      <c r="M1578" t="s">
        <v>1382</v>
      </c>
    </row>
    <row r="1579" spans="12:13">
      <c r="L1579" s="65">
        <v>421521</v>
      </c>
      <c r="M1579" t="s">
        <v>1383</v>
      </c>
    </row>
    <row r="1580" spans="12:13">
      <c r="L1580" s="65">
        <v>421522</v>
      </c>
      <c r="M1580" t="s">
        <v>1384</v>
      </c>
    </row>
    <row r="1581" spans="12:13">
      <c r="L1581" s="65">
        <v>421523</v>
      </c>
      <c r="M1581" t="s">
        <v>1385</v>
      </c>
    </row>
    <row r="1582" spans="12:13">
      <c r="L1582" s="65">
        <v>421600</v>
      </c>
      <c r="M1582" t="s">
        <v>1386</v>
      </c>
    </row>
    <row r="1583" spans="12:13">
      <c r="L1583" s="65">
        <v>421610</v>
      </c>
      <c r="M1583" t="s">
        <v>1387</v>
      </c>
    </row>
    <row r="1584" spans="12:13">
      <c r="L1584" s="65">
        <v>421611</v>
      </c>
      <c r="M1584" t="s">
        <v>1388</v>
      </c>
    </row>
    <row r="1585" spans="12:13">
      <c r="L1585" s="65">
        <v>421612</v>
      </c>
      <c r="M1585" t="s">
        <v>1389</v>
      </c>
    </row>
    <row r="1586" spans="12:13">
      <c r="L1586" s="65">
        <v>421619</v>
      </c>
      <c r="M1586" t="s">
        <v>1390</v>
      </c>
    </row>
    <row r="1587" spans="12:13">
      <c r="L1587" s="65">
        <v>421620</v>
      </c>
      <c r="M1587" t="s">
        <v>1391</v>
      </c>
    </row>
    <row r="1588" spans="12:13">
      <c r="L1588" s="65">
        <v>421621</v>
      </c>
      <c r="M1588" t="s">
        <v>1392</v>
      </c>
    </row>
    <row r="1589" spans="12:13">
      <c r="L1589" s="65">
        <v>421622</v>
      </c>
      <c r="M1589" t="s">
        <v>1393</v>
      </c>
    </row>
    <row r="1590" spans="12:13">
      <c r="L1590" s="65">
        <v>421623</v>
      </c>
      <c r="M1590" t="s">
        <v>1394</v>
      </c>
    </row>
    <row r="1591" spans="12:13">
      <c r="L1591" s="65">
        <v>421624</v>
      </c>
      <c r="M1591" t="s">
        <v>1395</v>
      </c>
    </row>
    <row r="1592" spans="12:13">
      <c r="L1592" s="65">
        <v>421625</v>
      </c>
      <c r="M1592" t="s">
        <v>1396</v>
      </c>
    </row>
    <row r="1593" spans="12:13">
      <c r="L1593" s="65">
        <v>421626</v>
      </c>
      <c r="M1593" t="s">
        <v>1397</v>
      </c>
    </row>
    <row r="1594" spans="12:13">
      <c r="L1594" s="65">
        <v>421627</v>
      </c>
      <c r="M1594" t="s">
        <v>1398</v>
      </c>
    </row>
    <row r="1595" spans="12:13">
      <c r="L1595" s="65">
        <v>421628</v>
      </c>
      <c r="M1595" t="s">
        <v>1399</v>
      </c>
    </row>
    <row r="1596" spans="12:13">
      <c r="L1596" s="65">
        <v>421629</v>
      </c>
      <c r="M1596" t="s">
        <v>1400</v>
      </c>
    </row>
    <row r="1597" spans="12:13">
      <c r="L1597" s="65">
        <v>421900</v>
      </c>
      <c r="M1597" t="s">
        <v>1401</v>
      </c>
    </row>
    <row r="1598" spans="12:13">
      <c r="L1598" s="65">
        <v>421910</v>
      </c>
      <c r="M1598" t="s">
        <v>1401</v>
      </c>
    </row>
    <row r="1599" spans="12:13">
      <c r="L1599" s="65">
        <v>421911</v>
      </c>
      <c r="M1599" t="s">
        <v>1402</v>
      </c>
    </row>
    <row r="1600" spans="12:13">
      <c r="L1600" s="65">
        <v>421919</v>
      </c>
      <c r="M1600" t="s">
        <v>1403</v>
      </c>
    </row>
    <row r="1601" spans="12:13">
      <c r="L1601" s="65">
        <v>422000</v>
      </c>
      <c r="M1601" t="s">
        <v>1404</v>
      </c>
    </row>
    <row r="1602" spans="12:13">
      <c r="L1602" s="65">
        <v>422100</v>
      </c>
      <c r="M1602" t="s">
        <v>1405</v>
      </c>
    </row>
    <row r="1603" spans="12:13">
      <c r="L1603" s="65">
        <v>422110</v>
      </c>
      <c r="M1603" t="s">
        <v>1406</v>
      </c>
    </row>
    <row r="1604" spans="12:13">
      <c r="L1604" s="65">
        <v>422111</v>
      </c>
      <c r="M1604" t="s">
        <v>1406</v>
      </c>
    </row>
    <row r="1605" spans="12:13">
      <c r="L1605" s="65">
        <v>422120</v>
      </c>
      <c r="M1605" t="s">
        <v>1407</v>
      </c>
    </row>
    <row r="1606" spans="12:13">
      <c r="L1606" s="65">
        <v>422121</v>
      </c>
      <c r="M1606" t="s">
        <v>1407</v>
      </c>
    </row>
    <row r="1607" spans="12:13">
      <c r="L1607" s="65">
        <v>422130</v>
      </c>
      <c r="M1607" t="s">
        <v>1408</v>
      </c>
    </row>
    <row r="1608" spans="12:13">
      <c r="L1608" s="65">
        <v>422131</v>
      </c>
      <c r="M1608" t="s">
        <v>1408</v>
      </c>
    </row>
    <row r="1609" spans="12:13">
      <c r="L1609" s="65">
        <v>422190</v>
      </c>
      <c r="M1609" t="s">
        <v>1409</v>
      </c>
    </row>
    <row r="1610" spans="12:13">
      <c r="L1610" s="65">
        <v>422191</v>
      </c>
      <c r="M1610" t="s">
        <v>1410</v>
      </c>
    </row>
    <row r="1611" spans="12:13">
      <c r="L1611" s="65">
        <v>422192</v>
      </c>
      <c r="M1611" t="s">
        <v>1411</v>
      </c>
    </row>
    <row r="1612" spans="12:13">
      <c r="L1612" s="65">
        <v>422193</v>
      </c>
      <c r="M1612" t="s">
        <v>1412</v>
      </c>
    </row>
    <row r="1613" spans="12:13">
      <c r="L1613" s="65">
        <v>422194</v>
      </c>
      <c r="M1613" t="s">
        <v>1413</v>
      </c>
    </row>
    <row r="1614" spans="12:13">
      <c r="L1614" s="65">
        <v>422199</v>
      </c>
      <c r="M1614" t="s">
        <v>1414</v>
      </c>
    </row>
    <row r="1615" spans="12:13">
      <c r="L1615" s="65">
        <v>422200</v>
      </c>
      <c r="M1615" t="s">
        <v>1415</v>
      </c>
    </row>
    <row r="1616" spans="12:13">
      <c r="L1616" s="65">
        <v>422210</v>
      </c>
      <c r="M1616" t="s">
        <v>1416</v>
      </c>
    </row>
    <row r="1617" spans="12:13">
      <c r="L1617" s="65">
        <v>422211</v>
      </c>
      <c r="M1617" t="s">
        <v>1416</v>
      </c>
    </row>
    <row r="1618" spans="12:13">
      <c r="L1618" s="65">
        <v>422220</v>
      </c>
      <c r="M1618" t="s">
        <v>1417</v>
      </c>
    </row>
    <row r="1619" spans="12:13">
      <c r="L1619" s="65">
        <v>422221</v>
      </c>
      <c r="M1619" t="s">
        <v>1417</v>
      </c>
    </row>
    <row r="1620" spans="12:13">
      <c r="L1620" s="65">
        <v>422230</v>
      </c>
      <c r="M1620" t="s">
        <v>1418</v>
      </c>
    </row>
    <row r="1621" spans="12:13">
      <c r="L1621" s="65">
        <v>422231</v>
      </c>
      <c r="M1621" t="s">
        <v>1418</v>
      </c>
    </row>
    <row r="1622" spans="12:13">
      <c r="L1622" s="65">
        <v>422290</v>
      </c>
      <c r="M1622" t="s">
        <v>1409</v>
      </c>
    </row>
    <row r="1623" spans="12:13">
      <c r="L1623" s="65">
        <v>422291</v>
      </c>
      <c r="M1623" t="s">
        <v>1419</v>
      </c>
    </row>
    <row r="1624" spans="12:13">
      <c r="L1624" s="65">
        <v>422292</v>
      </c>
      <c r="M1624" t="s">
        <v>1411</v>
      </c>
    </row>
    <row r="1625" spans="12:13">
      <c r="L1625" s="65">
        <v>422293</v>
      </c>
      <c r="M1625" t="s">
        <v>1413</v>
      </c>
    </row>
    <row r="1626" spans="12:13">
      <c r="L1626" s="65">
        <v>422299</v>
      </c>
      <c r="M1626" t="s">
        <v>1420</v>
      </c>
    </row>
    <row r="1627" spans="12:13">
      <c r="L1627" s="65">
        <v>422300</v>
      </c>
      <c r="M1627" t="s">
        <v>1421</v>
      </c>
    </row>
    <row r="1628" spans="12:13">
      <c r="L1628" s="65">
        <v>422310</v>
      </c>
      <c r="M1628" t="s">
        <v>1422</v>
      </c>
    </row>
    <row r="1629" spans="12:13">
      <c r="L1629" s="65">
        <v>422311</v>
      </c>
      <c r="M1629" t="s">
        <v>1422</v>
      </c>
    </row>
    <row r="1630" spans="12:13">
      <c r="L1630" s="65">
        <v>422320</v>
      </c>
      <c r="M1630" t="s">
        <v>1423</v>
      </c>
    </row>
    <row r="1631" spans="12:13">
      <c r="L1631" s="65">
        <v>422321</v>
      </c>
      <c r="M1631" t="s">
        <v>1423</v>
      </c>
    </row>
    <row r="1632" spans="12:13">
      <c r="L1632" s="65">
        <v>422330</v>
      </c>
      <c r="M1632" t="s">
        <v>1424</v>
      </c>
    </row>
    <row r="1633" spans="12:13">
      <c r="L1633" s="65">
        <v>422331</v>
      </c>
      <c r="M1633" t="s">
        <v>1424</v>
      </c>
    </row>
    <row r="1634" spans="12:13">
      <c r="L1634" s="65">
        <v>422390</v>
      </c>
      <c r="M1634" t="s">
        <v>1425</v>
      </c>
    </row>
    <row r="1635" spans="12:13">
      <c r="L1635" s="65">
        <v>422391</v>
      </c>
      <c r="M1635" t="s">
        <v>1426</v>
      </c>
    </row>
    <row r="1636" spans="12:13">
      <c r="L1636" s="65">
        <v>422392</v>
      </c>
      <c r="M1636" t="s">
        <v>1411</v>
      </c>
    </row>
    <row r="1637" spans="12:13">
      <c r="L1637" s="65">
        <v>422393</v>
      </c>
      <c r="M1637" t="s">
        <v>1427</v>
      </c>
    </row>
    <row r="1638" spans="12:13">
      <c r="L1638" s="65">
        <v>422394</v>
      </c>
      <c r="M1638" t="s">
        <v>1428</v>
      </c>
    </row>
    <row r="1639" spans="12:13">
      <c r="L1639" s="65">
        <v>422399</v>
      </c>
      <c r="M1639" t="s">
        <v>1429</v>
      </c>
    </row>
    <row r="1640" spans="12:13">
      <c r="L1640" s="65">
        <v>422400</v>
      </c>
      <c r="M1640" t="s">
        <v>1430</v>
      </c>
    </row>
    <row r="1641" spans="12:13">
      <c r="L1641" s="65">
        <v>422410</v>
      </c>
      <c r="M1641" t="s">
        <v>1430</v>
      </c>
    </row>
    <row r="1642" spans="12:13">
      <c r="L1642" s="65">
        <v>422411</v>
      </c>
      <c r="M1642" t="s">
        <v>1431</v>
      </c>
    </row>
    <row r="1643" spans="12:13">
      <c r="L1643" s="65">
        <v>422412</v>
      </c>
      <c r="M1643" t="s">
        <v>1432</v>
      </c>
    </row>
    <row r="1644" spans="12:13">
      <c r="L1644" s="65">
        <v>422900</v>
      </c>
      <c r="M1644" t="s">
        <v>1433</v>
      </c>
    </row>
    <row r="1645" spans="12:13">
      <c r="L1645" s="65">
        <v>422910</v>
      </c>
      <c r="M1645" t="s">
        <v>1433</v>
      </c>
    </row>
    <row r="1646" spans="12:13">
      <c r="L1646" s="65">
        <v>422911</v>
      </c>
      <c r="M1646" t="s">
        <v>1434</v>
      </c>
    </row>
    <row r="1647" spans="12:13">
      <c r="L1647" s="65">
        <v>423000</v>
      </c>
      <c r="M1647" t="s">
        <v>1435</v>
      </c>
    </row>
    <row r="1648" spans="12:13">
      <c r="L1648" s="65">
        <v>423100</v>
      </c>
      <c r="M1648" t="s">
        <v>1436</v>
      </c>
    </row>
    <row r="1649" spans="12:13">
      <c r="L1649" s="65">
        <v>423110</v>
      </c>
      <c r="M1649" t="s">
        <v>1437</v>
      </c>
    </row>
    <row r="1650" spans="12:13">
      <c r="L1650" s="65">
        <v>423111</v>
      </c>
      <c r="M1650" t="s">
        <v>1437</v>
      </c>
    </row>
    <row r="1651" spans="12:13">
      <c r="L1651" s="65">
        <v>423120</v>
      </c>
      <c r="M1651" t="s">
        <v>1438</v>
      </c>
    </row>
    <row r="1652" spans="12:13">
      <c r="L1652" s="65">
        <v>423121</v>
      </c>
      <c r="M1652" t="s">
        <v>1438</v>
      </c>
    </row>
    <row r="1653" spans="12:13">
      <c r="L1653" s="65">
        <v>423130</v>
      </c>
      <c r="M1653" t="s">
        <v>1439</v>
      </c>
    </row>
    <row r="1654" spans="12:13">
      <c r="L1654" s="65">
        <v>423131</v>
      </c>
      <c r="M1654" t="s">
        <v>1439</v>
      </c>
    </row>
    <row r="1655" spans="12:13">
      <c r="L1655" s="65">
        <v>423190</v>
      </c>
      <c r="M1655" t="s">
        <v>1440</v>
      </c>
    </row>
    <row r="1656" spans="12:13">
      <c r="L1656" s="65">
        <v>423191</v>
      </c>
      <c r="M1656" t="s">
        <v>1440</v>
      </c>
    </row>
    <row r="1657" spans="12:13">
      <c r="L1657" s="65">
        <v>423200</v>
      </c>
      <c r="M1657" t="s">
        <v>1441</v>
      </c>
    </row>
    <row r="1658" spans="12:13">
      <c r="L1658" s="65">
        <v>423210</v>
      </c>
      <c r="M1658" t="s">
        <v>1442</v>
      </c>
    </row>
    <row r="1659" spans="12:13">
      <c r="L1659" s="65">
        <v>423211</v>
      </c>
      <c r="M1659" t="s">
        <v>1443</v>
      </c>
    </row>
    <row r="1660" spans="12:13">
      <c r="L1660" s="65">
        <v>423212</v>
      </c>
      <c r="M1660" t="s">
        <v>1444</v>
      </c>
    </row>
    <row r="1661" spans="12:13">
      <c r="L1661" s="65">
        <v>423220</v>
      </c>
      <c r="M1661" t="s">
        <v>1445</v>
      </c>
    </row>
    <row r="1662" spans="12:13">
      <c r="L1662" s="65">
        <v>423221</v>
      </c>
      <c r="M1662" t="s">
        <v>1445</v>
      </c>
    </row>
    <row r="1663" spans="12:13">
      <c r="L1663" s="65">
        <v>423290</v>
      </c>
      <c r="M1663" t="s">
        <v>1446</v>
      </c>
    </row>
    <row r="1664" spans="12:13">
      <c r="L1664" s="65">
        <v>423291</v>
      </c>
      <c r="M1664" t="s">
        <v>1446</v>
      </c>
    </row>
    <row r="1665" spans="12:13">
      <c r="L1665" s="65">
        <v>423300</v>
      </c>
      <c r="M1665" t="s">
        <v>1447</v>
      </c>
    </row>
    <row r="1666" spans="12:13">
      <c r="L1666" s="65">
        <v>423310</v>
      </c>
      <c r="M1666" t="s">
        <v>1447</v>
      </c>
    </row>
    <row r="1667" spans="12:13">
      <c r="L1667" s="65">
        <v>423311</v>
      </c>
      <c r="M1667" t="s">
        <v>1447</v>
      </c>
    </row>
    <row r="1668" spans="12:13">
      <c r="L1668" s="65">
        <v>423320</v>
      </c>
      <c r="M1668" t="s">
        <v>1448</v>
      </c>
    </row>
    <row r="1669" spans="12:13">
      <c r="L1669" s="65">
        <v>423321</v>
      </c>
      <c r="M1669" t="s">
        <v>1449</v>
      </c>
    </row>
    <row r="1670" spans="12:13">
      <c r="L1670" s="65">
        <v>423322</v>
      </c>
      <c r="M1670" t="s">
        <v>1450</v>
      </c>
    </row>
    <row r="1671" spans="12:13">
      <c r="L1671" s="65">
        <v>423323</v>
      </c>
      <c r="M1671" t="s">
        <v>1451</v>
      </c>
    </row>
    <row r="1672" spans="12:13">
      <c r="L1672" s="65">
        <v>423390</v>
      </c>
      <c r="M1672" t="s">
        <v>1452</v>
      </c>
    </row>
    <row r="1673" spans="12:13">
      <c r="L1673" s="65">
        <v>423391</v>
      </c>
      <c r="M1673" t="s">
        <v>1453</v>
      </c>
    </row>
    <row r="1674" spans="12:13">
      <c r="L1674" s="65">
        <v>423399</v>
      </c>
      <c r="M1674" t="s">
        <v>1454</v>
      </c>
    </row>
    <row r="1675" spans="12:13">
      <c r="L1675" s="65">
        <v>423400</v>
      </c>
      <c r="M1675" t="s">
        <v>1455</v>
      </c>
    </row>
    <row r="1676" spans="12:13">
      <c r="L1676" s="65">
        <v>423410</v>
      </c>
      <c r="M1676" t="s">
        <v>1456</v>
      </c>
    </row>
    <row r="1677" spans="12:13">
      <c r="L1677" s="65">
        <v>423411</v>
      </c>
      <c r="M1677" t="s">
        <v>1457</v>
      </c>
    </row>
    <row r="1678" spans="12:13">
      <c r="L1678" s="65">
        <v>423412</v>
      </c>
      <c r="M1678" t="s">
        <v>1458</v>
      </c>
    </row>
    <row r="1679" spans="12:13">
      <c r="L1679" s="65">
        <v>423413</v>
      </c>
      <c r="M1679" t="s">
        <v>1459</v>
      </c>
    </row>
    <row r="1680" spans="12:13">
      <c r="L1680" s="65">
        <v>423419</v>
      </c>
      <c r="M1680" t="s">
        <v>1460</v>
      </c>
    </row>
    <row r="1681" spans="12:13">
      <c r="L1681" s="65">
        <v>423420</v>
      </c>
      <c r="M1681" t="s">
        <v>1461</v>
      </c>
    </row>
    <row r="1682" spans="12:13">
      <c r="L1682" s="65">
        <v>423421</v>
      </c>
      <c r="M1682" t="s">
        <v>1462</v>
      </c>
    </row>
    <row r="1683" spans="12:13">
      <c r="L1683" s="65">
        <v>423422</v>
      </c>
      <c r="M1683" t="s">
        <v>1463</v>
      </c>
    </row>
    <row r="1684" spans="12:13">
      <c r="L1684" s="65">
        <v>423430</v>
      </c>
      <c r="M1684" t="s">
        <v>1464</v>
      </c>
    </row>
    <row r="1685" spans="12:13">
      <c r="L1685" s="65">
        <v>423431</v>
      </c>
      <c r="M1685" t="s">
        <v>1464</v>
      </c>
    </row>
    <row r="1686" spans="12:13">
      <c r="L1686" s="65">
        <v>423432</v>
      </c>
      <c r="M1686" t="s">
        <v>1465</v>
      </c>
    </row>
    <row r="1687" spans="12:13">
      <c r="L1687" s="65">
        <v>423439</v>
      </c>
      <c r="M1687" t="s">
        <v>1466</v>
      </c>
    </row>
    <row r="1688" spans="12:13">
      <c r="L1688" s="65">
        <v>423440</v>
      </c>
      <c r="M1688" t="s">
        <v>1467</v>
      </c>
    </row>
    <row r="1689" spans="12:13">
      <c r="L1689" s="65">
        <v>423441</v>
      </c>
      <c r="M1689" t="s">
        <v>1468</v>
      </c>
    </row>
    <row r="1690" spans="12:13">
      <c r="L1690" s="65">
        <v>423449</v>
      </c>
      <c r="M1690" t="s">
        <v>1469</v>
      </c>
    </row>
    <row r="1691" spans="12:13">
      <c r="L1691" s="65">
        <v>423500</v>
      </c>
      <c r="M1691" t="s">
        <v>1470</v>
      </c>
    </row>
    <row r="1692" spans="12:13">
      <c r="L1692" s="65">
        <v>423510</v>
      </c>
      <c r="M1692" t="s">
        <v>1471</v>
      </c>
    </row>
    <row r="1693" spans="12:13">
      <c r="L1693" s="65">
        <v>423511</v>
      </c>
      <c r="M1693" t="s">
        <v>1471</v>
      </c>
    </row>
    <row r="1694" spans="12:13">
      <c r="L1694" s="65">
        <v>423520</v>
      </c>
      <c r="M1694" t="s">
        <v>1472</v>
      </c>
    </row>
    <row r="1695" spans="12:13">
      <c r="L1695" s="65">
        <v>423521</v>
      </c>
      <c r="M1695" t="s">
        <v>1473</v>
      </c>
    </row>
    <row r="1696" spans="12:13">
      <c r="L1696" s="65">
        <v>423522</v>
      </c>
      <c r="M1696" t="s">
        <v>1474</v>
      </c>
    </row>
    <row r="1697" spans="12:13">
      <c r="L1697" s="65">
        <v>423530</v>
      </c>
      <c r="M1697" t="s">
        <v>1475</v>
      </c>
    </row>
    <row r="1698" spans="12:13">
      <c r="L1698" s="65">
        <v>423531</v>
      </c>
      <c r="M1698" t="s">
        <v>1476</v>
      </c>
    </row>
    <row r="1699" spans="12:13">
      <c r="L1699" s="65">
        <v>423532</v>
      </c>
      <c r="M1699" t="s">
        <v>1477</v>
      </c>
    </row>
    <row r="1700" spans="12:13">
      <c r="L1700" s="65">
        <v>423539</v>
      </c>
      <c r="M1700" t="s">
        <v>1478</v>
      </c>
    </row>
    <row r="1701" spans="12:13">
      <c r="L1701" s="65">
        <v>423540</v>
      </c>
      <c r="M1701" t="s">
        <v>1479</v>
      </c>
    </row>
    <row r="1702" spans="12:13">
      <c r="L1702" s="65">
        <v>423541</v>
      </c>
      <c r="M1702" t="s">
        <v>1480</v>
      </c>
    </row>
    <row r="1703" spans="12:13">
      <c r="L1703" s="65">
        <v>423542</v>
      </c>
      <c r="M1703" t="s">
        <v>1481</v>
      </c>
    </row>
    <row r="1704" spans="12:13">
      <c r="L1704" s="65">
        <v>423590</v>
      </c>
      <c r="M1704" t="s">
        <v>1482</v>
      </c>
    </row>
    <row r="1705" spans="12:13">
      <c r="L1705" s="65">
        <v>423591</v>
      </c>
      <c r="M1705" t="s">
        <v>1336</v>
      </c>
    </row>
    <row r="1706" spans="12:13">
      <c r="L1706" s="65">
        <v>423599</v>
      </c>
      <c r="M1706" t="s">
        <v>1482</v>
      </c>
    </row>
    <row r="1707" spans="12:13">
      <c r="L1707" s="65">
        <v>423600</v>
      </c>
      <c r="M1707" t="s">
        <v>1483</v>
      </c>
    </row>
    <row r="1708" spans="12:13">
      <c r="L1708" s="65">
        <v>423610</v>
      </c>
      <c r="M1708" t="s">
        <v>1484</v>
      </c>
    </row>
    <row r="1709" spans="12:13">
      <c r="L1709" s="65">
        <v>423611</v>
      </c>
      <c r="M1709" t="s">
        <v>1485</v>
      </c>
    </row>
    <row r="1710" spans="12:13">
      <c r="L1710" s="65">
        <v>423612</v>
      </c>
      <c r="M1710" t="s">
        <v>1486</v>
      </c>
    </row>
    <row r="1711" spans="12:13">
      <c r="L1711" s="65">
        <v>423620</v>
      </c>
      <c r="M1711" t="s">
        <v>1487</v>
      </c>
    </row>
    <row r="1712" spans="12:13">
      <c r="L1712" s="65">
        <v>423621</v>
      </c>
      <c r="M1712" t="s">
        <v>1487</v>
      </c>
    </row>
    <row r="1713" spans="12:13">
      <c r="L1713" s="65">
        <v>423700</v>
      </c>
      <c r="M1713" t="s">
        <v>1488</v>
      </c>
    </row>
    <row r="1714" spans="12:13">
      <c r="L1714" s="65">
        <v>423710</v>
      </c>
      <c r="M1714" t="s">
        <v>1488</v>
      </c>
    </row>
    <row r="1715" spans="12:13">
      <c r="L1715" s="65">
        <v>423711</v>
      </c>
      <c r="M1715" t="s">
        <v>1488</v>
      </c>
    </row>
    <row r="1716" spans="12:13">
      <c r="L1716" s="65">
        <v>423712</v>
      </c>
      <c r="M1716" t="s">
        <v>1489</v>
      </c>
    </row>
    <row r="1717" spans="12:13">
      <c r="L1717" s="65">
        <v>423900</v>
      </c>
      <c r="M1717" t="s">
        <v>1490</v>
      </c>
    </row>
    <row r="1718" spans="12:13">
      <c r="L1718" s="65">
        <v>423910</v>
      </c>
      <c r="M1718" t="s">
        <v>1490</v>
      </c>
    </row>
    <row r="1719" spans="12:13">
      <c r="L1719" s="65">
        <v>423911</v>
      </c>
      <c r="M1719" t="s">
        <v>1490</v>
      </c>
    </row>
    <row r="1720" spans="12:13">
      <c r="L1720" s="65">
        <v>424000</v>
      </c>
      <c r="M1720" t="s">
        <v>1491</v>
      </c>
    </row>
    <row r="1721" spans="12:13">
      <c r="L1721" s="65">
        <v>424100</v>
      </c>
      <c r="M1721" t="s">
        <v>1492</v>
      </c>
    </row>
    <row r="1722" spans="12:13">
      <c r="L1722" s="65">
        <v>424110</v>
      </c>
      <c r="M1722" t="s">
        <v>1493</v>
      </c>
    </row>
    <row r="1723" spans="12:13">
      <c r="L1723" s="65">
        <v>424111</v>
      </c>
      <c r="M1723" t="s">
        <v>1494</v>
      </c>
    </row>
    <row r="1724" spans="12:13">
      <c r="L1724" s="65">
        <v>424112</v>
      </c>
      <c r="M1724" t="s">
        <v>1495</v>
      </c>
    </row>
    <row r="1725" spans="12:13">
      <c r="L1725" s="65">
        <v>424113</v>
      </c>
      <c r="M1725" t="s">
        <v>1496</v>
      </c>
    </row>
    <row r="1726" spans="12:13">
      <c r="L1726" s="65">
        <v>424119</v>
      </c>
      <c r="M1726" t="s">
        <v>1497</v>
      </c>
    </row>
    <row r="1727" spans="12:13">
      <c r="L1727" s="65">
        <v>424200</v>
      </c>
      <c r="M1727" t="s">
        <v>1498</v>
      </c>
    </row>
    <row r="1728" spans="12:13">
      <c r="L1728" s="65">
        <v>424210</v>
      </c>
      <c r="M1728" t="s">
        <v>1499</v>
      </c>
    </row>
    <row r="1729" spans="12:13">
      <c r="L1729" s="65">
        <v>424211</v>
      </c>
      <c r="M1729" t="s">
        <v>1499</v>
      </c>
    </row>
    <row r="1730" spans="12:13">
      <c r="L1730" s="65">
        <v>424212</v>
      </c>
      <c r="M1730" t="s">
        <v>1500</v>
      </c>
    </row>
    <row r="1731" spans="12:13">
      <c r="L1731" s="65">
        <v>424213</v>
      </c>
      <c r="M1731" t="s">
        <v>1501</v>
      </c>
    </row>
    <row r="1732" spans="12:13">
      <c r="L1732" s="65">
        <v>424220</v>
      </c>
      <c r="M1732" t="s">
        <v>1502</v>
      </c>
    </row>
    <row r="1733" spans="12:13">
      <c r="L1733" s="65">
        <v>424221</v>
      </c>
      <c r="M1733" t="s">
        <v>1502</v>
      </c>
    </row>
    <row r="1734" spans="12:13">
      <c r="L1734" s="65">
        <v>424230</v>
      </c>
      <c r="M1734" t="s">
        <v>1503</v>
      </c>
    </row>
    <row r="1735" spans="12:13">
      <c r="L1735" s="65">
        <v>424231</v>
      </c>
      <c r="M1735" t="s">
        <v>1503</v>
      </c>
    </row>
    <row r="1736" spans="12:13">
      <c r="L1736" s="65">
        <v>424300</v>
      </c>
      <c r="M1736" t="s">
        <v>1504</v>
      </c>
    </row>
    <row r="1737" spans="12:13">
      <c r="L1737" s="65">
        <v>424310</v>
      </c>
      <c r="M1737" t="s">
        <v>1505</v>
      </c>
    </row>
    <row r="1738" spans="12:13">
      <c r="L1738" s="65">
        <v>424311</v>
      </c>
      <c r="M1738" t="s">
        <v>1505</v>
      </c>
    </row>
    <row r="1739" spans="12:13">
      <c r="L1739" s="65">
        <v>424320</v>
      </c>
      <c r="M1739" t="s">
        <v>1506</v>
      </c>
    </row>
    <row r="1740" spans="12:13">
      <c r="L1740" s="65">
        <v>424321</v>
      </c>
      <c r="M1740" t="s">
        <v>1506</v>
      </c>
    </row>
    <row r="1741" spans="12:13">
      <c r="L1741" s="65">
        <v>424330</v>
      </c>
      <c r="M1741" t="s">
        <v>1507</v>
      </c>
    </row>
    <row r="1742" spans="12:13">
      <c r="L1742" s="65">
        <v>424331</v>
      </c>
      <c r="M1742" t="s">
        <v>1507</v>
      </c>
    </row>
    <row r="1743" spans="12:13">
      <c r="L1743" s="65">
        <v>424340</v>
      </c>
      <c r="M1743" t="s">
        <v>1508</v>
      </c>
    </row>
    <row r="1744" spans="12:13">
      <c r="L1744" s="65">
        <v>424341</v>
      </c>
      <c r="M1744" t="s">
        <v>1508</v>
      </c>
    </row>
    <row r="1745" spans="12:13">
      <c r="L1745" s="65">
        <v>424350</v>
      </c>
      <c r="M1745" t="s">
        <v>1509</v>
      </c>
    </row>
    <row r="1746" spans="12:13">
      <c r="L1746" s="65">
        <v>424351</v>
      </c>
      <c r="M1746" t="s">
        <v>1509</v>
      </c>
    </row>
    <row r="1747" spans="12:13">
      <c r="L1747" s="65">
        <v>424400</v>
      </c>
      <c r="M1747" t="s">
        <v>1510</v>
      </c>
    </row>
    <row r="1748" spans="12:13">
      <c r="L1748" s="65">
        <v>424410</v>
      </c>
      <c r="M1748" t="s">
        <v>1510</v>
      </c>
    </row>
    <row r="1749" spans="12:13">
      <c r="L1749" s="65">
        <v>424411</v>
      </c>
      <c r="M1749" t="s">
        <v>1510</v>
      </c>
    </row>
    <row r="1750" spans="12:13">
      <c r="L1750" s="65">
        <v>424500</v>
      </c>
      <c r="M1750" t="s">
        <v>1511</v>
      </c>
    </row>
    <row r="1751" spans="12:13">
      <c r="L1751" s="65">
        <v>424510</v>
      </c>
      <c r="M1751" t="s">
        <v>1511</v>
      </c>
    </row>
    <row r="1752" spans="12:13">
      <c r="L1752" s="65">
        <v>424511</v>
      </c>
      <c r="M1752" t="s">
        <v>1511</v>
      </c>
    </row>
    <row r="1753" spans="12:13">
      <c r="L1753" s="65">
        <v>424600</v>
      </c>
      <c r="M1753" t="s">
        <v>1512</v>
      </c>
    </row>
    <row r="1754" spans="12:13">
      <c r="L1754" s="65">
        <v>424610</v>
      </c>
      <c r="M1754" t="s">
        <v>1513</v>
      </c>
    </row>
    <row r="1755" spans="12:13">
      <c r="L1755" s="65">
        <v>424611</v>
      </c>
      <c r="M1755" t="s">
        <v>1513</v>
      </c>
    </row>
    <row r="1756" spans="12:13">
      <c r="L1756" s="65">
        <v>424620</v>
      </c>
      <c r="M1756" t="s">
        <v>1514</v>
      </c>
    </row>
    <row r="1757" spans="12:13">
      <c r="L1757" s="65">
        <v>424621</v>
      </c>
      <c r="M1757" t="s">
        <v>1514</v>
      </c>
    </row>
    <row r="1758" spans="12:13">
      <c r="L1758" s="65">
        <v>424630</v>
      </c>
      <c r="M1758" t="s">
        <v>1515</v>
      </c>
    </row>
    <row r="1759" spans="12:13">
      <c r="L1759" s="65">
        <v>424631</v>
      </c>
      <c r="M1759" t="s">
        <v>1515</v>
      </c>
    </row>
    <row r="1760" spans="12:13">
      <c r="L1760" s="65">
        <v>424900</v>
      </c>
      <c r="M1760" t="s">
        <v>1516</v>
      </c>
    </row>
    <row r="1761" spans="12:13">
      <c r="L1761" s="65">
        <v>424910</v>
      </c>
      <c r="M1761" t="s">
        <v>1516</v>
      </c>
    </row>
    <row r="1762" spans="12:13">
      <c r="L1762" s="65">
        <v>424911</v>
      </c>
      <c r="M1762" t="s">
        <v>1516</v>
      </c>
    </row>
    <row r="1763" spans="12:13">
      <c r="L1763" s="65">
        <v>425000</v>
      </c>
      <c r="M1763" t="s">
        <v>1517</v>
      </c>
    </row>
    <row r="1764" spans="12:13">
      <c r="L1764" s="65">
        <v>425100</v>
      </c>
      <c r="M1764" t="s">
        <v>1518</v>
      </c>
    </row>
    <row r="1765" spans="12:13">
      <c r="L1765" s="65">
        <v>425110</v>
      </c>
      <c r="M1765" t="s">
        <v>1519</v>
      </c>
    </row>
    <row r="1766" spans="12:13">
      <c r="L1766" s="65">
        <v>425111</v>
      </c>
      <c r="M1766" t="s">
        <v>1520</v>
      </c>
    </row>
    <row r="1767" spans="12:13">
      <c r="L1767" s="65">
        <v>425112</v>
      </c>
      <c r="M1767" t="s">
        <v>1521</v>
      </c>
    </row>
    <row r="1768" spans="12:13">
      <c r="L1768" s="65">
        <v>425113</v>
      </c>
      <c r="M1768" t="s">
        <v>1522</v>
      </c>
    </row>
    <row r="1769" spans="12:13">
      <c r="L1769" s="65">
        <v>425114</v>
      </c>
      <c r="M1769" t="s">
        <v>1523</v>
      </c>
    </row>
    <row r="1770" spans="12:13">
      <c r="L1770" s="65">
        <v>425115</v>
      </c>
      <c r="M1770" t="s">
        <v>1524</v>
      </c>
    </row>
    <row r="1771" spans="12:13">
      <c r="L1771" s="65">
        <v>425116</v>
      </c>
      <c r="M1771" t="s">
        <v>1353</v>
      </c>
    </row>
    <row r="1772" spans="12:13">
      <c r="L1772" s="65">
        <v>425117</v>
      </c>
      <c r="M1772" t="s">
        <v>1525</v>
      </c>
    </row>
    <row r="1773" spans="12:13">
      <c r="L1773" s="65">
        <v>425118</v>
      </c>
      <c r="M1773" t="s">
        <v>1526</v>
      </c>
    </row>
    <row r="1774" spans="12:13">
      <c r="L1774" s="65">
        <v>425119</v>
      </c>
      <c r="M1774" t="s">
        <v>1527</v>
      </c>
    </row>
    <row r="1775" spans="12:13">
      <c r="L1775" s="65">
        <v>425190</v>
      </c>
      <c r="M1775" t="s">
        <v>1528</v>
      </c>
    </row>
    <row r="1776" spans="12:13">
      <c r="L1776" s="65">
        <v>425191</v>
      </c>
      <c r="M1776" t="s">
        <v>1528</v>
      </c>
    </row>
    <row r="1777" spans="12:13">
      <c r="L1777" s="65">
        <v>425200</v>
      </c>
      <c r="M1777" t="s">
        <v>1529</v>
      </c>
    </row>
    <row r="1778" spans="12:13">
      <c r="L1778" s="65">
        <v>425210</v>
      </c>
      <c r="M1778" t="s">
        <v>1530</v>
      </c>
    </row>
    <row r="1779" spans="12:13">
      <c r="L1779" s="65">
        <v>425211</v>
      </c>
      <c r="M1779" t="s">
        <v>1531</v>
      </c>
    </row>
    <row r="1780" spans="12:13">
      <c r="L1780" s="65">
        <v>425212</v>
      </c>
      <c r="M1780" t="s">
        <v>1532</v>
      </c>
    </row>
    <row r="1781" spans="12:13">
      <c r="L1781" s="65">
        <v>425213</v>
      </c>
      <c r="M1781" t="s">
        <v>1533</v>
      </c>
    </row>
    <row r="1782" spans="12:13">
      <c r="L1782" s="65">
        <v>425219</v>
      </c>
      <c r="M1782" t="s">
        <v>1534</v>
      </c>
    </row>
    <row r="1783" spans="12:13">
      <c r="L1783" s="65">
        <v>425220</v>
      </c>
      <c r="M1783" t="s">
        <v>1535</v>
      </c>
    </row>
    <row r="1784" spans="12:13">
      <c r="L1784" s="65">
        <v>425221</v>
      </c>
      <c r="M1784" t="s">
        <v>1536</v>
      </c>
    </row>
    <row r="1785" spans="12:13">
      <c r="L1785" s="65">
        <v>425222</v>
      </c>
      <c r="M1785" t="s">
        <v>336</v>
      </c>
    </row>
    <row r="1786" spans="12:13">
      <c r="L1786" s="65">
        <v>425223</v>
      </c>
      <c r="M1786" t="s">
        <v>1537</v>
      </c>
    </row>
    <row r="1787" spans="12:13">
      <c r="L1787" s="65">
        <v>425224</v>
      </c>
      <c r="M1787" t="s">
        <v>338</v>
      </c>
    </row>
    <row r="1788" spans="12:13">
      <c r="L1788" s="65">
        <v>425225</v>
      </c>
      <c r="M1788" t="s">
        <v>339</v>
      </c>
    </row>
    <row r="1789" spans="12:13">
      <c r="L1789" s="65">
        <v>425226</v>
      </c>
      <c r="M1789" t="s">
        <v>1538</v>
      </c>
    </row>
    <row r="1790" spans="12:13">
      <c r="L1790" s="65">
        <v>425227</v>
      </c>
      <c r="M1790" t="s">
        <v>1539</v>
      </c>
    </row>
    <row r="1791" spans="12:13">
      <c r="L1791" s="65">
        <v>425229</v>
      </c>
      <c r="M1791" t="s">
        <v>1540</v>
      </c>
    </row>
    <row r="1792" spans="12:13">
      <c r="L1792" s="65">
        <v>425230</v>
      </c>
      <c r="M1792" t="s">
        <v>1541</v>
      </c>
    </row>
    <row r="1793" spans="12:13">
      <c r="L1793" s="65">
        <v>425231</v>
      </c>
      <c r="M1793" t="s">
        <v>1541</v>
      </c>
    </row>
    <row r="1794" spans="12:13">
      <c r="L1794" s="65">
        <v>425240</v>
      </c>
      <c r="M1794" t="s">
        <v>1542</v>
      </c>
    </row>
    <row r="1795" spans="12:13">
      <c r="L1795" s="65">
        <v>425241</v>
      </c>
      <c r="M1795" t="s">
        <v>1543</v>
      </c>
    </row>
    <row r="1796" spans="12:13">
      <c r="L1796" s="65">
        <v>425242</v>
      </c>
      <c r="M1796" t="s">
        <v>1544</v>
      </c>
    </row>
    <row r="1797" spans="12:13">
      <c r="L1797" s="65">
        <v>425250</v>
      </c>
      <c r="M1797" t="s">
        <v>1545</v>
      </c>
    </row>
    <row r="1798" spans="12:13">
      <c r="L1798" s="65">
        <v>425251</v>
      </c>
      <c r="M1798" t="s">
        <v>1546</v>
      </c>
    </row>
    <row r="1799" spans="12:13">
      <c r="L1799" s="65">
        <v>425252</v>
      </c>
      <c r="M1799" t="s">
        <v>1547</v>
      </c>
    </row>
    <row r="1800" spans="12:13">
      <c r="L1800" s="65">
        <v>425253</v>
      </c>
      <c r="M1800" t="s">
        <v>1548</v>
      </c>
    </row>
    <row r="1801" spans="12:13">
      <c r="L1801" s="65">
        <v>425260</v>
      </c>
      <c r="M1801" t="s">
        <v>1549</v>
      </c>
    </row>
    <row r="1802" spans="12:13">
      <c r="L1802" s="65">
        <v>425261</v>
      </c>
      <c r="M1802" t="s">
        <v>1550</v>
      </c>
    </row>
    <row r="1803" spans="12:13">
      <c r="L1803" s="65">
        <v>425262</v>
      </c>
      <c r="M1803" t="s">
        <v>1551</v>
      </c>
    </row>
    <row r="1804" spans="12:13">
      <c r="L1804" s="65">
        <v>425263</v>
      </c>
      <c r="M1804" t="s">
        <v>1552</v>
      </c>
    </row>
    <row r="1805" spans="12:13">
      <c r="L1805" s="65">
        <v>425270</v>
      </c>
      <c r="M1805" t="s">
        <v>1553</v>
      </c>
    </row>
    <row r="1806" spans="12:13">
      <c r="L1806" s="65">
        <v>425271</v>
      </c>
      <c r="M1806" t="s">
        <v>1553</v>
      </c>
    </row>
    <row r="1807" spans="12:13">
      <c r="L1807" s="65">
        <v>425280</v>
      </c>
      <c r="M1807" t="s">
        <v>1554</v>
      </c>
    </row>
    <row r="1808" spans="12:13">
      <c r="L1808" s="65">
        <v>425281</v>
      </c>
      <c r="M1808" t="s">
        <v>1554</v>
      </c>
    </row>
    <row r="1809" spans="12:13">
      <c r="L1809" s="65">
        <v>425290</v>
      </c>
      <c r="M1809" t="s">
        <v>1555</v>
      </c>
    </row>
    <row r="1810" spans="12:13">
      <c r="L1810" s="65">
        <v>425291</v>
      </c>
      <c r="M1810" t="s">
        <v>1555</v>
      </c>
    </row>
    <row r="1811" spans="12:13">
      <c r="L1811" s="65">
        <v>426000</v>
      </c>
      <c r="M1811" t="s">
        <v>1556</v>
      </c>
    </row>
    <row r="1812" spans="12:13">
      <c r="L1812" s="65">
        <v>426100</v>
      </c>
      <c r="M1812" t="s">
        <v>1557</v>
      </c>
    </row>
    <row r="1813" spans="12:13">
      <c r="L1813" s="65">
        <v>426110</v>
      </c>
      <c r="M1813" t="s">
        <v>1558</v>
      </c>
    </row>
    <row r="1814" spans="12:13">
      <c r="L1814" s="65">
        <v>426111</v>
      </c>
      <c r="M1814" t="s">
        <v>1558</v>
      </c>
    </row>
    <row r="1815" spans="12:13">
      <c r="L1815" s="65">
        <v>426120</v>
      </c>
      <c r="M1815" t="s">
        <v>1559</v>
      </c>
    </row>
    <row r="1816" spans="12:13">
      <c r="L1816" s="65">
        <v>426121</v>
      </c>
      <c r="M1816" t="s">
        <v>1560</v>
      </c>
    </row>
    <row r="1817" spans="12:13">
      <c r="L1817" s="65">
        <v>426122</v>
      </c>
      <c r="M1817" t="s">
        <v>1561</v>
      </c>
    </row>
    <row r="1818" spans="12:13">
      <c r="L1818" s="65">
        <v>426123</v>
      </c>
      <c r="M1818" t="s">
        <v>1562</v>
      </c>
    </row>
    <row r="1819" spans="12:13">
      <c r="L1819" s="65">
        <v>426124</v>
      </c>
      <c r="M1819" t="s">
        <v>1563</v>
      </c>
    </row>
    <row r="1820" spans="12:13">
      <c r="L1820" s="65">
        <v>426129</v>
      </c>
      <c r="M1820" t="s">
        <v>1564</v>
      </c>
    </row>
    <row r="1821" spans="12:13">
      <c r="L1821" s="65">
        <v>426130</v>
      </c>
      <c r="M1821" t="s">
        <v>1565</v>
      </c>
    </row>
    <row r="1822" spans="12:13">
      <c r="L1822" s="65">
        <v>426131</v>
      </c>
      <c r="M1822" t="s">
        <v>1566</v>
      </c>
    </row>
    <row r="1823" spans="12:13">
      <c r="L1823" s="65">
        <v>426190</v>
      </c>
      <c r="M1823" t="s">
        <v>1567</v>
      </c>
    </row>
    <row r="1824" spans="12:13">
      <c r="L1824" s="65">
        <v>426191</v>
      </c>
      <c r="M1824" t="s">
        <v>1567</v>
      </c>
    </row>
    <row r="1825" spans="12:13">
      <c r="L1825" s="65">
        <v>426200</v>
      </c>
      <c r="M1825" t="s">
        <v>1568</v>
      </c>
    </row>
    <row r="1826" spans="12:13">
      <c r="L1826" s="65">
        <v>426210</v>
      </c>
      <c r="M1826" t="s">
        <v>1569</v>
      </c>
    </row>
    <row r="1827" spans="12:13">
      <c r="L1827" s="65">
        <v>426211</v>
      </c>
      <c r="M1827" t="s">
        <v>1569</v>
      </c>
    </row>
    <row r="1828" spans="12:13">
      <c r="L1828" s="65">
        <v>426220</v>
      </c>
      <c r="M1828" t="s">
        <v>1570</v>
      </c>
    </row>
    <row r="1829" spans="12:13">
      <c r="L1829" s="65">
        <v>426221</v>
      </c>
      <c r="M1829" t="s">
        <v>1570</v>
      </c>
    </row>
    <row r="1830" spans="12:13">
      <c r="L1830" s="65">
        <v>426230</v>
      </c>
      <c r="M1830" t="s">
        <v>1571</v>
      </c>
    </row>
    <row r="1831" spans="12:13">
      <c r="L1831" s="65">
        <v>426231</v>
      </c>
      <c r="M1831" t="s">
        <v>1571</v>
      </c>
    </row>
    <row r="1832" spans="12:13">
      <c r="L1832" s="65">
        <v>426240</v>
      </c>
      <c r="M1832" t="s">
        <v>1572</v>
      </c>
    </row>
    <row r="1833" spans="12:13">
      <c r="L1833" s="65">
        <v>426241</v>
      </c>
      <c r="M1833" t="s">
        <v>1572</v>
      </c>
    </row>
    <row r="1834" spans="12:13">
      <c r="L1834" s="65">
        <v>426250</v>
      </c>
      <c r="M1834" t="s">
        <v>1573</v>
      </c>
    </row>
    <row r="1835" spans="12:13">
      <c r="L1835" s="65">
        <v>426251</v>
      </c>
      <c r="M1835" t="s">
        <v>1573</v>
      </c>
    </row>
    <row r="1836" spans="12:13">
      <c r="L1836" s="65">
        <v>426290</v>
      </c>
      <c r="M1836" t="s">
        <v>1574</v>
      </c>
    </row>
    <row r="1837" spans="12:13">
      <c r="L1837" s="65">
        <v>426291</v>
      </c>
      <c r="M1837" t="s">
        <v>1574</v>
      </c>
    </row>
    <row r="1838" spans="12:13">
      <c r="L1838" s="65">
        <v>426300</v>
      </c>
      <c r="M1838" t="s">
        <v>1575</v>
      </c>
    </row>
    <row r="1839" spans="12:13">
      <c r="L1839" s="65">
        <v>426310</v>
      </c>
      <c r="M1839" t="s">
        <v>1576</v>
      </c>
    </row>
    <row r="1840" spans="12:13">
      <c r="L1840" s="65">
        <v>426311</v>
      </c>
      <c r="M1840" t="s">
        <v>1577</v>
      </c>
    </row>
    <row r="1841" spans="12:13">
      <c r="L1841" s="65">
        <v>426312</v>
      </c>
      <c r="M1841" t="s">
        <v>1578</v>
      </c>
    </row>
    <row r="1842" spans="12:13">
      <c r="L1842" s="65">
        <v>426320</v>
      </c>
      <c r="M1842" t="s">
        <v>1579</v>
      </c>
    </row>
    <row r="1843" spans="12:13">
      <c r="L1843" s="65">
        <v>426321</v>
      </c>
      <c r="M1843" t="s">
        <v>1579</v>
      </c>
    </row>
    <row r="1844" spans="12:13">
      <c r="L1844" s="65">
        <v>426400</v>
      </c>
      <c r="M1844" t="s">
        <v>1580</v>
      </c>
    </row>
    <row r="1845" spans="12:13">
      <c r="L1845" s="65">
        <v>426410</v>
      </c>
      <c r="M1845" t="s">
        <v>1581</v>
      </c>
    </row>
    <row r="1846" spans="12:13">
      <c r="L1846" s="65">
        <v>426411</v>
      </c>
      <c r="M1846" t="s">
        <v>1582</v>
      </c>
    </row>
    <row r="1847" spans="12:13">
      <c r="L1847" s="65">
        <v>426412</v>
      </c>
      <c r="M1847" t="s">
        <v>1583</v>
      </c>
    </row>
    <row r="1848" spans="12:13">
      <c r="L1848" s="65">
        <v>426413</v>
      </c>
      <c r="M1848" t="s">
        <v>1584</v>
      </c>
    </row>
    <row r="1849" spans="12:13">
      <c r="L1849" s="65">
        <v>426490</v>
      </c>
      <c r="M1849" t="s">
        <v>1585</v>
      </c>
    </row>
    <row r="1850" spans="12:13">
      <c r="L1850" s="65">
        <v>426491</v>
      </c>
      <c r="M1850" t="s">
        <v>1585</v>
      </c>
    </row>
    <row r="1851" spans="12:13">
      <c r="L1851" s="65">
        <v>426500</v>
      </c>
      <c r="M1851" t="s">
        <v>1586</v>
      </c>
    </row>
    <row r="1852" spans="12:13">
      <c r="L1852" s="65">
        <v>426510</v>
      </c>
      <c r="M1852" t="s">
        <v>1587</v>
      </c>
    </row>
    <row r="1853" spans="12:13">
      <c r="L1853" s="65">
        <v>426511</v>
      </c>
      <c r="M1853" t="s">
        <v>1587</v>
      </c>
    </row>
    <row r="1854" spans="12:13">
      <c r="L1854" s="65">
        <v>426520</v>
      </c>
      <c r="M1854" t="s">
        <v>1588</v>
      </c>
    </row>
    <row r="1855" spans="12:13">
      <c r="L1855" s="65">
        <v>426521</v>
      </c>
      <c r="M1855" t="s">
        <v>1588</v>
      </c>
    </row>
    <row r="1856" spans="12:13">
      <c r="L1856" s="65">
        <v>426530</v>
      </c>
      <c r="M1856" t="s">
        <v>1589</v>
      </c>
    </row>
    <row r="1857" spans="12:13">
      <c r="L1857" s="65">
        <v>426531</v>
      </c>
      <c r="M1857" t="s">
        <v>1589</v>
      </c>
    </row>
    <row r="1858" spans="12:13">
      <c r="L1858" s="65">
        <v>426540</v>
      </c>
      <c r="M1858" t="s">
        <v>1590</v>
      </c>
    </row>
    <row r="1859" spans="12:13">
      <c r="L1859" s="65">
        <v>426541</v>
      </c>
      <c r="M1859" t="s">
        <v>1590</v>
      </c>
    </row>
    <row r="1860" spans="12:13">
      <c r="L1860" s="65">
        <v>426550</v>
      </c>
      <c r="M1860" t="s">
        <v>1591</v>
      </c>
    </row>
    <row r="1861" spans="12:13">
      <c r="L1861" s="65">
        <v>426551</v>
      </c>
      <c r="M1861" t="s">
        <v>1591</v>
      </c>
    </row>
    <row r="1862" spans="12:13">
      <c r="L1862" s="65">
        <v>426590</v>
      </c>
      <c r="M1862" t="s">
        <v>1592</v>
      </c>
    </row>
    <row r="1863" spans="12:13">
      <c r="L1863" s="65">
        <v>426591</v>
      </c>
      <c r="M1863" t="s">
        <v>1592</v>
      </c>
    </row>
    <row r="1864" spans="12:13">
      <c r="L1864" s="65">
        <v>426600</v>
      </c>
      <c r="M1864" t="s">
        <v>1593</v>
      </c>
    </row>
    <row r="1865" spans="12:13">
      <c r="L1865" s="65">
        <v>426610</v>
      </c>
      <c r="M1865" t="s">
        <v>1579</v>
      </c>
    </row>
    <row r="1866" spans="12:13">
      <c r="L1866" s="65">
        <v>426611</v>
      </c>
      <c r="M1866" t="s">
        <v>1579</v>
      </c>
    </row>
    <row r="1867" spans="12:13">
      <c r="L1867" s="65">
        <v>426620</v>
      </c>
      <c r="M1867" t="s">
        <v>1594</v>
      </c>
    </row>
    <row r="1868" spans="12:13">
      <c r="L1868" s="65">
        <v>426621</v>
      </c>
      <c r="M1868" t="s">
        <v>1594</v>
      </c>
    </row>
    <row r="1869" spans="12:13">
      <c r="L1869" s="65">
        <v>426630</v>
      </c>
      <c r="M1869" t="s">
        <v>1595</v>
      </c>
    </row>
    <row r="1870" spans="12:13">
      <c r="L1870" s="65">
        <v>426631</v>
      </c>
      <c r="M1870" t="s">
        <v>1595</v>
      </c>
    </row>
    <row r="1871" spans="12:13">
      <c r="L1871" s="65">
        <v>426700</v>
      </c>
      <c r="M1871" t="s">
        <v>1596</v>
      </c>
    </row>
    <row r="1872" spans="12:13">
      <c r="L1872" s="65">
        <v>426710</v>
      </c>
      <c r="M1872" t="s">
        <v>1597</v>
      </c>
    </row>
    <row r="1873" spans="12:13">
      <c r="L1873" s="65">
        <v>426711</v>
      </c>
      <c r="M1873" t="s">
        <v>1597</v>
      </c>
    </row>
    <row r="1874" spans="12:13">
      <c r="L1874" s="65">
        <v>426720</v>
      </c>
      <c r="M1874" t="s">
        <v>1598</v>
      </c>
    </row>
    <row r="1875" spans="12:13">
      <c r="L1875" s="65">
        <v>426721</v>
      </c>
      <c r="M1875" t="s">
        <v>1598</v>
      </c>
    </row>
    <row r="1876" spans="12:13">
      <c r="L1876" s="65">
        <v>426730</v>
      </c>
      <c r="M1876" t="s">
        <v>1599</v>
      </c>
    </row>
    <row r="1877" spans="12:13">
      <c r="L1877" s="65">
        <v>426731</v>
      </c>
      <c r="M1877" t="s">
        <v>1599</v>
      </c>
    </row>
    <row r="1878" spans="12:13">
      <c r="L1878" s="65">
        <v>426740</v>
      </c>
      <c r="M1878" t="s">
        <v>1600</v>
      </c>
    </row>
    <row r="1879" spans="12:13">
      <c r="L1879" s="65">
        <v>426741</v>
      </c>
      <c r="M1879" t="s">
        <v>1600</v>
      </c>
    </row>
    <row r="1880" spans="12:13">
      <c r="L1880" s="65">
        <v>426750</v>
      </c>
      <c r="M1880" t="s">
        <v>1601</v>
      </c>
    </row>
    <row r="1881" spans="12:13">
      <c r="L1881" s="65">
        <v>426751</v>
      </c>
      <c r="M1881" t="s">
        <v>1601</v>
      </c>
    </row>
    <row r="1882" spans="12:13">
      <c r="L1882" s="65">
        <v>426760</v>
      </c>
      <c r="M1882" t="s">
        <v>1602</v>
      </c>
    </row>
    <row r="1883" spans="12:13">
      <c r="L1883" s="65">
        <v>426761</v>
      </c>
      <c r="M1883" t="s">
        <v>1602</v>
      </c>
    </row>
    <row r="1884" spans="12:13">
      <c r="L1884" s="65">
        <v>426790</v>
      </c>
      <c r="M1884" t="s">
        <v>1603</v>
      </c>
    </row>
    <row r="1885" spans="12:13">
      <c r="L1885" s="65">
        <v>426791</v>
      </c>
      <c r="M1885" t="s">
        <v>1603</v>
      </c>
    </row>
    <row r="1886" spans="12:13">
      <c r="L1886" s="65">
        <v>426800</v>
      </c>
      <c r="M1886" t="s">
        <v>1604</v>
      </c>
    </row>
    <row r="1887" spans="12:13">
      <c r="L1887" s="65">
        <v>426810</v>
      </c>
      <c r="M1887" t="s">
        <v>1605</v>
      </c>
    </row>
    <row r="1888" spans="12:13">
      <c r="L1888" s="65">
        <v>426811</v>
      </c>
      <c r="M1888" t="s">
        <v>1606</v>
      </c>
    </row>
    <row r="1889" spans="12:13">
      <c r="L1889" s="65">
        <v>426812</v>
      </c>
      <c r="M1889" t="s">
        <v>1607</v>
      </c>
    </row>
    <row r="1890" spans="12:13">
      <c r="L1890" s="65">
        <v>426819</v>
      </c>
      <c r="M1890" t="s">
        <v>1608</v>
      </c>
    </row>
    <row r="1891" spans="12:13">
      <c r="L1891" s="65">
        <v>426820</v>
      </c>
      <c r="M1891" t="s">
        <v>1609</v>
      </c>
    </row>
    <row r="1892" spans="12:13">
      <c r="L1892" s="65">
        <v>426821</v>
      </c>
      <c r="M1892" t="s">
        <v>1610</v>
      </c>
    </row>
    <row r="1893" spans="12:13">
      <c r="L1893" s="65">
        <v>426822</v>
      </c>
      <c r="M1893" t="s">
        <v>1611</v>
      </c>
    </row>
    <row r="1894" spans="12:13">
      <c r="L1894" s="65">
        <v>426823</v>
      </c>
      <c r="M1894" t="s">
        <v>1612</v>
      </c>
    </row>
    <row r="1895" spans="12:13">
      <c r="L1895" s="65">
        <v>426829</v>
      </c>
      <c r="M1895" t="s">
        <v>1613</v>
      </c>
    </row>
    <row r="1896" spans="12:13">
      <c r="L1896" s="65">
        <v>426900</v>
      </c>
      <c r="M1896" t="s">
        <v>1614</v>
      </c>
    </row>
    <row r="1897" spans="12:13">
      <c r="L1897" s="65">
        <v>426910</v>
      </c>
      <c r="M1897" t="s">
        <v>1614</v>
      </c>
    </row>
    <row r="1898" spans="12:13">
      <c r="L1898" s="65">
        <v>426911</v>
      </c>
      <c r="M1898" t="s">
        <v>1615</v>
      </c>
    </row>
    <row r="1899" spans="12:13">
      <c r="L1899" s="65">
        <v>426912</v>
      </c>
      <c r="M1899" t="s">
        <v>1616</v>
      </c>
    </row>
    <row r="1900" spans="12:13">
      <c r="L1900" s="65">
        <v>426913</v>
      </c>
      <c r="M1900" t="s">
        <v>1617</v>
      </c>
    </row>
    <row r="1901" spans="12:13">
      <c r="L1901" s="65">
        <v>426914</v>
      </c>
      <c r="M1901" t="s">
        <v>1618</v>
      </c>
    </row>
    <row r="1902" spans="12:13">
      <c r="L1902" s="65">
        <v>426919</v>
      </c>
      <c r="M1902" t="s">
        <v>1619</v>
      </c>
    </row>
    <row r="1903" spans="12:13">
      <c r="L1903" s="65">
        <v>430000</v>
      </c>
      <c r="M1903" t="s">
        <v>1620</v>
      </c>
    </row>
    <row r="1904" spans="12:13">
      <c r="L1904" s="65">
        <v>431000</v>
      </c>
      <c r="M1904" t="s">
        <v>1621</v>
      </c>
    </row>
    <row r="1905" spans="12:13">
      <c r="L1905" s="65">
        <v>431100</v>
      </c>
      <c r="M1905" t="s">
        <v>1622</v>
      </c>
    </row>
    <row r="1906" spans="12:13">
      <c r="L1906" s="65">
        <v>431110</v>
      </c>
      <c r="M1906" t="s">
        <v>1622</v>
      </c>
    </row>
    <row r="1907" spans="12:13">
      <c r="L1907" s="65">
        <v>431111</v>
      </c>
      <c r="M1907" t="s">
        <v>1622</v>
      </c>
    </row>
    <row r="1908" spans="12:13">
      <c r="L1908" s="65">
        <v>431200</v>
      </c>
      <c r="M1908" t="s">
        <v>1623</v>
      </c>
    </row>
    <row r="1909" spans="12:13">
      <c r="L1909" s="65">
        <v>431210</v>
      </c>
      <c r="M1909" t="s">
        <v>1623</v>
      </c>
    </row>
    <row r="1910" spans="12:13">
      <c r="L1910" s="65">
        <v>431211</v>
      </c>
      <c r="M1910" t="s">
        <v>1623</v>
      </c>
    </row>
    <row r="1911" spans="12:13">
      <c r="L1911" s="65">
        <v>431300</v>
      </c>
      <c r="M1911" t="s">
        <v>1624</v>
      </c>
    </row>
    <row r="1912" spans="12:13">
      <c r="L1912" s="65">
        <v>431310</v>
      </c>
      <c r="M1912" t="s">
        <v>1624</v>
      </c>
    </row>
    <row r="1913" spans="12:13">
      <c r="L1913" s="65">
        <v>431311</v>
      </c>
      <c r="M1913" t="s">
        <v>1624</v>
      </c>
    </row>
    <row r="1914" spans="12:13">
      <c r="L1914" s="65">
        <v>432000</v>
      </c>
      <c r="M1914" t="s">
        <v>1625</v>
      </c>
    </row>
    <row r="1915" spans="12:13">
      <c r="L1915" s="65">
        <v>432100</v>
      </c>
      <c r="M1915" t="s">
        <v>1625</v>
      </c>
    </row>
    <row r="1916" spans="12:13">
      <c r="L1916" s="65">
        <v>432110</v>
      </c>
      <c r="M1916" t="s">
        <v>1625</v>
      </c>
    </row>
    <row r="1917" spans="12:13">
      <c r="L1917" s="65">
        <v>432111</v>
      </c>
      <c r="M1917" t="s">
        <v>1625</v>
      </c>
    </row>
    <row r="1918" spans="12:13">
      <c r="L1918" t="s">
        <v>1626</v>
      </c>
      <c r="M1918" t="s">
        <v>1627</v>
      </c>
    </row>
    <row r="1919" spans="12:13">
      <c r="L1919" s="65">
        <v>433100</v>
      </c>
      <c r="M1919" t="s">
        <v>1628</v>
      </c>
    </row>
    <row r="1920" spans="12:13">
      <c r="L1920" s="65">
        <v>433110</v>
      </c>
      <c r="M1920" t="s">
        <v>1628</v>
      </c>
    </row>
    <row r="1921" spans="12:13">
      <c r="L1921" s="65">
        <v>433111</v>
      </c>
      <c r="M1921" t="s">
        <v>1628</v>
      </c>
    </row>
    <row r="1922" spans="12:13">
      <c r="L1922" s="65">
        <v>434000</v>
      </c>
      <c r="M1922" t="s">
        <v>1629</v>
      </c>
    </row>
    <row r="1923" spans="12:13">
      <c r="L1923" s="65">
        <v>434100</v>
      </c>
      <c r="M1923" t="s">
        <v>1630</v>
      </c>
    </row>
    <row r="1924" spans="12:13">
      <c r="L1924" s="65">
        <v>434110</v>
      </c>
      <c r="M1924" t="s">
        <v>1630</v>
      </c>
    </row>
    <row r="1925" spans="12:13">
      <c r="L1925" s="65">
        <v>434111</v>
      </c>
      <c r="M1925" t="s">
        <v>1630</v>
      </c>
    </row>
    <row r="1926" spans="12:13">
      <c r="L1926" s="65">
        <v>434200</v>
      </c>
      <c r="M1926" t="s">
        <v>1631</v>
      </c>
    </row>
    <row r="1927" spans="12:13">
      <c r="L1927" s="65">
        <v>434210</v>
      </c>
      <c r="M1927" t="s">
        <v>1631</v>
      </c>
    </row>
    <row r="1928" spans="12:13">
      <c r="L1928" s="65">
        <v>434211</v>
      </c>
      <c r="M1928" t="s">
        <v>1631</v>
      </c>
    </row>
    <row r="1929" spans="12:13">
      <c r="L1929" s="65">
        <v>434300</v>
      </c>
      <c r="M1929" t="s">
        <v>1632</v>
      </c>
    </row>
    <row r="1930" spans="12:13">
      <c r="L1930" s="65">
        <v>434310</v>
      </c>
      <c r="M1930" t="s">
        <v>1633</v>
      </c>
    </row>
    <row r="1931" spans="12:13">
      <c r="L1931" s="65">
        <v>434311</v>
      </c>
      <c r="M1931" t="s">
        <v>1633</v>
      </c>
    </row>
    <row r="1932" spans="12:13">
      <c r="L1932" s="65">
        <v>434320</v>
      </c>
      <c r="M1932" t="s">
        <v>1634</v>
      </c>
    </row>
    <row r="1933" spans="12:13">
      <c r="L1933" s="65">
        <v>434321</v>
      </c>
      <c r="M1933" t="s">
        <v>1634</v>
      </c>
    </row>
    <row r="1934" spans="12:13">
      <c r="L1934" s="65">
        <v>435000</v>
      </c>
      <c r="M1934" t="s">
        <v>1635</v>
      </c>
    </row>
    <row r="1935" spans="12:13">
      <c r="L1935" s="65">
        <v>435100</v>
      </c>
      <c r="M1935" t="s">
        <v>1635</v>
      </c>
    </row>
    <row r="1936" spans="12:13">
      <c r="L1936" s="65">
        <v>435110</v>
      </c>
      <c r="M1936" t="s">
        <v>1635</v>
      </c>
    </row>
    <row r="1937" spans="12:13">
      <c r="L1937" s="65">
        <v>435111</v>
      </c>
      <c r="M1937" t="s">
        <v>1635</v>
      </c>
    </row>
    <row r="1938" spans="12:13">
      <c r="L1938" s="65">
        <v>440000</v>
      </c>
      <c r="M1938" t="s">
        <v>1636</v>
      </c>
    </row>
    <row r="1939" spans="12:13">
      <c r="L1939" s="65">
        <v>441000</v>
      </c>
      <c r="M1939" t="s">
        <v>1637</v>
      </c>
    </row>
    <row r="1940" spans="12:13">
      <c r="L1940" s="65">
        <v>441100</v>
      </c>
      <c r="M1940" t="s">
        <v>1638</v>
      </c>
    </row>
    <row r="1941" spans="12:13">
      <c r="L1941" s="65">
        <v>441110</v>
      </c>
      <c r="M1941" t="s">
        <v>1639</v>
      </c>
    </row>
    <row r="1942" spans="12:13">
      <c r="L1942" s="65">
        <v>441111</v>
      </c>
      <c r="M1942" t="s">
        <v>1639</v>
      </c>
    </row>
    <row r="1943" spans="12:13">
      <c r="L1943" s="65">
        <v>441120</v>
      </c>
      <c r="M1943" t="s">
        <v>1640</v>
      </c>
    </row>
    <row r="1944" spans="12:13">
      <c r="L1944" s="65">
        <v>441121</v>
      </c>
      <c r="M1944" t="s">
        <v>1640</v>
      </c>
    </row>
    <row r="1945" spans="12:13">
      <c r="L1945" s="65">
        <v>441200</v>
      </c>
      <c r="M1945" t="s">
        <v>1641</v>
      </c>
    </row>
    <row r="1946" spans="12:13">
      <c r="L1946" s="65">
        <v>441210</v>
      </c>
      <c r="M1946" t="s">
        <v>1642</v>
      </c>
    </row>
    <row r="1947" spans="12:13">
      <c r="L1947" s="65">
        <v>441211</v>
      </c>
      <c r="M1947" t="s">
        <v>1642</v>
      </c>
    </row>
    <row r="1948" spans="12:13">
      <c r="L1948" s="65">
        <v>441220</v>
      </c>
      <c r="M1948" t="s">
        <v>1643</v>
      </c>
    </row>
    <row r="1949" spans="12:13">
      <c r="L1949" s="65">
        <v>441221</v>
      </c>
      <c r="M1949" t="s">
        <v>1643</v>
      </c>
    </row>
    <row r="1950" spans="12:13">
      <c r="L1950" s="65">
        <v>441230</v>
      </c>
      <c r="M1950" t="s">
        <v>1644</v>
      </c>
    </row>
    <row r="1951" spans="12:13">
      <c r="L1951" s="65">
        <v>441231</v>
      </c>
      <c r="M1951" t="s">
        <v>1644</v>
      </c>
    </row>
    <row r="1952" spans="12:13">
      <c r="L1952" s="65">
        <v>441240</v>
      </c>
      <c r="M1952" t="s">
        <v>1645</v>
      </c>
    </row>
    <row r="1953" spans="12:13">
      <c r="L1953" s="65">
        <v>441241</v>
      </c>
      <c r="M1953" t="s">
        <v>1645</v>
      </c>
    </row>
    <row r="1954" spans="12:13">
      <c r="L1954" s="65">
        <v>441250</v>
      </c>
      <c r="M1954" t="s">
        <v>1646</v>
      </c>
    </row>
    <row r="1955" spans="12:13">
      <c r="L1955" s="65">
        <v>441251</v>
      </c>
      <c r="M1955" t="s">
        <v>1647</v>
      </c>
    </row>
    <row r="1956" spans="12:13">
      <c r="L1956" s="65">
        <v>441252</v>
      </c>
      <c r="M1956" t="s">
        <v>1648</v>
      </c>
    </row>
    <row r="1957" spans="12:13">
      <c r="L1957" s="65">
        <v>441255</v>
      </c>
      <c r="M1957" t="s">
        <v>1649</v>
      </c>
    </row>
    <row r="1958" spans="12:13">
      <c r="L1958" s="65">
        <v>441300</v>
      </c>
      <c r="M1958" t="s">
        <v>1650</v>
      </c>
    </row>
    <row r="1959" spans="12:13">
      <c r="L1959" s="65">
        <v>441310</v>
      </c>
      <c r="M1959" t="s">
        <v>1651</v>
      </c>
    </row>
    <row r="1960" spans="12:13">
      <c r="L1960" s="65">
        <v>441311</v>
      </c>
      <c r="M1960" t="s">
        <v>1651</v>
      </c>
    </row>
    <row r="1961" spans="12:13">
      <c r="L1961" s="65">
        <v>441390</v>
      </c>
      <c r="M1961" t="s">
        <v>1652</v>
      </c>
    </row>
    <row r="1962" spans="12:13">
      <c r="L1962" s="65">
        <v>441391</v>
      </c>
      <c r="M1962" t="s">
        <v>1652</v>
      </c>
    </row>
    <row r="1963" spans="12:13">
      <c r="L1963" s="65">
        <v>441400</v>
      </c>
      <c r="M1963" t="s">
        <v>1653</v>
      </c>
    </row>
    <row r="1964" spans="12:13">
      <c r="L1964" s="65">
        <v>441410</v>
      </c>
      <c r="M1964" t="s">
        <v>1653</v>
      </c>
    </row>
    <row r="1965" spans="12:13">
      <c r="L1965" s="65">
        <v>441411</v>
      </c>
      <c r="M1965" t="s">
        <v>1653</v>
      </c>
    </row>
    <row r="1966" spans="12:13">
      <c r="L1966" s="65">
        <v>441500</v>
      </c>
      <c r="M1966" t="s">
        <v>1654</v>
      </c>
    </row>
    <row r="1967" spans="12:13">
      <c r="L1967" s="65">
        <v>441510</v>
      </c>
      <c r="M1967" t="s">
        <v>1654</v>
      </c>
    </row>
    <row r="1968" spans="12:13">
      <c r="L1968" s="65">
        <v>441511</v>
      </c>
      <c r="M1968" t="s">
        <v>1654</v>
      </c>
    </row>
    <row r="1969" spans="12:13">
      <c r="L1969" s="65">
        <v>441600</v>
      </c>
      <c r="M1969" t="s">
        <v>1655</v>
      </c>
    </row>
    <row r="1970" spans="12:13">
      <c r="L1970" s="65">
        <v>441610</v>
      </c>
      <c r="M1970" t="s">
        <v>1655</v>
      </c>
    </row>
    <row r="1971" spans="12:13">
      <c r="L1971" s="65">
        <v>441611</v>
      </c>
      <c r="M1971" t="s">
        <v>1655</v>
      </c>
    </row>
    <row r="1972" spans="12:13">
      <c r="L1972" s="65">
        <v>441700</v>
      </c>
      <c r="M1972" t="s">
        <v>1656</v>
      </c>
    </row>
    <row r="1973" spans="12:13">
      <c r="L1973" s="65">
        <v>441710</v>
      </c>
      <c r="M1973" t="s">
        <v>1656</v>
      </c>
    </row>
    <row r="1974" spans="12:13">
      <c r="L1974" s="65">
        <v>441711</v>
      </c>
      <c r="M1974" t="s">
        <v>1656</v>
      </c>
    </row>
    <row r="1975" spans="12:13">
      <c r="L1975" s="65">
        <v>441800</v>
      </c>
      <c r="M1975" t="s">
        <v>1657</v>
      </c>
    </row>
    <row r="1976" spans="12:13">
      <c r="L1976" s="65">
        <v>441810</v>
      </c>
      <c r="M1976" t="s">
        <v>1657</v>
      </c>
    </row>
    <row r="1977" spans="12:13">
      <c r="L1977" s="65">
        <v>441811</v>
      </c>
      <c r="M1977" t="s">
        <v>1657</v>
      </c>
    </row>
    <row r="1978" spans="12:13">
      <c r="L1978" s="65">
        <v>441900</v>
      </c>
      <c r="M1978" t="s">
        <v>1658</v>
      </c>
    </row>
    <row r="1979" spans="12:13">
      <c r="L1979" s="65">
        <v>441910</v>
      </c>
      <c r="M1979" t="s">
        <v>1658</v>
      </c>
    </row>
    <row r="1980" spans="12:13">
      <c r="L1980" s="65">
        <v>441911</v>
      </c>
      <c r="M1980" t="s">
        <v>1659</v>
      </c>
    </row>
    <row r="1981" spans="12:13">
      <c r="L1981" s="65">
        <v>442000</v>
      </c>
      <c r="M1981" t="s">
        <v>1660</v>
      </c>
    </row>
    <row r="1982" spans="12:13">
      <c r="L1982" s="65">
        <v>442100</v>
      </c>
      <c r="M1982" t="s">
        <v>1661</v>
      </c>
    </row>
    <row r="1983" spans="12:13">
      <c r="L1983" s="65">
        <v>442110</v>
      </c>
      <c r="M1983" t="s">
        <v>1662</v>
      </c>
    </row>
    <row r="1984" spans="12:13">
      <c r="L1984" s="65">
        <v>442111</v>
      </c>
      <c r="M1984" t="s">
        <v>1662</v>
      </c>
    </row>
    <row r="1985" spans="12:13">
      <c r="L1985" s="65">
        <v>442120</v>
      </c>
      <c r="M1985" t="s">
        <v>1663</v>
      </c>
    </row>
    <row r="1986" spans="12:13">
      <c r="L1986" s="65">
        <v>442121</v>
      </c>
      <c r="M1986" t="s">
        <v>1664</v>
      </c>
    </row>
    <row r="1987" spans="12:13">
      <c r="L1987" s="65">
        <v>442200</v>
      </c>
      <c r="M1987" t="s">
        <v>1665</v>
      </c>
    </row>
    <row r="1988" spans="12:13">
      <c r="L1988" s="65">
        <v>442210</v>
      </c>
      <c r="M1988" t="s">
        <v>1666</v>
      </c>
    </row>
    <row r="1989" spans="12:13">
      <c r="L1989" s="65">
        <v>442211</v>
      </c>
      <c r="M1989" t="s">
        <v>1666</v>
      </c>
    </row>
    <row r="1990" spans="12:13">
      <c r="L1990" s="65">
        <v>442220</v>
      </c>
      <c r="M1990" t="s">
        <v>1667</v>
      </c>
    </row>
    <row r="1991" spans="12:13">
      <c r="L1991" s="65">
        <v>442221</v>
      </c>
      <c r="M1991" t="s">
        <v>1667</v>
      </c>
    </row>
    <row r="1992" spans="12:13">
      <c r="L1992" s="65">
        <v>442290</v>
      </c>
      <c r="M1992" t="s">
        <v>1668</v>
      </c>
    </row>
    <row r="1993" spans="12:13">
      <c r="L1993" s="65">
        <v>442291</v>
      </c>
      <c r="M1993" t="s">
        <v>1668</v>
      </c>
    </row>
    <row r="1994" spans="12:13">
      <c r="L1994" s="65">
        <v>442300</v>
      </c>
      <c r="M1994" t="s">
        <v>1669</v>
      </c>
    </row>
    <row r="1995" spans="12:13">
      <c r="L1995" s="65">
        <v>442310</v>
      </c>
      <c r="M1995" t="s">
        <v>1670</v>
      </c>
    </row>
    <row r="1996" spans="12:13">
      <c r="L1996" s="65">
        <v>442311</v>
      </c>
      <c r="M1996" t="s">
        <v>1670</v>
      </c>
    </row>
    <row r="1997" spans="12:13">
      <c r="L1997" s="65">
        <v>442320</v>
      </c>
      <c r="M1997" t="s">
        <v>1671</v>
      </c>
    </row>
    <row r="1998" spans="12:13">
      <c r="L1998" s="65">
        <v>442321</v>
      </c>
      <c r="M1998" t="s">
        <v>1671</v>
      </c>
    </row>
    <row r="1999" spans="12:13">
      <c r="L1999" s="65">
        <v>442330</v>
      </c>
      <c r="M1999" t="s">
        <v>1672</v>
      </c>
    </row>
    <row r="2000" spans="12:13">
      <c r="L2000" s="65">
        <v>442331</v>
      </c>
      <c r="M2000" t="s">
        <v>1672</v>
      </c>
    </row>
    <row r="2001" spans="12:13">
      <c r="L2001" s="65">
        <v>442340</v>
      </c>
      <c r="M2001" t="s">
        <v>1673</v>
      </c>
    </row>
    <row r="2002" spans="12:13">
      <c r="L2002" s="65">
        <v>442341</v>
      </c>
      <c r="M2002" t="s">
        <v>1673</v>
      </c>
    </row>
    <row r="2003" spans="12:13">
      <c r="L2003" s="65">
        <v>442350</v>
      </c>
      <c r="M2003" t="s">
        <v>1674</v>
      </c>
    </row>
    <row r="2004" spans="12:13">
      <c r="L2004" s="65">
        <v>442351</v>
      </c>
      <c r="M2004" t="s">
        <v>1674</v>
      </c>
    </row>
    <row r="2005" spans="12:13">
      <c r="L2005" s="65">
        <v>442390</v>
      </c>
      <c r="M2005" t="s">
        <v>1675</v>
      </c>
    </row>
    <row r="2006" spans="12:13">
      <c r="L2006" s="65">
        <v>442391</v>
      </c>
      <c r="M2006" t="s">
        <v>1675</v>
      </c>
    </row>
    <row r="2007" spans="12:13">
      <c r="L2007" s="65">
        <v>442400</v>
      </c>
      <c r="M2007" t="s">
        <v>1676</v>
      </c>
    </row>
    <row r="2008" spans="12:13">
      <c r="L2008" s="65">
        <v>442410</v>
      </c>
      <c r="M2008" t="s">
        <v>1677</v>
      </c>
    </row>
    <row r="2009" spans="12:13">
      <c r="L2009" s="65">
        <v>442411</v>
      </c>
      <c r="M2009" t="s">
        <v>1677</v>
      </c>
    </row>
    <row r="2010" spans="12:13">
      <c r="L2010" s="65">
        <v>442490</v>
      </c>
      <c r="M2010" t="s">
        <v>1678</v>
      </c>
    </row>
    <row r="2011" spans="12:13">
      <c r="L2011" s="65">
        <v>442491</v>
      </c>
      <c r="M2011" t="s">
        <v>1678</v>
      </c>
    </row>
    <row r="2012" spans="12:13">
      <c r="L2012" s="65">
        <v>442500</v>
      </c>
      <c r="M2012" t="s">
        <v>1679</v>
      </c>
    </row>
    <row r="2013" spans="12:13">
      <c r="L2013" s="65">
        <v>442510</v>
      </c>
      <c r="M2013" t="s">
        <v>1679</v>
      </c>
    </row>
    <row r="2014" spans="12:13">
      <c r="L2014" s="65">
        <v>442511</v>
      </c>
      <c r="M2014" t="s">
        <v>1679</v>
      </c>
    </row>
    <row r="2015" spans="12:13">
      <c r="L2015" s="65">
        <v>442600</v>
      </c>
      <c r="M2015" t="s">
        <v>1680</v>
      </c>
    </row>
    <row r="2016" spans="12:13">
      <c r="L2016" s="65">
        <v>442610</v>
      </c>
      <c r="M2016" t="s">
        <v>1680</v>
      </c>
    </row>
    <row r="2017" spans="12:13">
      <c r="L2017" s="65">
        <v>442611</v>
      </c>
      <c r="M2017" t="s">
        <v>1680</v>
      </c>
    </row>
    <row r="2018" spans="12:13">
      <c r="L2018" s="65">
        <v>443000</v>
      </c>
      <c r="M2018" t="s">
        <v>1681</v>
      </c>
    </row>
    <row r="2019" spans="12:13">
      <c r="L2019" s="65">
        <v>443100</v>
      </c>
      <c r="M2019" t="s">
        <v>1681</v>
      </c>
    </row>
    <row r="2020" spans="12:13">
      <c r="L2020" s="65">
        <v>443110</v>
      </c>
      <c r="M2020" t="s">
        <v>1681</v>
      </c>
    </row>
    <row r="2021" spans="12:13">
      <c r="L2021" s="65">
        <v>443111</v>
      </c>
      <c r="M2021" t="s">
        <v>1681</v>
      </c>
    </row>
    <row r="2022" spans="12:13">
      <c r="L2022" s="65">
        <v>444000</v>
      </c>
      <c r="M2022" t="s">
        <v>1682</v>
      </c>
    </row>
    <row r="2023" spans="12:13">
      <c r="L2023" s="65">
        <v>444100</v>
      </c>
      <c r="M2023" t="s">
        <v>1683</v>
      </c>
    </row>
    <row r="2024" spans="12:13">
      <c r="L2024" s="65">
        <v>444110</v>
      </c>
      <c r="M2024" t="s">
        <v>1683</v>
      </c>
    </row>
    <row r="2025" spans="12:13">
      <c r="L2025" s="65">
        <v>444111</v>
      </c>
      <c r="M2025" t="s">
        <v>1683</v>
      </c>
    </row>
    <row r="2026" spans="12:13">
      <c r="L2026" s="65">
        <v>444200</v>
      </c>
      <c r="M2026" t="s">
        <v>1684</v>
      </c>
    </row>
    <row r="2027" spans="12:13">
      <c r="L2027" s="65">
        <v>444210</v>
      </c>
      <c r="M2027" t="s">
        <v>1684</v>
      </c>
    </row>
    <row r="2028" spans="12:13">
      <c r="L2028" s="65">
        <v>444211</v>
      </c>
      <c r="M2028" t="s">
        <v>1684</v>
      </c>
    </row>
    <row r="2029" spans="12:13">
      <c r="L2029" s="65">
        <v>444212</v>
      </c>
      <c r="M2029" t="s">
        <v>1685</v>
      </c>
    </row>
    <row r="2030" spans="12:13">
      <c r="L2030" s="65">
        <v>444219</v>
      </c>
      <c r="M2030" t="s">
        <v>1686</v>
      </c>
    </row>
    <row r="2031" spans="12:13">
      <c r="L2031" s="65">
        <v>444300</v>
      </c>
      <c r="M2031" t="s">
        <v>1687</v>
      </c>
    </row>
    <row r="2032" spans="12:13">
      <c r="L2032" s="65">
        <v>444310</v>
      </c>
      <c r="M2032" t="s">
        <v>1687</v>
      </c>
    </row>
    <row r="2033" spans="12:13">
      <c r="L2033" s="65">
        <v>444311</v>
      </c>
      <c r="M2033" t="s">
        <v>1687</v>
      </c>
    </row>
    <row r="2034" spans="12:13">
      <c r="L2034" s="65">
        <v>450000</v>
      </c>
      <c r="M2034" t="s">
        <v>1688</v>
      </c>
    </row>
    <row r="2035" spans="12:13">
      <c r="L2035" s="65">
        <v>451000</v>
      </c>
      <c r="M2035" t="s">
        <v>1689</v>
      </c>
    </row>
    <row r="2036" spans="12:13">
      <c r="L2036" s="65">
        <v>451100</v>
      </c>
      <c r="M2036" t="s">
        <v>1690</v>
      </c>
    </row>
    <row r="2037" spans="12:13">
      <c r="L2037" s="65">
        <v>451110</v>
      </c>
      <c r="M2037" t="s">
        <v>1691</v>
      </c>
    </row>
    <row r="2038" spans="12:13">
      <c r="L2038" s="65">
        <v>451111</v>
      </c>
      <c r="M2038" t="s">
        <v>1691</v>
      </c>
    </row>
    <row r="2039" spans="12:13">
      <c r="L2039" s="65">
        <v>451120</v>
      </c>
      <c r="M2039" t="s">
        <v>1692</v>
      </c>
    </row>
    <row r="2040" spans="12:13">
      <c r="L2040" s="65">
        <v>451121</v>
      </c>
      <c r="M2040" t="s">
        <v>1693</v>
      </c>
    </row>
    <row r="2041" spans="12:13">
      <c r="L2041" s="65">
        <v>451122</v>
      </c>
      <c r="M2041" t="s">
        <v>1694</v>
      </c>
    </row>
    <row r="2042" spans="12:13">
      <c r="L2042" s="65">
        <v>451129</v>
      </c>
      <c r="M2042" t="s">
        <v>1695</v>
      </c>
    </row>
    <row r="2043" spans="12:13">
      <c r="L2043" s="65">
        <v>451130</v>
      </c>
      <c r="M2043" t="s">
        <v>1696</v>
      </c>
    </row>
    <row r="2044" spans="12:13">
      <c r="L2044" s="65">
        <v>451131</v>
      </c>
      <c r="M2044" t="s">
        <v>1696</v>
      </c>
    </row>
    <row r="2045" spans="12:13">
      <c r="L2045" s="65">
        <v>451140</v>
      </c>
      <c r="M2045" t="s">
        <v>1697</v>
      </c>
    </row>
    <row r="2046" spans="12:13">
      <c r="L2046" s="65">
        <v>451141</v>
      </c>
      <c r="M2046" t="s">
        <v>1697</v>
      </c>
    </row>
    <row r="2047" spans="12:13">
      <c r="L2047" s="65">
        <v>451190</v>
      </c>
      <c r="M2047" t="s">
        <v>1698</v>
      </c>
    </row>
    <row r="2048" spans="12:13">
      <c r="L2048" s="65">
        <v>451191</v>
      </c>
      <c r="M2048" t="s">
        <v>1698</v>
      </c>
    </row>
    <row r="2049" spans="12:13">
      <c r="L2049" s="65">
        <v>451200</v>
      </c>
      <c r="M2049" t="s">
        <v>1699</v>
      </c>
    </row>
    <row r="2050" spans="12:13">
      <c r="L2050" s="65">
        <v>451210</v>
      </c>
      <c r="M2050" t="s">
        <v>1700</v>
      </c>
    </row>
    <row r="2051" spans="12:13">
      <c r="L2051" s="65">
        <v>451211</v>
      </c>
      <c r="M2051" t="s">
        <v>1700</v>
      </c>
    </row>
    <row r="2052" spans="12:13">
      <c r="L2052" s="65">
        <v>451220</v>
      </c>
      <c r="M2052" t="s">
        <v>1701</v>
      </c>
    </row>
    <row r="2053" spans="12:13">
      <c r="L2053" s="65">
        <v>451221</v>
      </c>
      <c r="M2053" t="s">
        <v>1702</v>
      </c>
    </row>
    <row r="2054" spans="12:13">
      <c r="L2054" s="65">
        <v>451230</v>
      </c>
      <c r="M2054" t="s">
        <v>1703</v>
      </c>
    </row>
    <row r="2055" spans="12:13">
      <c r="L2055" s="65">
        <v>451231</v>
      </c>
      <c r="M2055" t="s">
        <v>1703</v>
      </c>
    </row>
    <row r="2056" spans="12:13">
      <c r="L2056" s="65">
        <v>451240</v>
      </c>
      <c r="M2056" t="s">
        <v>1704</v>
      </c>
    </row>
    <row r="2057" spans="12:13">
      <c r="L2057" s="65">
        <v>451241</v>
      </c>
      <c r="M2057" t="s">
        <v>1704</v>
      </c>
    </row>
    <row r="2058" spans="12:13">
      <c r="L2058" s="65">
        <v>451290</v>
      </c>
      <c r="M2058" t="s">
        <v>1705</v>
      </c>
    </row>
    <row r="2059" spans="12:13">
      <c r="L2059" s="65">
        <v>451291</v>
      </c>
      <c r="M2059" t="s">
        <v>1705</v>
      </c>
    </row>
    <row r="2060" spans="12:13">
      <c r="L2060" s="65">
        <v>452000</v>
      </c>
      <c r="M2060" t="s">
        <v>1706</v>
      </c>
    </row>
    <row r="2061" spans="12:13">
      <c r="L2061" s="65">
        <v>452100</v>
      </c>
      <c r="M2061" t="s">
        <v>1707</v>
      </c>
    </row>
    <row r="2062" spans="12:13">
      <c r="L2062" s="65">
        <v>452110</v>
      </c>
      <c r="M2062" t="s">
        <v>1708</v>
      </c>
    </row>
    <row r="2063" spans="12:13">
      <c r="L2063" s="65">
        <v>452111</v>
      </c>
      <c r="M2063" t="s">
        <v>1708</v>
      </c>
    </row>
    <row r="2064" spans="12:13">
      <c r="L2064" s="65">
        <v>452190</v>
      </c>
      <c r="M2064" t="s">
        <v>1709</v>
      </c>
    </row>
    <row r="2065" spans="12:13">
      <c r="L2065" s="65">
        <v>452191</v>
      </c>
      <c r="M2065" t="s">
        <v>1709</v>
      </c>
    </row>
    <row r="2066" spans="12:13">
      <c r="L2066" s="65">
        <v>452200</v>
      </c>
      <c r="M2066" t="s">
        <v>1710</v>
      </c>
    </row>
    <row r="2067" spans="12:13">
      <c r="L2067" s="65">
        <v>452210</v>
      </c>
      <c r="M2067" t="s">
        <v>1711</v>
      </c>
    </row>
    <row r="2068" spans="12:13">
      <c r="L2068" s="65">
        <v>452211</v>
      </c>
      <c r="M2068" t="s">
        <v>1711</v>
      </c>
    </row>
    <row r="2069" spans="12:13">
      <c r="L2069" s="65">
        <v>452290</v>
      </c>
      <c r="M2069" t="s">
        <v>1712</v>
      </c>
    </row>
    <row r="2070" spans="12:13">
      <c r="L2070" s="65">
        <v>452291</v>
      </c>
      <c r="M2070" t="s">
        <v>1712</v>
      </c>
    </row>
    <row r="2071" spans="12:13">
      <c r="L2071" s="65">
        <v>453000</v>
      </c>
      <c r="M2071" t="s">
        <v>1713</v>
      </c>
    </row>
    <row r="2072" spans="12:13">
      <c r="L2072" s="65">
        <v>453100</v>
      </c>
      <c r="M2072" t="s">
        <v>1714</v>
      </c>
    </row>
    <row r="2073" spans="12:13">
      <c r="L2073" s="65">
        <v>453110</v>
      </c>
      <c r="M2073" t="s">
        <v>1715</v>
      </c>
    </row>
    <row r="2074" spans="12:13">
      <c r="L2074" s="65">
        <v>453111</v>
      </c>
      <c r="M2074" t="s">
        <v>1716</v>
      </c>
    </row>
    <row r="2075" spans="12:13">
      <c r="L2075" s="65">
        <v>453190</v>
      </c>
      <c r="M2075" t="s">
        <v>1717</v>
      </c>
    </row>
    <row r="2076" spans="12:13">
      <c r="L2076" s="65">
        <v>453191</v>
      </c>
      <c r="M2076" t="s">
        <v>1717</v>
      </c>
    </row>
    <row r="2077" spans="12:13">
      <c r="L2077" s="65">
        <v>453200</v>
      </c>
      <c r="M2077" t="s">
        <v>1718</v>
      </c>
    </row>
    <row r="2078" spans="12:13">
      <c r="L2078" s="65">
        <v>453210</v>
      </c>
      <c r="M2078" t="s">
        <v>1719</v>
      </c>
    </row>
    <row r="2079" spans="12:13">
      <c r="L2079" s="65">
        <v>453211</v>
      </c>
      <c r="M2079" t="s">
        <v>1719</v>
      </c>
    </row>
    <row r="2080" spans="12:13">
      <c r="L2080" s="65">
        <v>453290</v>
      </c>
      <c r="M2080" t="s">
        <v>1720</v>
      </c>
    </row>
    <row r="2081" spans="12:13">
      <c r="L2081" s="65">
        <v>453291</v>
      </c>
      <c r="M2081" t="s">
        <v>1720</v>
      </c>
    </row>
    <row r="2082" spans="12:13">
      <c r="L2082" s="65">
        <v>454000</v>
      </c>
      <c r="M2082" t="s">
        <v>1721</v>
      </c>
    </row>
    <row r="2083" spans="12:13">
      <c r="L2083" s="65">
        <v>454100</v>
      </c>
      <c r="M2083" t="s">
        <v>1722</v>
      </c>
    </row>
    <row r="2084" spans="12:13">
      <c r="L2084" s="65">
        <v>454110</v>
      </c>
      <c r="M2084" t="s">
        <v>1722</v>
      </c>
    </row>
    <row r="2085" spans="12:13">
      <c r="L2085" s="65">
        <v>454111</v>
      </c>
      <c r="M2085" t="s">
        <v>1722</v>
      </c>
    </row>
    <row r="2086" spans="12:13">
      <c r="L2086" s="65">
        <v>454200</v>
      </c>
      <c r="M2086" t="s">
        <v>1723</v>
      </c>
    </row>
    <row r="2087" spans="12:13">
      <c r="L2087" s="65">
        <v>454210</v>
      </c>
      <c r="M2087" t="s">
        <v>1723</v>
      </c>
    </row>
    <row r="2088" spans="12:13">
      <c r="L2088" s="65">
        <v>454211</v>
      </c>
      <c r="M2088" t="s">
        <v>1723</v>
      </c>
    </row>
    <row r="2089" spans="12:13">
      <c r="L2089" s="65">
        <v>460000</v>
      </c>
      <c r="M2089" t="s">
        <v>1724</v>
      </c>
    </row>
    <row r="2090" spans="12:13">
      <c r="L2090" s="65">
        <v>461000</v>
      </c>
      <c r="M2090" t="s">
        <v>1725</v>
      </c>
    </row>
    <row r="2091" spans="12:13">
      <c r="L2091" s="65">
        <v>461100</v>
      </c>
      <c r="M2091" t="s">
        <v>1726</v>
      </c>
    </row>
    <row r="2092" spans="12:13">
      <c r="L2092" s="65">
        <v>461110</v>
      </c>
      <c r="M2092" t="s">
        <v>1726</v>
      </c>
    </row>
    <row r="2093" spans="12:13">
      <c r="L2093" s="65">
        <v>461111</v>
      </c>
      <c r="M2093" t="s">
        <v>1726</v>
      </c>
    </row>
    <row r="2094" spans="12:13">
      <c r="L2094" s="65">
        <v>461200</v>
      </c>
      <c r="M2094" t="s">
        <v>1727</v>
      </c>
    </row>
    <row r="2095" spans="12:13">
      <c r="L2095" s="65">
        <v>461210</v>
      </c>
      <c r="M2095" t="s">
        <v>1727</v>
      </c>
    </row>
    <row r="2096" spans="12:13">
      <c r="L2096" s="65">
        <v>461211</v>
      </c>
      <c r="M2096" t="s">
        <v>1727</v>
      </c>
    </row>
    <row r="2097" spans="12:13">
      <c r="L2097" s="65">
        <v>462000</v>
      </c>
      <c r="M2097" t="s">
        <v>1728</v>
      </c>
    </row>
    <row r="2098" spans="12:13">
      <c r="L2098" s="65">
        <v>462100</v>
      </c>
      <c r="M2098" t="s">
        <v>1729</v>
      </c>
    </row>
    <row r="2099" spans="12:13">
      <c r="L2099" s="65">
        <v>462110</v>
      </c>
      <c r="M2099" t="s">
        <v>1730</v>
      </c>
    </row>
    <row r="2100" spans="12:13">
      <c r="L2100" s="65">
        <v>462111</v>
      </c>
      <c r="M2100" t="s">
        <v>1730</v>
      </c>
    </row>
    <row r="2101" spans="12:13">
      <c r="L2101" s="65">
        <v>462120</v>
      </c>
      <c r="M2101" t="s">
        <v>1731</v>
      </c>
    </row>
    <row r="2102" spans="12:13">
      <c r="L2102" s="65">
        <v>462121</v>
      </c>
      <c r="M2102" t="s">
        <v>1731</v>
      </c>
    </row>
    <row r="2103" spans="12:13">
      <c r="L2103" s="65">
        <v>462190</v>
      </c>
      <c r="M2103" t="s">
        <v>1732</v>
      </c>
    </row>
    <row r="2104" spans="12:13">
      <c r="L2104" s="65">
        <v>462191</v>
      </c>
      <c r="M2104" t="s">
        <v>1733</v>
      </c>
    </row>
    <row r="2105" spans="12:13">
      <c r="L2105" s="65">
        <v>462200</v>
      </c>
      <c r="M2105" t="s">
        <v>1734</v>
      </c>
    </row>
    <row r="2106" spans="12:13">
      <c r="L2106" s="65">
        <v>462210</v>
      </c>
      <c r="M2106" t="s">
        <v>1735</v>
      </c>
    </row>
    <row r="2107" spans="12:13">
      <c r="L2107" s="65">
        <v>462211</v>
      </c>
      <c r="M2107" t="s">
        <v>1735</v>
      </c>
    </row>
    <row r="2108" spans="12:13">
      <c r="L2108" s="65">
        <v>462290</v>
      </c>
      <c r="M2108" t="s">
        <v>1736</v>
      </c>
    </row>
    <row r="2109" spans="12:13">
      <c r="L2109" s="65">
        <v>462291</v>
      </c>
      <c r="M2109" t="s">
        <v>1736</v>
      </c>
    </row>
    <row r="2110" spans="12:13">
      <c r="L2110" s="65">
        <v>463000</v>
      </c>
      <c r="M2110" t="s">
        <v>1737</v>
      </c>
    </row>
    <row r="2111" spans="12:13">
      <c r="L2111" s="65">
        <v>463100</v>
      </c>
      <c r="M2111" t="s">
        <v>1738</v>
      </c>
    </row>
    <row r="2112" spans="12:13">
      <c r="L2112" s="65">
        <v>463110</v>
      </c>
      <c r="M2112" t="s">
        <v>1739</v>
      </c>
    </row>
    <row r="2113" spans="12:13">
      <c r="L2113" s="65">
        <v>463111</v>
      </c>
      <c r="M2113" t="s">
        <v>1739</v>
      </c>
    </row>
    <row r="2114" spans="12:13">
      <c r="L2114" s="65">
        <v>463120</v>
      </c>
      <c r="M2114" t="s">
        <v>1740</v>
      </c>
    </row>
    <row r="2115" spans="12:13">
      <c r="L2115" s="65">
        <v>463121</v>
      </c>
      <c r="M2115" t="s">
        <v>1741</v>
      </c>
    </row>
    <row r="2116" spans="12:13">
      <c r="L2116" s="65">
        <v>463122</v>
      </c>
      <c r="M2116" t="s">
        <v>1742</v>
      </c>
    </row>
    <row r="2117" spans="12:13">
      <c r="L2117" s="65">
        <v>463130</v>
      </c>
      <c r="M2117" t="s">
        <v>1743</v>
      </c>
    </row>
    <row r="2118" spans="12:13">
      <c r="L2118" s="65">
        <v>463131</v>
      </c>
      <c r="M2118" t="s">
        <v>1743</v>
      </c>
    </row>
    <row r="2119" spans="12:13">
      <c r="L2119" s="65">
        <v>463132</v>
      </c>
      <c r="M2119" t="s">
        <v>1744</v>
      </c>
    </row>
    <row r="2120" spans="12:13">
      <c r="L2120" s="65">
        <v>463133</v>
      </c>
      <c r="M2120" t="s">
        <v>1745</v>
      </c>
    </row>
    <row r="2121" spans="12:13">
      <c r="L2121" s="65">
        <v>463140</v>
      </c>
      <c r="M2121" t="s">
        <v>1746</v>
      </c>
    </row>
    <row r="2122" spans="12:13">
      <c r="L2122" s="65">
        <v>463141</v>
      </c>
      <c r="M2122" t="s">
        <v>1746</v>
      </c>
    </row>
    <row r="2123" spans="12:13">
      <c r="L2123" s="65">
        <v>463142</v>
      </c>
      <c r="M2123" t="s">
        <v>1747</v>
      </c>
    </row>
    <row r="2124" spans="12:13">
      <c r="L2124" s="65">
        <v>463143</v>
      </c>
      <c r="M2124" t="s">
        <v>1748</v>
      </c>
    </row>
    <row r="2125" spans="12:13">
      <c r="L2125" s="65">
        <v>463200</v>
      </c>
      <c r="M2125" t="s">
        <v>1749</v>
      </c>
    </row>
    <row r="2126" spans="12:13">
      <c r="L2126" s="65">
        <v>463210</v>
      </c>
      <c r="M2126" t="s">
        <v>1750</v>
      </c>
    </row>
    <row r="2127" spans="12:13">
      <c r="L2127" s="65">
        <v>463211</v>
      </c>
      <c r="M2127" t="s">
        <v>1750</v>
      </c>
    </row>
    <row r="2128" spans="12:13">
      <c r="L2128" s="65">
        <v>463220</v>
      </c>
      <c r="M2128" t="s">
        <v>1751</v>
      </c>
    </row>
    <row r="2129" spans="12:13">
      <c r="L2129" s="65">
        <v>463221</v>
      </c>
      <c r="M2129" t="s">
        <v>1752</v>
      </c>
    </row>
    <row r="2130" spans="12:13">
      <c r="L2130" s="65">
        <v>463222</v>
      </c>
      <c r="M2130" t="s">
        <v>1753</v>
      </c>
    </row>
    <row r="2131" spans="12:13">
      <c r="L2131" s="65">
        <v>463230</v>
      </c>
      <c r="M2131" t="s">
        <v>1754</v>
      </c>
    </row>
    <row r="2132" spans="12:13">
      <c r="L2132" s="65">
        <v>463231</v>
      </c>
      <c r="M2132" t="s">
        <v>1754</v>
      </c>
    </row>
    <row r="2133" spans="12:13">
      <c r="L2133" s="65">
        <v>463240</v>
      </c>
      <c r="M2133" t="s">
        <v>1755</v>
      </c>
    </row>
    <row r="2134" spans="12:13">
      <c r="L2134" s="65">
        <v>463241</v>
      </c>
      <c r="M2134" t="s">
        <v>1755</v>
      </c>
    </row>
    <row r="2135" spans="12:13">
      <c r="L2135" s="65">
        <v>464000</v>
      </c>
      <c r="M2135" t="s">
        <v>1756</v>
      </c>
    </row>
    <row r="2136" spans="12:13">
      <c r="L2136" s="65">
        <v>464100</v>
      </c>
      <c r="M2136" t="s">
        <v>1757</v>
      </c>
    </row>
    <row r="2137" spans="12:13">
      <c r="L2137" s="65">
        <v>464110</v>
      </c>
      <c r="M2137" t="s">
        <v>1758</v>
      </c>
    </row>
    <row r="2138" spans="12:13">
      <c r="L2138" s="65">
        <v>464111</v>
      </c>
      <c r="M2138" t="s">
        <v>1758</v>
      </c>
    </row>
    <row r="2139" spans="12:13">
      <c r="L2139" s="65">
        <v>464112</v>
      </c>
      <c r="M2139" t="s">
        <v>1759</v>
      </c>
    </row>
    <row r="2140" spans="12:13">
      <c r="L2140" s="65">
        <v>464113</v>
      </c>
      <c r="M2140" t="s">
        <v>1760</v>
      </c>
    </row>
    <row r="2141" spans="12:13">
      <c r="L2141" s="65">
        <v>464120</v>
      </c>
      <c r="M2141" t="s">
        <v>1761</v>
      </c>
    </row>
    <row r="2142" spans="12:13">
      <c r="L2142" s="65">
        <v>464121</v>
      </c>
      <c r="M2142" t="s">
        <v>1762</v>
      </c>
    </row>
    <row r="2143" spans="12:13">
      <c r="L2143" s="65">
        <v>464130</v>
      </c>
      <c r="M2143" t="s">
        <v>1763</v>
      </c>
    </row>
    <row r="2144" spans="12:13">
      <c r="L2144" s="65">
        <v>464131</v>
      </c>
      <c r="M2144" t="s">
        <v>1764</v>
      </c>
    </row>
    <row r="2145" spans="12:13">
      <c r="L2145" s="65">
        <v>464140</v>
      </c>
      <c r="M2145" t="s">
        <v>1765</v>
      </c>
    </row>
    <row r="2146" spans="12:13">
      <c r="L2146" s="65">
        <v>464141</v>
      </c>
      <c r="M2146" t="s">
        <v>1766</v>
      </c>
    </row>
    <row r="2147" spans="12:13">
      <c r="L2147" s="65">
        <v>464150</v>
      </c>
      <c r="M2147" t="s">
        <v>1767</v>
      </c>
    </row>
    <row r="2148" spans="12:13">
      <c r="L2148" s="65">
        <v>464151</v>
      </c>
      <c r="M2148" t="s">
        <v>1767</v>
      </c>
    </row>
    <row r="2149" spans="12:13">
      <c r="L2149" s="65">
        <v>464200</v>
      </c>
      <c r="M2149" t="s">
        <v>1768</v>
      </c>
    </row>
    <row r="2150" spans="12:13">
      <c r="L2150" s="65">
        <v>464210</v>
      </c>
      <c r="M2150" t="s">
        <v>1769</v>
      </c>
    </row>
    <row r="2151" spans="12:13">
      <c r="L2151" s="65">
        <v>464211</v>
      </c>
      <c r="M2151" t="s">
        <v>1769</v>
      </c>
    </row>
    <row r="2152" spans="12:13">
      <c r="L2152" s="65">
        <v>464212</v>
      </c>
      <c r="M2152" t="s">
        <v>1770</v>
      </c>
    </row>
    <row r="2153" spans="12:13">
      <c r="L2153" s="65">
        <v>464213</v>
      </c>
      <c r="M2153" t="s">
        <v>1771</v>
      </c>
    </row>
    <row r="2154" spans="12:13">
      <c r="L2154" s="65">
        <v>464220</v>
      </c>
      <c r="M2154" t="s">
        <v>1772</v>
      </c>
    </row>
    <row r="2155" spans="12:13">
      <c r="L2155" s="65">
        <v>464221</v>
      </c>
      <c r="M2155" t="s">
        <v>1772</v>
      </c>
    </row>
    <row r="2156" spans="12:13">
      <c r="L2156" s="65">
        <v>464250</v>
      </c>
      <c r="M2156" t="s">
        <v>1773</v>
      </c>
    </row>
    <row r="2157" spans="12:13">
      <c r="L2157" s="65">
        <v>464251</v>
      </c>
      <c r="M2157" t="s">
        <v>1773</v>
      </c>
    </row>
    <row r="2158" spans="12:13">
      <c r="L2158" s="65">
        <v>465000</v>
      </c>
      <c r="M2158" t="s">
        <v>1774</v>
      </c>
    </row>
    <row r="2159" spans="12:13">
      <c r="L2159" s="65">
        <v>465100</v>
      </c>
      <c r="M2159" t="s">
        <v>1775</v>
      </c>
    </row>
    <row r="2160" spans="12:13">
      <c r="L2160" s="65">
        <v>465110</v>
      </c>
      <c r="M2160" t="s">
        <v>1775</v>
      </c>
    </row>
    <row r="2161" spans="12:13">
      <c r="L2161" s="65">
        <v>465111</v>
      </c>
      <c r="M2161" t="s">
        <v>1775</v>
      </c>
    </row>
    <row r="2162" spans="12:13">
      <c r="L2162" s="65">
        <v>465112</v>
      </c>
      <c r="M2162" t="s">
        <v>1776</v>
      </c>
    </row>
    <row r="2163" spans="12:13">
      <c r="L2163" s="65">
        <v>465200</v>
      </c>
      <c r="M2163" t="s">
        <v>1777</v>
      </c>
    </row>
    <row r="2164" spans="12:13">
      <c r="L2164" s="65">
        <v>465210</v>
      </c>
      <c r="M2164" t="s">
        <v>1777</v>
      </c>
    </row>
    <row r="2165" spans="12:13">
      <c r="L2165" s="65">
        <v>465211</v>
      </c>
      <c r="M2165" t="s">
        <v>1777</v>
      </c>
    </row>
    <row r="2166" spans="12:13">
      <c r="L2166" s="65">
        <v>470000</v>
      </c>
      <c r="M2166" t="s">
        <v>1778</v>
      </c>
    </row>
    <row r="2167" spans="12:13">
      <c r="L2167" s="65">
        <v>471000</v>
      </c>
      <c r="M2167" t="s">
        <v>1779</v>
      </c>
    </row>
    <row r="2168" spans="12:13">
      <c r="L2168" s="65">
        <v>471100</v>
      </c>
      <c r="M2168" t="s">
        <v>1780</v>
      </c>
    </row>
    <row r="2169" spans="12:13">
      <c r="L2169" s="65">
        <v>471110</v>
      </c>
      <c r="M2169" t="s">
        <v>1781</v>
      </c>
    </row>
    <row r="2170" spans="12:13">
      <c r="L2170" s="65">
        <v>471111</v>
      </c>
      <c r="M2170" t="s">
        <v>1782</v>
      </c>
    </row>
    <row r="2171" spans="12:13">
      <c r="L2171" s="65">
        <v>471112</v>
      </c>
      <c r="M2171" t="s">
        <v>1783</v>
      </c>
    </row>
    <row r="2172" spans="12:13">
      <c r="L2172" s="65">
        <v>471113</v>
      </c>
      <c r="M2172" t="s">
        <v>1784</v>
      </c>
    </row>
    <row r="2173" spans="12:13">
      <c r="L2173" s="65">
        <v>471114</v>
      </c>
      <c r="M2173" t="s">
        <v>1785</v>
      </c>
    </row>
    <row r="2174" spans="12:13">
      <c r="L2174" s="65">
        <v>471120</v>
      </c>
      <c r="M2174" t="s">
        <v>1786</v>
      </c>
    </row>
    <row r="2175" spans="12:13">
      <c r="L2175" s="65">
        <v>471121</v>
      </c>
      <c r="M2175" t="s">
        <v>1787</v>
      </c>
    </row>
    <row r="2176" spans="12:13">
      <c r="L2176" s="65">
        <v>471122</v>
      </c>
      <c r="M2176" t="s">
        <v>1788</v>
      </c>
    </row>
    <row r="2177" spans="12:13">
      <c r="L2177" s="65">
        <v>471123</v>
      </c>
      <c r="M2177" t="s">
        <v>1789</v>
      </c>
    </row>
    <row r="2178" spans="12:13">
      <c r="L2178" s="65">
        <v>471124</v>
      </c>
      <c r="M2178" t="s">
        <v>1790</v>
      </c>
    </row>
    <row r="2179" spans="12:13">
      <c r="L2179" s="65">
        <v>471125</v>
      </c>
      <c r="M2179" t="s">
        <v>1791</v>
      </c>
    </row>
    <row r="2180" spans="12:13">
      <c r="L2180" s="65">
        <v>471129</v>
      </c>
      <c r="M2180" t="s">
        <v>1792</v>
      </c>
    </row>
    <row r="2181" spans="12:13">
      <c r="L2181" s="65">
        <v>471130</v>
      </c>
      <c r="M2181" t="s">
        <v>1793</v>
      </c>
    </row>
    <row r="2182" spans="12:13">
      <c r="L2182" s="65">
        <v>471131</v>
      </c>
      <c r="M2182" t="s">
        <v>1794</v>
      </c>
    </row>
    <row r="2183" spans="12:13">
      <c r="L2183" s="65">
        <v>471132</v>
      </c>
      <c r="M2183" t="s">
        <v>1795</v>
      </c>
    </row>
    <row r="2184" spans="12:13">
      <c r="L2184" s="65">
        <v>471133</v>
      </c>
      <c r="M2184" t="s">
        <v>1796</v>
      </c>
    </row>
    <row r="2185" spans="12:13">
      <c r="L2185" s="65">
        <v>471134</v>
      </c>
      <c r="M2185" t="s">
        <v>1797</v>
      </c>
    </row>
    <row r="2186" spans="12:13">
      <c r="L2186" s="65">
        <v>471135</v>
      </c>
      <c r="M2186" t="s">
        <v>1798</v>
      </c>
    </row>
    <row r="2187" spans="12:13">
      <c r="L2187" s="65">
        <v>471136</v>
      </c>
      <c r="M2187" t="s">
        <v>1799</v>
      </c>
    </row>
    <row r="2188" spans="12:13">
      <c r="L2188" s="65">
        <v>471137</v>
      </c>
      <c r="M2188" t="s">
        <v>1800</v>
      </c>
    </row>
    <row r="2189" spans="12:13">
      <c r="L2189" s="65">
        <v>471139</v>
      </c>
      <c r="M2189" t="s">
        <v>1801</v>
      </c>
    </row>
    <row r="2190" spans="12:13">
      <c r="L2190" s="65">
        <v>471140</v>
      </c>
      <c r="M2190" t="s">
        <v>1802</v>
      </c>
    </row>
    <row r="2191" spans="12:13">
      <c r="L2191" s="65">
        <v>471141</v>
      </c>
      <c r="M2191" t="s">
        <v>1803</v>
      </c>
    </row>
    <row r="2192" spans="12:13">
      <c r="L2192" s="65">
        <v>471142</v>
      </c>
      <c r="M2192" t="s">
        <v>1804</v>
      </c>
    </row>
    <row r="2193" spans="12:13">
      <c r="L2193" s="65">
        <v>471143</v>
      </c>
      <c r="M2193" t="s">
        <v>1805</v>
      </c>
    </row>
    <row r="2194" spans="12:13">
      <c r="L2194" s="65">
        <v>471144</v>
      </c>
      <c r="M2194" t="s">
        <v>1806</v>
      </c>
    </row>
    <row r="2195" spans="12:13">
      <c r="L2195" s="65">
        <v>471149</v>
      </c>
      <c r="M2195" t="s">
        <v>1807</v>
      </c>
    </row>
    <row r="2196" spans="12:13">
      <c r="L2196" s="65">
        <v>471190</v>
      </c>
      <c r="M2196" t="s">
        <v>1808</v>
      </c>
    </row>
    <row r="2197" spans="12:13">
      <c r="L2197" s="65">
        <v>471191</v>
      </c>
      <c r="M2197" t="s">
        <v>1809</v>
      </c>
    </row>
    <row r="2198" spans="12:13">
      <c r="L2198" s="65">
        <v>471192</v>
      </c>
      <c r="M2198" t="s">
        <v>1810</v>
      </c>
    </row>
    <row r="2199" spans="12:13">
      <c r="L2199" s="65">
        <v>471193</v>
      </c>
      <c r="M2199" t="s">
        <v>1811</v>
      </c>
    </row>
    <row r="2200" spans="12:13">
      <c r="L2200" s="65">
        <v>471194</v>
      </c>
      <c r="M2200" t="s">
        <v>1812</v>
      </c>
    </row>
    <row r="2201" spans="12:13">
      <c r="L2201" s="65">
        <v>471195</v>
      </c>
      <c r="M2201" t="s">
        <v>1813</v>
      </c>
    </row>
    <row r="2202" spans="12:13">
      <c r="L2202" s="65">
        <v>471199</v>
      </c>
      <c r="M2202" t="s">
        <v>1814</v>
      </c>
    </row>
    <row r="2203" spans="12:13">
      <c r="L2203" s="65">
        <v>471200</v>
      </c>
      <c r="M2203" t="s">
        <v>1815</v>
      </c>
    </row>
    <row r="2204" spans="12:13">
      <c r="L2204" s="65">
        <v>471210</v>
      </c>
      <c r="M2204" t="s">
        <v>1816</v>
      </c>
    </row>
    <row r="2205" spans="12:13">
      <c r="L2205" s="65">
        <v>471211</v>
      </c>
      <c r="M2205" t="s">
        <v>1817</v>
      </c>
    </row>
    <row r="2206" spans="12:13">
      <c r="L2206" s="65">
        <v>471212</v>
      </c>
      <c r="M2206" t="s">
        <v>1818</v>
      </c>
    </row>
    <row r="2207" spans="12:13">
      <c r="L2207" s="65">
        <v>471213</v>
      </c>
      <c r="M2207" t="s">
        <v>1819</v>
      </c>
    </row>
    <row r="2208" spans="12:13">
      <c r="L2208" s="65">
        <v>471214</v>
      </c>
      <c r="M2208" t="s">
        <v>1820</v>
      </c>
    </row>
    <row r="2209" spans="12:13">
      <c r="L2209" s="65">
        <v>471215</v>
      </c>
      <c r="M2209" t="s">
        <v>1821</v>
      </c>
    </row>
    <row r="2210" spans="12:13">
      <c r="L2210" s="65">
        <v>471216</v>
      </c>
      <c r="M2210" t="s">
        <v>1822</v>
      </c>
    </row>
    <row r="2211" spans="12:13">
      <c r="L2211" s="65">
        <v>471217</v>
      </c>
      <c r="M2211" t="s">
        <v>1823</v>
      </c>
    </row>
    <row r="2212" spans="12:13">
      <c r="L2212" s="65">
        <v>471219</v>
      </c>
      <c r="M2212" t="s">
        <v>1824</v>
      </c>
    </row>
    <row r="2213" spans="12:13">
      <c r="L2213" s="65">
        <v>471220</v>
      </c>
      <c r="M2213" t="s">
        <v>1825</v>
      </c>
    </row>
    <row r="2214" spans="12:13">
      <c r="L2214" s="65">
        <v>471221</v>
      </c>
      <c r="M2214" t="s">
        <v>1506</v>
      </c>
    </row>
    <row r="2215" spans="12:13">
      <c r="L2215" s="65">
        <v>471222</v>
      </c>
      <c r="M2215" t="s">
        <v>1826</v>
      </c>
    </row>
    <row r="2216" spans="12:13">
      <c r="L2216" s="65">
        <v>471223</v>
      </c>
      <c r="M2216" t="s">
        <v>1827</v>
      </c>
    </row>
    <row r="2217" spans="12:13">
      <c r="L2217" s="65">
        <v>471224</v>
      </c>
      <c r="M2217" t="s">
        <v>1828</v>
      </c>
    </row>
    <row r="2218" spans="12:13">
      <c r="L2218" s="65">
        <v>471229</v>
      </c>
      <c r="M2218" t="s">
        <v>1829</v>
      </c>
    </row>
    <row r="2219" spans="12:13">
      <c r="L2219" s="65">
        <v>471230</v>
      </c>
      <c r="M2219" t="s">
        <v>1830</v>
      </c>
    </row>
    <row r="2220" spans="12:13">
      <c r="L2220" s="65">
        <v>471231</v>
      </c>
      <c r="M2220" t="s">
        <v>1831</v>
      </c>
    </row>
    <row r="2221" spans="12:13">
      <c r="L2221" s="65">
        <v>471232</v>
      </c>
      <c r="M2221" t="s">
        <v>1832</v>
      </c>
    </row>
    <row r="2222" spans="12:13">
      <c r="L2222" s="65">
        <v>471240</v>
      </c>
      <c r="M2222" t="s">
        <v>1833</v>
      </c>
    </row>
    <row r="2223" spans="12:13">
      <c r="L2223" s="65">
        <v>471241</v>
      </c>
      <c r="M2223" t="s">
        <v>1834</v>
      </c>
    </row>
    <row r="2224" spans="12:13">
      <c r="L2224" s="65">
        <v>471242</v>
      </c>
      <c r="M2224" t="s">
        <v>1835</v>
      </c>
    </row>
    <row r="2225" spans="12:13">
      <c r="L2225" s="65">
        <v>471243</v>
      </c>
      <c r="M2225" t="s">
        <v>1836</v>
      </c>
    </row>
    <row r="2226" spans="12:13">
      <c r="L2226" s="65">
        <v>471250</v>
      </c>
      <c r="M2226" t="s">
        <v>1837</v>
      </c>
    </row>
    <row r="2227" spans="12:13">
      <c r="L2227" s="65">
        <v>471251</v>
      </c>
      <c r="M2227" t="s">
        <v>1838</v>
      </c>
    </row>
    <row r="2228" spans="12:13">
      <c r="L2228" s="65">
        <v>471252</v>
      </c>
      <c r="M2228" t="s">
        <v>1839</v>
      </c>
    </row>
    <row r="2229" spans="12:13">
      <c r="L2229" s="65">
        <v>471253</v>
      </c>
      <c r="M2229" t="s">
        <v>1840</v>
      </c>
    </row>
    <row r="2230" spans="12:13">
      <c r="L2230" s="65">
        <v>471260</v>
      </c>
      <c r="M2230" t="s">
        <v>1841</v>
      </c>
    </row>
    <row r="2231" spans="12:13">
      <c r="L2231" s="65">
        <v>471261</v>
      </c>
      <c r="M2231" t="s">
        <v>1842</v>
      </c>
    </row>
    <row r="2232" spans="12:13">
      <c r="L2232" s="65">
        <v>471262</v>
      </c>
      <c r="M2232" t="s">
        <v>1843</v>
      </c>
    </row>
    <row r="2233" spans="12:13">
      <c r="L2233" s="65">
        <v>471263</v>
      </c>
      <c r="M2233" t="s">
        <v>1844</v>
      </c>
    </row>
    <row r="2234" spans="12:13">
      <c r="L2234" s="65">
        <v>471290</v>
      </c>
      <c r="M2234" t="s">
        <v>1845</v>
      </c>
    </row>
    <row r="2235" spans="12:13">
      <c r="L2235" s="65">
        <v>471291</v>
      </c>
      <c r="M2235" t="s">
        <v>1846</v>
      </c>
    </row>
    <row r="2236" spans="12:13">
      <c r="L2236" s="65">
        <v>471292</v>
      </c>
      <c r="M2236" t="s">
        <v>1813</v>
      </c>
    </row>
    <row r="2237" spans="12:13">
      <c r="L2237" s="65">
        <v>471299</v>
      </c>
      <c r="M2237" t="s">
        <v>1847</v>
      </c>
    </row>
    <row r="2238" spans="12:13">
      <c r="L2238" s="65">
        <v>471900</v>
      </c>
      <c r="M2238" t="s">
        <v>1848</v>
      </c>
    </row>
    <row r="2239" spans="12:13">
      <c r="L2239" s="65">
        <v>471910</v>
      </c>
      <c r="M2239" t="s">
        <v>1849</v>
      </c>
    </row>
    <row r="2240" spans="12:13">
      <c r="L2240" s="65">
        <v>471911</v>
      </c>
      <c r="M2240" t="s">
        <v>1849</v>
      </c>
    </row>
    <row r="2241" spans="12:13">
      <c r="L2241" s="65">
        <v>471912</v>
      </c>
      <c r="M2241" t="s">
        <v>1850</v>
      </c>
    </row>
    <row r="2242" spans="12:13">
      <c r="L2242" s="65">
        <v>471913</v>
      </c>
      <c r="M2242" t="s">
        <v>1851</v>
      </c>
    </row>
    <row r="2243" spans="12:13">
      <c r="L2243" s="65">
        <v>471914</v>
      </c>
      <c r="M2243" t="s">
        <v>1852</v>
      </c>
    </row>
    <row r="2244" spans="12:13">
      <c r="L2244" s="65">
        <v>471915</v>
      </c>
      <c r="M2244" t="s">
        <v>1853</v>
      </c>
    </row>
    <row r="2245" spans="12:13">
      <c r="L2245" s="65">
        <v>471920</v>
      </c>
      <c r="M2245" t="s">
        <v>1854</v>
      </c>
    </row>
    <row r="2246" spans="12:13">
      <c r="L2246" s="65">
        <v>471921</v>
      </c>
      <c r="M2246" t="s">
        <v>1854</v>
      </c>
    </row>
    <row r="2247" spans="12:13">
      <c r="L2247" s="65">
        <v>471922</v>
      </c>
      <c r="M2247" t="s">
        <v>1855</v>
      </c>
    </row>
    <row r="2248" spans="12:13">
      <c r="L2248" s="65">
        <v>471923</v>
      </c>
      <c r="M2248" t="s">
        <v>1856</v>
      </c>
    </row>
    <row r="2249" spans="12:13">
      <c r="L2249" s="65">
        <v>471930</v>
      </c>
      <c r="M2249" t="s">
        <v>1857</v>
      </c>
    </row>
    <row r="2250" spans="12:13">
      <c r="L2250" s="65">
        <v>471931</v>
      </c>
      <c r="M2250" t="s">
        <v>1858</v>
      </c>
    </row>
    <row r="2251" spans="12:13">
      <c r="L2251" s="65">
        <v>471940</v>
      </c>
      <c r="M2251" t="s">
        <v>1859</v>
      </c>
    </row>
    <row r="2252" spans="12:13">
      <c r="L2252" s="65">
        <v>471941</v>
      </c>
      <c r="M2252" t="s">
        <v>1860</v>
      </c>
    </row>
    <row r="2253" spans="12:13">
      <c r="L2253" s="65">
        <v>471942</v>
      </c>
      <c r="M2253" t="s">
        <v>1861</v>
      </c>
    </row>
    <row r="2254" spans="12:13">
      <c r="L2254" s="65">
        <v>471943</v>
      </c>
      <c r="M2254" t="s">
        <v>1862</v>
      </c>
    </row>
    <row r="2255" spans="12:13">
      <c r="L2255" s="65">
        <v>471950</v>
      </c>
      <c r="M2255" t="s">
        <v>1863</v>
      </c>
    </row>
    <row r="2256" spans="12:13">
      <c r="L2256" s="65">
        <v>471951</v>
      </c>
      <c r="M2256" t="s">
        <v>1863</v>
      </c>
    </row>
    <row r="2257" spans="12:13">
      <c r="L2257" s="65">
        <v>472000</v>
      </c>
      <c r="M2257" t="s">
        <v>1864</v>
      </c>
    </row>
    <row r="2258" spans="12:13">
      <c r="L2258" s="65">
        <v>472100</v>
      </c>
      <c r="M2258" t="s">
        <v>1865</v>
      </c>
    </row>
    <row r="2259" spans="12:13">
      <c r="L2259" s="65">
        <v>472110</v>
      </c>
      <c r="M2259" t="s">
        <v>1866</v>
      </c>
    </row>
    <row r="2260" spans="12:13">
      <c r="L2260" s="65">
        <v>472111</v>
      </c>
      <c r="M2260" t="s">
        <v>1866</v>
      </c>
    </row>
    <row r="2261" spans="12:13">
      <c r="L2261" s="65">
        <v>472120</v>
      </c>
      <c r="M2261" t="s">
        <v>1867</v>
      </c>
    </row>
    <row r="2262" spans="12:13">
      <c r="L2262" s="65">
        <v>472121</v>
      </c>
      <c r="M2262" t="s">
        <v>1867</v>
      </c>
    </row>
    <row r="2263" spans="12:13">
      <c r="L2263" s="65">
        <v>472130</v>
      </c>
      <c r="M2263" t="s">
        <v>1868</v>
      </c>
    </row>
    <row r="2264" spans="12:13">
      <c r="L2264" s="65">
        <v>472131</v>
      </c>
      <c r="M2264" t="s">
        <v>1869</v>
      </c>
    </row>
    <row r="2265" spans="12:13">
      <c r="L2265" s="65">
        <v>472132</v>
      </c>
      <c r="M2265" t="s">
        <v>1870</v>
      </c>
    </row>
    <row r="2266" spans="12:13">
      <c r="L2266" s="65">
        <v>472200</v>
      </c>
      <c r="M2266" t="s">
        <v>1871</v>
      </c>
    </row>
    <row r="2267" spans="12:13">
      <c r="L2267" s="65">
        <v>472210</v>
      </c>
      <c r="M2267" t="s">
        <v>1871</v>
      </c>
    </row>
    <row r="2268" spans="12:13">
      <c r="L2268" s="65">
        <v>472211</v>
      </c>
      <c r="M2268" t="s">
        <v>1871</v>
      </c>
    </row>
    <row r="2269" spans="12:13">
      <c r="L2269" s="65">
        <v>472300</v>
      </c>
      <c r="M2269" t="s">
        <v>1872</v>
      </c>
    </row>
    <row r="2270" spans="12:13">
      <c r="L2270" s="65">
        <v>472310</v>
      </c>
      <c r="M2270" t="s">
        <v>1872</v>
      </c>
    </row>
    <row r="2271" spans="12:13">
      <c r="L2271" s="65">
        <v>472311</v>
      </c>
      <c r="M2271" t="s">
        <v>1872</v>
      </c>
    </row>
    <row r="2272" spans="12:13">
      <c r="L2272" s="65">
        <v>472400</v>
      </c>
      <c r="M2272" t="s">
        <v>1873</v>
      </c>
    </row>
    <row r="2273" spans="12:13">
      <c r="L2273" s="65">
        <v>472410</v>
      </c>
      <c r="M2273" t="s">
        <v>1873</v>
      </c>
    </row>
    <row r="2274" spans="12:13">
      <c r="L2274" s="65">
        <v>472411</v>
      </c>
      <c r="M2274" t="s">
        <v>1873</v>
      </c>
    </row>
    <row r="2275" spans="12:13">
      <c r="L2275" s="65">
        <v>472500</v>
      </c>
      <c r="M2275" t="s">
        <v>1874</v>
      </c>
    </row>
    <row r="2276" spans="12:13">
      <c r="L2276" s="65">
        <v>472510</v>
      </c>
      <c r="M2276" t="s">
        <v>1875</v>
      </c>
    </row>
    <row r="2277" spans="12:13">
      <c r="L2277" s="65">
        <v>472511</v>
      </c>
      <c r="M2277" t="s">
        <v>1875</v>
      </c>
    </row>
    <row r="2278" spans="12:13">
      <c r="L2278" s="65">
        <v>472520</v>
      </c>
      <c r="M2278" t="s">
        <v>1876</v>
      </c>
    </row>
    <row r="2279" spans="12:13">
      <c r="L2279" s="65">
        <v>472521</v>
      </c>
      <c r="M2279" t="s">
        <v>1876</v>
      </c>
    </row>
    <row r="2280" spans="12:13">
      <c r="L2280" s="65">
        <v>472600</v>
      </c>
      <c r="M2280" t="s">
        <v>1877</v>
      </c>
    </row>
    <row r="2281" spans="12:13">
      <c r="L2281" s="65">
        <v>472610</v>
      </c>
      <c r="M2281" t="s">
        <v>1877</v>
      </c>
    </row>
    <row r="2282" spans="12:13">
      <c r="L2282" s="65">
        <v>472611</v>
      </c>
      <c r="M2282" t="s">
        <v>1877</v>
      </c>
    </row>
    <row r="2283" spans="12:13">
      <c r="L2283" s="65">
        <v>472700</v>
      </c>
      <c r="M2283" t="s">
        <v>1878</v>
      </c>
    </row>
    <row r="2284" spans="12:13">
      <c r="L2284" s="65">
        <v>472710</v>
      </c>
      <c r="M2284" t="s">
        <v>1879</v>
      </c>
    </row>
    <row r="2285" spans="12:13">
      <c r="L2285" s="65">
        <v>472711</v>
      </c>
      <c r="M2285" t="s">
        <v>1880</v>
      </c>
    </row>
    <row r="2286" spans="12:13">
      <c r="L2286" s="65">
        <v>472712</v>
      </c>
      <c r="M2286" t="s">
        <v>1881</v>
      </c>
    </row>
    <row r="2287" spans="12:13">
      <c r="L2287" s="65">
        <v>472713</v>
      </c>
      <c r="M2287" t="s">
        <v>1882</v>
      </c>
    </row>
    <row r="2288" spans="12:13">
      <c r="L2288" s="65">
        <v>472714</v>
      </c>
      <c r="M2288" t="s">
        <v>1883</v>
      </c>
    </row>
    <row r="2289" spans="12:13">
      <c r="L2289" s="65">
        <v>472715</v>
      </c>
      <c r="M2289" t="s">
        <v>1884</v>
      </c>
    </row>
    <row r="2290" spans="12:13">
      <c r="L2290" s="65">
        <v>472716</v>
      </c>
      <c r="M2290" t="s">
        <v>1885</v>
      </c>
    </row>
    <row r="2291" spans="12:13">
      <c r="L2291" s="65">
        <v>472717</v>
      </c>
      <c r="M2291" t="s">
        <v>1886</v>
      </c>
    </row>
    <row r="2292" spans="12:13">
      <c r="L2292" s="65">
        <v>472718</v>
      </c>
      <c r="M2292" t="s">
        <v>1431</v>
      </c>
    </row>
    <row r="2293" spans="12:13">
      <c r="L2293" s="65">
        <v>472719</v>
      </c>
      <c r="M2293" t="s">
        <v>1887</v>
      </c>
    </row>
    <row r="2294" spans="12:13">
      <c r="L2294" s="65">
        <v>472720</v>
      </c>
      <c r="M2294" t="s">
        <v>1888</v>
      </c>
    </row>
    <row r="2295" spans="12:13">
      <c r="L2295" s="65">
        <v>472721</v>
      </c>
      <c r="M2295" t="s">
        <v>1888</v>
      </c>
    </row>
    <row r="2296" spans="12:13">
      <c r="L2296" s="65">
        <v>472730</v>
      </c>
      <c r="M2296" t="s">
        <v>1889</v>
      </c>
    </row>
    <row r="2297" spans="12:13">
      <c r="L2297" s="65">
        <v>472731</v>
      </c>
      <c r="M2297" t="s">
        <v>1890</v>
      </c>
    </row>
    <row r="2298" spans="12:13">
      <c r="L2298" s="65">
        <v>472732</v>
      </c>
      <c r="M2298" t="s">
        <v>1891</v>
      </c>
    </row>
    <row r="2299" spans="12:13">
      <c r="L2299" s="65">
        <v>472740</v>
      </c>
      <c r="M2299" t="s">
        <v>1892</v>
      </c>
    </row>
    <row r="2300" spans="12:13">
      <c r="L2300" s="65">
        <v>472741</v>
      </c>
      <c r="M2300" t="s">
        <v>1892</v>
      </c>
    </row>
    <row r="2301" spans="12:13">
      <c r="L2301" s="65">
        <v>472742</v>
      </c>
      <c r="M2301" t="s">
        <v>1893</v>
      </c>
    </row>
    <row r="2302" spans="12:13">
      <c r="L2302" s="65">
        <v>472800</v>
      </c>
      <c r="M2302" t="s">
        <v>1894</v>
      </c>
    </row>
    <row r="2303" spans="12:13">
      <c r="L2303" s="65">
        <v>472810</v>
      </c>
      <c r="M2303" t="s">
        <v>1894</v>
      </c>
    </row>
    <row r="2304" spans="12:13">
      <c r="L2304" s="65">
        <v>472811</v>
      </c>
      <c r="M2304" t="s">
        <v>1894</v>
      </c>
    </row>
    <row r="2305" spans="12:13">
      <c r="L2305" s="65">
        <v>472900</v>
      </c>
      <c r="M2305" t="s">
        <v>1895</v>
      </c>
    </row>
    <row r="2306" spans="12:13">
      <c r="L2306" s="65">
        <v>472910</v>
      </c>
      <c r="M2306" t="s">
        <v>1896</v>
      </c>
    </row>
    <row r="2307" spans="12:13">
      <c r="L2307" s="65">
        <v>472911</v>
      </c>
      <c r="M2307" t="s">
        <v>1896</v>
      </c>
    </row>
    <row r="2308" spans="12:13">
      <c r="L2308" s="65">
        <v>472920</v>
      </c>
      <c r="M2308" t="s">
        <v>1897</v>
      </c>
    </row>
    <row r="2309" spans="12:13">
      <c r="L2309" s="65">
        <v>472921</v>
      </c>
      <c r="M2309" t="s">
        <v>1898</v>
      </c>
    </row>
    <row r="2310" spans="12:13">
      <c r="L2310" s="65">
        <v>472922</v>
      </c>
      <c r="M2310" t="s">
        <v>1899</v>
      </c>
    </row>
    <row r="2311" spans="12:13">
      <c r="L2311" s="65">
        <v>472930</v>
      </c>
      <c r="M2311" t="s">
        <v>1806</v>
      </c>
    </row>
    <row r="2312" spans="12:13">
      <c r="L2312" s="65">
        <v>472931</v>
      </c>
      <c r="M2312" t="s">
        <v>1806</v>
      </c>
    </row>
    <row r="2313" spans="12:13">
      <c r="L2313" s="65">
        <v>480000</v>
      </c>
      <c r="M2313" t="s">
        <v>1900</v>
      </c>
    </row>
    <row r="2314" spans="12:13">
      <c r="L2314" s="65">
        <v>481000</v>
      </c>
      <c r="M2314" t="s">
        <v>1901</v>
      </c>
    </row>
    <row r="2315" spans="12:13">
      <c r="L2315" s="65">
        <v>481100</v>
      </c>
      <c r="M2315" t="s">
        <v>1902</v>
      </c>
    </row>
    <row r="2316" spans="12:13">
      <c r="L2316" s="65">
        <v>481110</v>
      </c>
      <c r="M2316" t="s">
        <v>1902</v>
      </c>
    </row>
    <row r="2317" spans="12:13">
      <c r="L2317" s="65">
        <v>481111</v>
      </c>
      <c r="M2317" t="s">
        <v>1903</v>
      </c>
    </row>
    <row r="2318" spans="12:13">
      <c r="L2318" s="65">
        <v>481112</v>
      </c>
      <c r="M2318" t="s">
        <v>1904</v>
      </c>
    </row>
    <row r="2319" spans="12:13">
      <c r="L2319" s="65">
        <v>481113</v>
      </c>
      <c r="M2319" t="s">
        <v>1905</v>
      </c>
    </row>
    <row r="2320" spans="12:13">
      <c r="L2320" s="65">
        <v>481120</v>
      </c>
      <c r="M2320" t="s">
        <v>1906</v>
      </c>
    </row>
    <row r="2321" spans="12:13">
      <c r="L2321" s="65">
        <v>481121</v>
      </c>
      <c r="M2321" t="s">
        <v>1907</v>
      </c>
    </row>
    <row r="2322" spans="12:13">
      <c r="L2322" s="65">
        <v>481130</v>
      </c>
      <c r="M2322" t="s">
        <v>1908</v>
      </c>
    </row>
    <row r="2323" spans="12:13">
      <c r="L2323" s="65">
        <v>481131</v>
      </c>
      <c r="M2323" t="s">
        <v>1908</v>
      </c>
    </row>
    <row r="2324" spans="12:13">
      <c r="L2324" s="65">
        <v>481900</v>
      </c>
      <c r="M2324" t="s">
        <v>1909</v>
      </c>
    </row>
    <row r="2325" spans="12:13">
      <c r="L2325" s="65">
        <v>481910</v>
      </c>
      <c r="M2325" t="s">
        <v>1910</v>
      </c>
    </row>
    <row r="2326" spans="12:13">
      <c r="L2326" s="65">
        <v>481911</v>
      </c>
      <c r="M2326" t="s">
        <v>1910</v>
      </c>
    </row>
    <row r="2327" spans="12:13">
      <c r="L2327" s="65">
        <v>481920</v>
      </c>
      <c r="M2327" t="s">
        <v>1911</v>
      </c>
    </row>
    <row r="2328" spans="12:13">
      <c r="L2328" s="65">
        <v>481921</v>
      </c>
      <c r="M2328" t="s">
        <v>1911</v>
      </c>
    </row>
    <row r="2329" spans="12:13">
      <c r="L2329" s="65">
        <v>481930</v>
      </c>
      <c r="M2329" t="s">
        <v>1912</v>
      </c>
    </row>
    <row r="2330" spans="12:13">
      <c r="L2330" s="65">
        <v>481931</v>
      </c>
      <c r="M2330" t="s">
        <v>1912</v>
      </c>
    </row>
    <row r="2331" spans="12:13">
      <c r="L2331" s="65">
        <v>481940</v>
      </c>
      <c r="M2331" t="s">
        <v>1913</v>
      </c>
    </row>
    <row r="2332" spans="12:13">
      <c r="L2332" s="65">
        <v>481941</v>
      </c>
      <c r="M2332" t="s">
        <v>1914</v>
      </c>
    </row>
    <row r="2333" spans="12:13">
      <c r="L2333" s="65">
        <v>481942</v>
      </c>
      <c r="M2333" t="s">
        <v>1915</v>
      </c>
    </row>
    <row r="2334" spans="12:13">
      <c r="L2334" s="65">
        <v>481950</v>
      </c>
      <c r="M2334" t="s">
        <v>1916</v>
      </c>
    </row>
    <row r="2335" spans="12:13">
      <c r="L2335" s="65">
        <v>481951</v>
      </c>
      <c r="M2335" t="s">
        <v>1916</v>
      </c>
    </row>
    <row r="2336" spans="12:13">
      <c r="L2336" s="65">
        <v>481960</v>
      </c>
      <c r="M2336" t="s">
        <v>1917</v>
      </c>
    </row>
    <row r="2337" spans="12:13">
      <c r="L2337" s="65">
        <v>481961</v>
      </c>
      <c r="M2337" t="s">
        <v>1918</v>
      </c>
    </row>
    <row r="2338" spans="12:13">
      <c r="L2338" s="65">
        <v>481962</v>
      </c>
      <c r="M2338" t="s">
        <v>1919</v>
      </c>
    </row>
    <row r="2339" spans="12:13">
      <c r="L2339" s="65">
        <v>481969</v>
      </c>
      <c r="M2339" t="s">
        <v>1920</v>
      </c>
    </row>
    <row r="2340" spans="12:13">
      <c r="L2340" s="65">
        <v>481990</v>
      </c>
      <c r="M2340" t="s">
        <v>1909</v>
      </c>
    </row>
    <row r="2341" spans="12:13">
      <c r="L2341" s="65">
        <v>481991</v>
      </c>
      <c r="M2341" t="s">
        <v>1909</v>
      </c>
    </row>
    <row r="2342" spans="12:13">
      <c r="L2342" s="65">
        <v>482000</v>
      </c>
      <c r="M2342" t="s">
        <v>1921</v>
      </c>
    </row>
    <row r="2343" spans="12:13">
      <c r="L2343" s="65">
        <v>482100</v>
      </c>
      <c r="M2343" t="s">
        <v>1922</v>
      </c>
    </row>
    <row r="2344" spans="12:13">
      <c r="L2344" s="65">
        <v>482110</v>
      </c>
      <c r="M2344" t="s">
        <v>1923</v>
      </c>
    </row>
    <row r="2345" spans="12:13">
      <c r="L2345" s="65">
        <v>482111</v>
      </c>
      <c r="M2345" t="s">
        <v>1924</v>
      </c>
    </row>
    <row r="2346" spans="12:13">
      <c r="L2346" s="65">
        <v>482112</v>
      </c>
      <c r="M2346" t="s">
        <v>1925</v>
      </c>
    </row>
    <row r="2347" spans="12:13">
      <c r="L2347" s="65">
        <v>482120</v>
      </c>
      <c r="M2347" t="s">
        <v>1926</v>
      </c>
    </row>
    <row r="2348" spans="12:13">
      <c r="L2348" s="65">
        <v>482121</v>
      </c>
      <c r="M2348" t="s">
        <v>1927</v>
      </c>
    </row>
    <row r="2349" spans="12:13">
      <c r="L2349" s="65">
        <v>482122</v>
      </c>
      <c r="M2349" t="s">
        <v>1928</v>
      </c>
    </row>
    <row r="2350" spans="12:13">
      <c r="L2350" s="65">
        <v>482123</v>
      </c>
      <c r="M2350" t="s">
        <v>1929</v>
      </c>
    </row>
    <row r="2351" spans="12:13">
      <c r="L2351" s="65">
        <v>482130</v>
      </c>
      <c r="M2351" t="s">
        <v>1930</v>
      </c>
    </row>
    <row r="2352" spans="12:13">
      <c r="L2352" s="65">
        <v>482131</v>
      </c>
      <c r="M2352" t="s">
        <v>1931</v>
      </c>
    </row>
    <row r="2353" spans="12:13">
      <c r="L2353" s="65">
        <v>482132</v>
      </c>
      <c r="M2353" t="s">
        <v>1932</v>
      </c>
    </row>
    <row r="2354" spans="12:13">
      <c r="L2354" s="65">
        <v>482140</v>
      </c>
      <c r="M2354" t="s">
        <v>1933</v>
      </c>
    </row>
    <row r="2355" spans="12:13">
      <c r="L2355" s="65">
        <v>482141</v>
      </c>
      <c r="M2355" t="s">
        <v>1934</v>
      </c>
    </row>
    <row r="2356" spans="12:13">
      <c r="L2356" s="65">
        <v>482190</v>
      </c>
      <c r="M2356" t="s">
        <v>1922</v>
      </c>
    </row>
    <row r="2357" spans="12:13">
      <c r="L2357" s="65">
        <v>482191</v>
      </c>
      <c r="M2357" t="s">
        <v>1922</v>
      </c>
    </row>
    <row r="2358" spans="12:13">
      <c r="L2358" s="65">
        <v>482200</v>
      </c>
      <c r="M2358" t="s">
        <v>1935</v>
      </c>
    </row>
    <row r="2359" spans="12:13">
      <c r="L2359" s="65">
        <v>482210</v>
      </c>
      <c r="M2359" t="s">
        <v>1129</v>
      </c>
    </row>
    <row r="2360" spans="12:13">
      <c r="L2360" s="65">
        <v>482211</v>
      </c>
      <c r="M2360" t="s">
        <v>1129</v>
      </c>
    </row>
    <row r="2361" spans="12:13">
      <c r="L2361" s="65">
        <v>482220</v>
      </c>
      <c r="M2361" t="s">
        <v>1130</v>
      </c>
    </row>
    <row r="2362" spans="12:13">
      <c r="L2362" s="65">
        <v>482221</v>
      </c>
      <c r="M2362" t="s">
        <v>1130</v>
      </c>
    </row>
    <row r="2363" spans="12:13">
      <c r="L2363" s="65">
        <v>482230</v>
      </c>
      <c r="M2363" t="s">
        <v>1131</v>
      </c>
    </row>
    <row r="2364" spans="12:13">
      <c r="L2364" s="65">
        <v>482231</v>
      </c>
      <c r="M2364" t="s">
        <v>1131</v>
      </c>
    </row>
    <row r="2365" spans="12:13">
      <c r="L2365" s="65">
        <v>482240</v>
      </c>
      <c r="M2365" t="s">
        <v>1132</v>
      </c>
    </row>
    <row r="2366" spans="12:13">
      <c r="L2366" s="65">
        <v>482241</v>
      </c>
      <c r="M2366" t="s">
        <v>1132</v>
      </c>
    </row>
    <row r="2367" spans="12:13">
      <c r="L2367" s="65">
        <v>482250</v>
      </c>
      <c r="M2367" t="s">
        <v>1133</v>
      </c>
    </row>
    <row r="2368" spans="12:13">
      <c r="L2368" s="65">
        <v>482251</v>
      </c>
      <c r="M2368" t="s">
        <v>1133</v>
      </c>
    </row>
    <row r="2369" spans="12:13">
      <c r="L2369" s="65">
        <v>482300</v>
      </c>
      <c r="M2369" t="s">
        <v>1936</v>
      </c>
    </row>
    <row r="2370" spans="12:13">
      <c r="L2370" s="65">
        <v>482310</v>
      </c>
      <c r="M2370" t="s">
        <v>1937</v>
      </c>
    </row>
    <row r="2371" spans="12:13">
      <c r="L2371" s="65">
        <v>482311</v>
      </c>
      <c r="M2371" t="s">
        <v>1135</v>
      </c>
    </row>
    <row r="2372" spans="12:13">
      <c r="L2372" s="65">
        <v>482312</v>
      </c>
      <c r="M2372" t="s">
        <v>1938</v>
      </c>
    </row>
    <row r="2373" spans="12:13">
      <c r="L2373" s="65">
        <v>482320</v>
      </c>
      <c r="M2373" t="s">
        <v>1136</v>
      </c>
    </row>
    <row r="2374" spans="12:13">
      <c r="L2374" s="65">
        <v>482321</v>
      </c>
      <c r="M2374" t="s">
        <v>1136</v>
      </c>
    </row>
    <row r="2375" spans="12:13">
      <c r="L2375" s="65">
        <v>482330</v>
      </c>
      <c r="M2375" t="s">
        <v>1137</v>
      </c>
    </row>
    <row r="2376" spans="12:13">
      <c r="L2376" s="65">
        <v>482331</v>
      </c>
      <c r="M2376" t="s">
        <v>1137</v>
      </c>
    </row>
    <row r="2377" spans="12:13">
      <c r="L2377" s="65">
        <v>482340</v>
      </c>
      <c r="M2377" t="s">
        <v>1138</v>
      </c>
    </row>
    <row r="2378" spans="12:13">
      <c r="L2378" s="65">
        <v>482341</v>
      </c>
      <c r="M2378" t="s">
        <v>1138</v>
      </c>
    </row>
    <row r="2379" spans="12:13">
      <c r="L2379" s="65">
        <v>483000</v>
      </c>
      <c r="M2379" t="s">
        <v>1939</v>
      </c>
    </row>
    <row r="2380" spans="12:13">
      <c r="L2380" s="65">
        <v>483100</v>
      </c>
      <c r="M2380" t="s">
        <v>1939</v>
      </c>
    </row>
    <row r="2381" spans="12:13">
      <c r="L2381" s="65">
        <v>483110</v>
      </c>
      <c r="M2381" t="s">
        <v>1939</v>
      </c>
    </row>
    <row r="2382" spans="12:13">
      <c r="L2382" s="65">
        <v>483111</v>
      </c>
      <c r="M2382" t="s">
        <v>1939</v>
      </c>
    </row>
    <row r="2383" spans="12:13">
      <c r="L2383" s="65">
        <v>484000</v>
      </c>
      <c r="M2383" t="s">
        <v>1940</v>
      </c>
    </row>
    <row r="2384" spans="12:13">
      <c r="L2384" s="65">
        <v>484100</v>
      </c>
      <c r="M2384" t="s">
        <v>1941</v>
      </c>
    </row>
    <row r="2385" spans="12:13">
      <c r="L2385" s="65">
        <v>484110</v>
      </c>
      <c r="M2385" t="s">
        <v>1941</v>
      </c>
    </row>
    <row r="2386" spans="12:13">
      <c r="L2386" s="65">
        <v>484111</v>
      </c>
      <c r="M2386" t="s">
        <v>1941</v>
      </c>
    </row>
    <row r="2387" spans="12:13">
      <c r="L2387" s="65">
        <v>484200</v>
      </c>
      <c r="M2387" t="s">
        <v>1942</v>
      </c>
    </row>
    <row r="2388" spans="12:13">
      <c r="L2388" s="65">
        <v>484210</v>
      </c>
      <c r="M2388" t="s">
        <v>1942</v>
      </c>
    </row>
    <row r="2389" spans="12:13">
      <c r="L2389" s="65">
        <v>484211</v>
      </c>
      <c r="M2389" t="s">
        <v>1942</v>
      </c>
    </row>
    <row r="2390" spans="12:13">
      <c r="L2390" s="65">
        <v>485000</v>
      </c>
      <c r="M2390" t="s">
        <v>1943</v>
      </c>
    </row>
    <row r="2391" spans="12:13">
      <c r="L2391" s="65">
        <v>485100</v>
      </c>
      <c r="M2391" t="s">
        <v>1943</v>
      </c>
    </row>
    <row r="2392" spans="12:13">
      <c r="L2392" s="65">
        <v>485110</v>
      </c>
      <c r="M2392" t="s">
        <v>1943</v>
      </c>
    </row>
    <row r="2393" spans="12:13">
      <c r="L2393" s="65">
        <v>485111</v>
      </c>
      <c r="M2393" t="s">
        <v>1944</v>
      </c>
    </row>
    <row r="2394" spans="12:13">
      <c r="L2394" s="65">
        <v>485119</v>
      </c>
      <c r="M2394" t="s">
        <v>1945</v>
      </c>
    </row>
    <row r="2395" spans="12:13">
      <c r="L2395" s="65">
        <v>489000</v>
      </c>
      <c r="M2395" t="s">
        <v>1946</v>
      </c>
    </row>
    <row r="2396" spans="12:13">
      <c r="L2396" s="65">
        <v>489100</v>
      </c>
      <c r="M2396" t="s">
        <v>1946</v>
      </c>
    </row>
    <row r="2397" spans="12:13">
      <c r="L2397" s="65">
        <v>489110</v>
      </c>
      <c r="M2397" t="s">
        <v>1946</v>
      </c>
    </row>
    <row r="2398" spans="12:13">
      <c r="L2398" s="65">
        <v>489111</v>
      </c>
      <c r="M2398" t="s">
        <v>1946</v>
      </c>
    </row>
    <row r="2399" spans="12:13">
      <c r="L2399" s="65">
        <v>490000</v>
      </c>
      <c r="M2399" t="s">
        <v>1947</v>
      </c>
    </row>
    <row r="2400" spans="12:13">
      <c r="L2400" s="65">
        <v>494000</v>
      </c>
      <c r="M2400" t="s">
        <v>1265</v>
      </c>
    </row>
    <row r="2401" spans="12:13">
      <c r="L2401" s="65">
        <v>494100</v>
      </c>
      <c r="M2401" t="s">
        <v>1266</v>
      </c>
    </row>
    <row r="2402" spans="12:13">
      <c r="L2402" s="65">
        <v>494110</v>
      </c>
      <c r="M2402" t="s">
        <v>1268</v>
      </c>
    </row>
    <row r="2403" spans="12:13">
      <c r="L2403" s="65">
        <v>494111</v>
      </c>
      <c r="M2403" t="s">
        <v>1268</v>
      </c>
    </row>
    <row r="2404" spans="12:13">
      <c r="L2404" s="65">
        <v>494120</v>
      </c>
      <c r="M2404" t="s">
        <v>1287</v>
      </c>
    </row>
    <row r="2405" spans="12:13">
      <c r="L2405" s="65">
        <v>494121</v>
      </c>
      <c r="M2405" t="s">
        <v>1288</v>
      </c>
    </row>
    <row r="2406" spans="12:13">
      <c r="L2406" s="65">
        <v>494122</v>
      </c>
      <c r="M2406" t="s">
        <v>1291</v>
      </c>
    </row>
    <row r="2407" spans="12:13">
      <c r="L2407" s="65">
        <v>494123</v>
      </c>
      <c r="M2407" t="s">
        <v>1948</v>
      </c>
    </row>
    <row r="2408" spans="12:13">
      <c r="L2408" s="65">
        <v>494130</v>
      </c>
      <c r="M2408" t="s">
        <v>1294</v>
      </c>
    </row>
    <row r="2409" spans="12:13">
      <c r="L2409" s="65">
        <v>494131</v>
      </c>
      <c r="M2409" t="s">
        <v>1294</v>
      </c>
    </row>
    <row r="2410" spans="12:13">
      <c r="L2410" s="65">
        <v>494140</v>
      </c>
      <c r="M2410" t="s">
        <v>1309</v>
      </c>
    </row>
    <row r="2411" spans="12:13">
      <c r="L2411" s="65">
        <v>494141</v>
      </c>
      <c r="M2411" t="s">
        <v>1949</v>
      </c>
    </row>
    <row r="2412" spans="12:13">
      <c r="L2412" s="65">
        <v>494142</v>
      </c>
      <c r="M2412" t="s">
        <v>1314</v>
      </c>
    </row>
    <row r="2413" spans="12:13">
      <c r="L2413" s="65">
        <v>494143</v>
      </c>
      <c r="M2413" t="s">
        <v>1315</v>
      </c>
    </row>
    <row r="2414" spans="12:13">
      <c r="L2414" s="65">
        <v>494144</v>
      </c>
      <c r="M2414" t="s">
        <v>1319</v>
      </c>
    </row>
    <row r="2415" spans="12:13">
      <c r="L2415" s="65">
        <v>494150</v>
      </c>
      <c r="M2415" t="s">
        <v>1323</v>
      </c>
    </row>
    <row r="2416" spans="12:13">
      <c r="L2416" s="65">
        <v>494151</v>
      </c>
      <c r="M2416" t="s">
        <v>1323</v>
      </c>
    </row>
    <row r="2417" spans="12:13">
      <c r="L2417" s="65">
        <v>494160</v>
      </c>
      <c r="M2417" t="s">
        <v>1329</v>
      </c>
    </row>
    <row r="2418" spans="12:13">
      <c r="L2418" s="65">
        <v>494161</v>
      </c>
      <c r="M2418" t="s">
        <v>1329</v>
      </c>
    </row>
    <row r="2419" spans="12:13">
      <c r="L2419" s="65">
        <v>494170</v>
      </c>
      <c r="M2419" t="s">
        <v>1339</v>
      </c>
    </row>
    <row r="2420" spans="12:13">
      <c r="L2420" s="65">
        <v>494171</v>
      </c>
      <c r="M2420" t="s">
        <v>1339</v>
      </c>
    </row>
    <row r="2421" spans="12:13">
      <c r="L2421" s="65">
        <v>494180</v>
      </c>
      <c r="M2421" t="s">
        <v>1340</v>
      </c>
    </row>
    <row r="2422" spans="12:13">
      <c r="L2422" s="65">
        <v>494181</v>
      </c>
      <c r="M2422" t="s">
        <v>1340</v>
      </c>
    </row>
    <row r="2423" spans="12:13">
      <c r="L2423" s="65">
        <v>494200</v>
      </c>
      <c r="M2423" t="s">
        <v>1341</v>
      </c>
    </row>
    <row r="2424" spans="12:13">
      <c r="L2424" s="65">
        <v>494210</v>
      </c>
      <c r="M2424" t="s">
        <v>1342</v>
      </c>
    </row>
    <row r="2425" spans="12:13">
      <c r="L2425" s="65">
        <v>494211</v>
      </c>
      <c r="M2425" t="s">
        <v>1343</v>
      </c>
    </row>
    <row r="2426" spans="12:13">
      <c r="L2426" s="65">
        <v>494212</v>
      </c>
      <c r="M2426" t="s">
        <v>1346</v>
      </c>
    </row>
    <row r="2427" spans="12:13">
      <c r="L2427" s="65">
        <v>494213</v>
      </c>
      <c r="M2427" t="s">
        <v>1354</v>
      </c>
    </row>
    <row r="2428" spans="12:13">
      <c r="L2428" s="65">
        <v>494214</v>
      </c>
      <c r="M2428" t="s">
        <v>1365</v>
      </c>
    </row>
    <row r="2429" spans="12:13">
      <c r="L2429" s="65">
        <v>494215</v>
      </c>
      <c r="M2429" t="s">
        <v>1376</v>
      </c>
    </row>
    <row r="2430" spans="12:13">
      <c r="L2430" s="65">
        <v>494216</v>
      </c>
      <c r="M2430" t="s">
        <v>1386</v>
      </c>
    </row>
    <row r="2431" spans="12:13">
      <c r="L2431" s="65">
        <v>494219</v>
      </c>
      <c r="M2431" t="s">
        <v>1401</v>
      </c>
    </row>
    <row r="2432" spans="12:13">
      <c r="L2432" s="65">
        <v>494220</v>
      </c>
      <c r="M2432" t="s">
        <v>1404</v>
      </c>
    </row>
    <row r="2433" spans="12:13">
      <c r="L2433" s="65">
        <v>494221</v>
      </c>
      <c r="M2433" t="s">
        <v>1405</v>
      </c>
    </row>
    <row r="2434" spans="12:13">
      <c r="L2434" s="65">
        <v>494222</v>
      </c>
      <c r="M2434" t="s">
        <v>1415</v>
      </c>
    </row>
    <row r="2435" spans="12:13">
      <c r="L2435" s="65">
        <v>494223</v>
      </c>
      <c r="M2435" t="s">
        <v>1421</v>
      </c>
    </row>
    <row r="2436" spans="12:13">
      <c r="L2436" s="65">
        <v>494224</v>
      </c>
      <c r="M2436" t="s">
        <v>1430</v>
      </c>
    </row>
    <row r="2437" spans="12:13">
      <c r="L2437" s="65">
        <v>494229</v>
      </c>
      <c r="M2437" t="s">
        <v>1433</v>
      </c>
    </row>
    <row r="2438" spans="12:13">
      <c r="L2438" s="65">
        <v>494230</v>
      </c>
      <c r="M2438" t="s">
        <v>1435</v>
      </c>
    </row>
    <row r="2439" spans="12:13">
      <c r="L2439" s="65">
        <v>494231</v>
      </c>
      <c r="M2439" t="s">
        <v>1436</v>
      </c>
    </row>
    <row r="2440" spans="12:13">
      <c r="L2440" s="65">
        <v>494232</v>
      </c>
      <c r="M2440" t="s">
        <v>1441</v>
      </c>
    </row>
    <row r="2441" spans="12:13">
      <c r="L2441" s="65">
        <v>494233</v>
      </c>
      <c r="M2441" t="s">
        <v>1447</v>
      </c>
    </row>
    <row r="2442" spans="12:13">
      <c r="L2442" s="65">
        <v>494234</v>
      </c>
      <c r="M2442" t="s">
        <v>1455</v>
      </c>
    </row>
    <row r="2443" spans="12:13">
      <c r="L2443" s="65">
        <v>494235</v>
      </c>
      <c r="M2443" t="s">
        <v>1470</v>
      </c>
    </row>
    <row r="2444" spans="12:13">
      <c r="L2444" s="65">
        <v>494236</v>
      </c>
      <c r="M2444" t="s">
        <v>1483</v>
      </c>
    </row>
    <row r="2445" spans="12:13">
      <c r="L2445" s="65">
        <v>494237</v>
      </c>
      <c r="M2445" t="s">
        <v>1488</v>
      </c>
    </row>
    <row r="2446" spans="12:13">
      <c r="L2446" s="65">
        <v>494239</v>
      </c>
      <c r="M2446" t="s">
        <v>1490</v>
      </c>
    </row>
    <row r="2447" spans="12:13">
      <c r="L2447" s="65">
        <v>494240</v>
      </c>
      <c r="M2447" t="s">
        <v>1491</v>
      </c>
    </row>
    <row r="2448" spans="12:13">
      <c r="L2448" s="65">
        <v>494241</v>
      </c>
      <c r="M2448" t="s">
        <v>1492</v>
      </c>
    </row>
    <row r="2449" spans="12:13">
      <c r="L2449" s="65">
        <v>494242</v>
      </c>
      <c r="M2449" t="s">
        <v>1498</v>
      </c>
    </row>
    <row r="2450" spans="12:13">
      <c r="L2450" s="65">
        <v>494243</v>
      </c>
      <c r="M2450" t="s">
        <v>1504</v>
      </c>
    </row>
    <row r="2451" spans="12:13">
      <c r="L2451" s="65">
        <v>494244</v>
      </c>
      <c r="M2451" t="s">
        <v>1510</v>
      </c>
    </row>
    <row r="2452" spans="12:13">
      <c r="L2452" s="65">
        <v>494245</v>
      </c>
      <c r="M2452" t="s">
        <v>1511</v>
      </c>
    </row>
    <row r="2453" spans="12:13">
      <c r="L2453" s="65">
        <v>494246</v>
      </c>
      <c r="M2453" t="s">
        <v>1512</v>
      </c>
    </row>
    <row r="2454" spans="12:13">
      <c r="L2454" s="65">
        <v>494249</v>
      </c>
      <c r="M2454" t="s">
        <v>1516</v>
      </c>
    </row>
    <row r="2455" spans="12:13">
      <c r="L2455" s="65">
        <v>494250</v>
      </c>
      <c r="M2455" t="s">
        <v>1517</v>
      </c>
    </row>
    <row r="2456" spans="12:13">
      <c r="L2456" s="65">
        <v>494251</v>
      </c>
      <c r="M2456" t="s">
        <v>1518</v>
      </c>
    </row>
    <row r="2457" spans="12:13">
      <c r="L2457" s="65">
        <v>494252</v>
      </c>
      <c r="M2457" t="s">
        <v>1529</v>
      </c>
    </row>
    <row r="2458" spans="12:13">
      <c r="L2458" s="65">
        <v>494260</v>
      </c>
      <c r="M2458" t="s">
        <v>1556</v>
      </c>
    </row>
    <row r="2459" spans="12:13">
      <c r="L2459" s="65">
        <v>494261</v>
      </c>
      <c r="M2459" t="s">
        <v>1557</v>
      </c>
    </row>
    <row r="2460" spans="12:13">
      <c r="L2460" s="65">
        <v>494262</v>
      </c>
      <c r="M2460" t="s">
        <v>1950</v>
      </c>
    </row>
    <row r="2461" spans="12:13">
      <c r="L2461" s="65">
        <v>494263</v>
      </c>
      <c r="M2461" t="s">
        <v>1951</v>
      </c>
    </row>
    <row r="2462" spans="12:13">
      <c r="L2462" s="65">
        <v>494264</v>
      </c>
      <c r="M2462" t="s">
        <v>1952</v>
      </c>
    </row>
    <row r="2463" spans="12:13">
      <c r="L2463" s="65">
        <v>494265</v>
      </c>
      <c r="M2463" t="s">
        <v>1953</v>
      </c>
    </row>
    <row r="2464" spans="12:13">
      <c r="L2464" s="65">
        <v>494266</v>
      </c>
      <c r="M2464" t="s">
        <v>1954</v>
      </c>
    </row>
    <row r="2465" spans="12:13">
      <c r="L2465" s="65">
        <v>494267</v>
      </c>
      <c r="M2465" t="s">
        <v>1596</v>
      </c>
    </row>
    <row r="2466" spans="12:13">
      <c r="L2466" s="65">
        <v>494268</v>
      </c>
      <c r="M2466" t="s">
        <v>1955</v>
      </c>
    </row>
    <row r="2467" spans="12:13">
      <c r="L2467" s="65">
        <v>494269</v>
      </c>
      <c r="M2467" t="s">
        <v>1956</v>
      </c>
    </row>
    <row r="2468" spans="12:13">
      <c r="L2468" s="65">
        <v>494300</v>
      </c>
      <c r="M2468" t="s">
        <v>1620</v>
      </c>
    </row>
    <row r="2469" spans="12:13">
      <c r="L2469" s="65">
        <v>494310</v>
      </c>
      <c r="M2469" t="s">
        <v>1621</v>
      </c>
    </row>
    <row r="2470" spans="12:13">
      <c r="L2470" s="65">
        <v>494311</v>
      </c>
      <c r="M2470" t="s">
        <v>1622</v>
      </c>
    </row>
    <row r="2471" spans="12:13">
      <c r="L2471" s="65">
        <v>494312</v>
      </c>
      <c r="M2471" t="s">
        <v>1623</v>
      </c>
    </row>
    <row r="2472" spans="12:13">
      <c r="L2472" s="65">
        <v>494313</v>
      </c>
      <c r="M2472" t="s">
        <v>1624</v>
      </c>
    </row>
    <row r="2473" spans="12:13">
      <c r="L2473" s="65">
        <v>494320</v>
      </c>
      <c r="M2473" t="s">
        <v>1625</v>
      </c>
    </row>
    <row r="2474" spans="12:13">
      <c r="L2474" s="65">
        <v>494321</v>
      </c>
      <c r="M2474" t="s">
        <v>1625</v>
      </c>
    </row>
    <row r="2475" spans="12:13">
      <c r="L2475" s="65">
        <v>494330</v>
      </c>
      <c r="M2475" t="s">
        <v>1627</v>
      </c>
    </row>
    <row r="2476" spans="12:13">
      <c r="L2476" s="65">
        <v>494331</v>
      </c>
      <c r="M2476" t="s">
        <v>1628</v>
      </c>
    </row>
    <row r="2477" spans="12:13">
      <c r="L2477" s="65">
        <v>494340</v>
      </c>
      <c r="M2477" t="s">
        <v>1629</v>
      </c>
    </row>
    <row r="2478" spans="12:13">
      <c r="L2478" s="65">
        <v>494341</v>
      </c>
      <c r="M2478" t="s">
        <v>1630</v>
      </c>
    </row>
    <row r="2479" spans="12:13">
      <c r="L2479" s="65">
        <v>494342</v>
      </c>
      <c r="M2479" t="s">
        <v>1631</v>
      </c>
    </row>
    <row r="2480" spans="12:13">
      <c r="L2480" s="65">
        <v>494343</v>
      </c>
      <c r="M2480" t="s">
        <v>1632</v>
      </c>
    </row>
    <row r="2481" spans="12:13">
      <c r="L2481" s="65">
        <v>494350</v>
      </c>
      <c r="M2481" t="s">
        <v>1635</v>
      </c>
    </row>
    <row r="2482" spans="12:13">
      <c r="L2482" s="65">
        <v>494351</v>
      </c>
      <c r="M2482" t="s">
        <v>1635</v>
      </c>
    </row>
    <row r="2483" spans="12:13">
      <c r="L2483" s="65">
        <v>494400</v>
      </c>
      <c r="M2483" t="s">
        <v>1636</v>
      </c>
    </row>
    <row r="2484" spans="12:13">
      <c r="L2484" s="65">
        <v>494410</v>
      </c>
      <c r="M2484" t="s">
        <v>1957</v>
      </c>
    </row>
    <row r="2485" spans="12:13">
      <c r="L2485" s="65">
        <v>494411</v>
      </c>
      <c r="M2485" t="s">
        <v>1638</v>
      </c>
    </row>
    <row r="2486" spans="12:13">
      <c r="L2486" s="65">
        <v>494412</v>
      </c>
      <c r="M2486" t="s">
        <v>1641</v>
      </c>
    </row>
    <row r="2487" spans="12:13">
      <c r="L2487" s="65">
        <v>494413</v>
      </c>
      <c r="M2487" t="s">
        <v>1650</v>
      </c>
    </row>
    <row r="2488" spans="12:13">
      <c r="L2488" s="65">
        <v>494414</v>
      </c>
      <c r="M2488" t="s">
        <v>1958</v>
      </c>
    </row>
    <row r="2489" spans="12:13">
      <c r="L2489" s="65">
        <v>494415</v>
      </c>
      <c r="M2489" t="s">
        <v>1959</v>
      </c>
    </row>
    <row r="2490" spans="12:13">
      <c r="L2490" s="65">
        <v>494416</v>
      </c>
      <c r="M2490" t="s">
        <v>1960</v>
      </c>
    </row>
    <row r="2491" spans="12:13">
      <c r="L2491" s="65">
        <v>494417</v>
      </c>
      <c r="M2491" t="s">
        <v>1656</v>
      </c>
    </row>
    <row r="2492" spans="12:13">
      <c r="L2492" s="65">
        <v>494418</v>
      </c>
      <c r="M2492" t="s">
        <v>1961</v>
      </c>
    </row>
    <row r="2493" spans="12:13">
      <c r="L2493" s="65">
        <v>494420</v>
      </c>
      <c r="M2493" t="s">
        <v>1660</v>
      </c>
    </row>
    <row r="2494" spans="12:13">
      <c r="L2494" s="65">
        <v>494421</v>
      </c>
      <c r="M2494" t="s">
        <v>1661</v>
      </c>
    </row>
    <row r="2495" spans="12:13">
      <c r="L2495" s="65">
        <v>494422</v>
      </c>
      <c r="M2495" t="s">
        <v>1665</v>
      </c>
    </row>
    <row r="2496" spans="12:13">
      <c r="L2496" s="65">
        <v>494423</v>
      </c>
      <c r="M2496" t="s">
        <v>1669</v>
      </c>
    </row>
    <row r="2497" spans="12:13">
      <c r="L2497" s="65">
        <v>494424</v>
      </c>
      <c r="M2497" t="s">
        <v>1676</v>
      </c>
    </row>
    <row r="2498" spans="12:13">
      <c r="L2498" s="65">
        <v>494425</v>
      </c>
      <c r="M2498" t="s">
        <v>1679</v>
      </c>
    </row>
    <row r="2499" spans="12:13">
      <c r="L2499" s="65">
        <v>494426</v>
      </c>
      <c r="M2499" t="s">
        <v>1680</v>
      </c>
    </row>
    <row r="2500" spans="12:13">
      <c r="L2500" s="65">
        <v>494430</v>
      </c>
      <c r="M2500" t="s">
        <v>1681</v>
      </c>
    </row>
    <row r="2501" spans="12:13">
      <c r="L2501" s="65">
        <v>494431</v>
      </c>
      <c r="M2501" t="s">
        <v>1681</v>
      </c>
    </row>
    <row r="2502" spans="12:13">
      <c r="L2502" s="65">
        <v>494440</v>
      </c>
      <c r="M2502" t="s">
        <v>1682</v>
      </c>
    </row>
    <row r="2503" spans="12:13">
      <c r="L2503" s="65">
        <v>494441</v>
      </c>
      <c r="M2503" t="s">
        <v>1683</v>
      </c>
    </row>
    <row r="2504" spans="12:13">
      <c r="L2504" s="65">
        <v>494442</v>
      </c>
      <c r="M2504" t="s">
        <v>1684</v>
      </c>
    </row>
    <row r="2505" spans="12:13">
      <c r="L2505" s="65">
        <v>494443</v>
      </c>
      <c r="M2505" t="s">
        <v>1687</v>
      </c>
    </row>
    <row r="2506" spans="12:13">
      <c r="L2506" s="65">
        <v>494500</v>
      </c>
      <c r="M2506" t="s">
        <v>1688</v>
      </c>
    </row>
    <row r="2507" spans="12:13">
      <c r="L2507" s="65">
        <v>494510</v>
      </c>
      <c r="M2507" t="s">
        <v>1689</v>
      </c>
    </row>
    <row r="2508" spans="12:13">
      <c r="L2508" s="65">
        <v>494511</v>
      </c>
      <c r="M2508" t="s">
        <v>1690</v>
      </c>
    </row>
    <row r="2509" spans="12:13">
      <c r="L2509" s="65">
        <v>494512</v>
      </c>
      <c r="M2509" t="s">
        <v>1699</v>
      </c>
    </row>
    <row r="2510" spans="12:13">
      <c r="L2510" s="65">
        <v>494520</v>
      </c>
      <c r="M2510" t="s">
        <v>1706</v>
      </c>
    </row>
    <row r="2511" spans="12:13">
      <c r="L2511" s="65">
        <v>494521</v>
      </c>
      <c r="M2511" t="s">
        <v>1707</v>
      </c>
    </row>
    <row r="2512" spans="12:13">
      <c r="L2512" s="65">
        <v>494522</v>
      </c>
      <c r="M2512" t="s">
        <v>1710</v>
      </c>
    </row>
    <row r="2513" spans="12:13">
      <c r="L2513" s="65">
        <v>494530</v>
      </c>
      <c r="M2513" t="s">
        <v>1713</v>
      </c>
    </row>
    <row r="2514" spans="12:13">
      <c r="L2514" s="65">
        <v>494531</v>
      </c>
      <c r="M2514" t="s">
        <v>1714</v>
      </c>
    </row>
    <row r="2515" spans="12:13">
      <c r="L2515" s="65">
        <v>494532</v>
      </c>
      <c r="M2515" t="s">
        <v>1718</v>
      </c>
    </row>
    <row r="2516" spans="12:13">
      <c r="L2516" s="65">
        <v>494540</v>
      </c>
      <c r="M2516" t="s">
        <v>1721</v>
      </c>
    </row>
    <row r="2517" spans="12:13">
      <c r="L2517" s="65">
        <v>494541</v>
      </c>
      <c r="M2517" t="s">
        <v>1722</v>
      </c>
    </row>
    <row r="2518" spans="12:13">
      <c r="L2518" s="65">
        <v>494542</v>
      </c>
      <c r="M2518" t="s">
        <v>1723</v>
      </c>
    </row>
    <row r="2519" spans="12:13">
      <c r="L2519" s="65">
        <v>494700</v>
      </c>
      <c r="M2519" t="s">
        <v>1962</v>
      </c>
    </row>
    <row r="2520" spans="12:13">
      <c r="L2520" s="65">
        <v>494710</v>
      </c>
      <c r="M2520" t="s">
        <v>1779</v>
      </c>
    </row>
    <row r="2521" spans="12:13">
      <c r="L2521" s="65">
        <v>494711</v>
      </c>
      <c r="M2521" t="s">
        <v>1780</v>
      </c>
    </row>
    <row r="2522" spans="12:13">
      <c r="L2522" s="65">
        <v>494712</v>
      </c>
      <c r="M2522" t="s">
        <v>1815</v>
      </c>
    </row>
    <row r="2523" spans="12:13">
      <c r="L2523" s="65">
        <v>494719</v>
      </c>
      <c r="M2523" t="s">
        <v>1848</v>
      </c>
    </row>
    <row r="2524" spans="12:13">
      <c r="L2524" s="65">
        <v>494720</v>
      </c>
      <c r="M2524" t="s">
        <v>1864</v>
      </c>
    </row>
    <row r="2525" spans="12:13">
      <c r="L2525" s="65">
        <v>494721</v>
      </c>
      <c r="M2525" t="s">
        <v>1865</v>
      </c>
    </row>
    <row r="2526" spans="12:13">
      <c r="L2526" s="65">
        <v>494722</v>
      </c>
      <c r="M2526" t="s">
        <v>1871</v>
      </c>
    </row>
    <row r="2527" spans="12:13">
      <c r="L2527" s="65">
        <v>494723</v>
      </c>
      <c r="M2527" t="s">
        <v>1872</v>
      </c>
    </row>
    <row r="2528" spans="12:13">
      <c r="L2528" s="65">
        <v>494724</v>
      </c>
      <c r="M2528" t="s">
        <v>1963</v>
      </c>
    </row>
    <row r="2529" spans="12:13">
      <c r="L2529" s="65">
        <v>494725</v>
      </c>
      <c r="M2529" t="s">
        <v>1874</v>
      </c>
    </row>
    <row r="2530" spans="12:13">
      <c r="L2530" s="65">
        <v>494726</v>
      </c>
      <c r="M2530" t="s">
        <v>1877</v>
      </c>
    </row>
    <row r="2531" spans="12:13">
      <c r="L2531" s="65">
        <v>494727</v>
      </c>
      <c r="M2531" t="s">
        <v>1878</v>
      </c>
    </row>
    <row r="2532" spans="12:13">
      <c r="L2532" s="65">
        <v>494728</v>
      </c>
      <c r="M2532" t="s">
        <v>1894</v>
      </c>
    </row>
    <row r="2533" spans="12:13">
      <c r="L2533" s="65">
        <v>494729</v>
      </c>
      <c r="M2533" t="s">
        <v>1964</v>
      </c>
    </row>
    <row r="2534" spans="12:13">
      <c r="L2534" s="65">
        <v>494800</v>
      </c>
      <c r="M2534" t="s">
        <v>1900</v>
      </c>
    </row>
    <row r="2535" spans="12:13">
      <c r="L2535" s="65">
        <v>494810</v>
      </c>
      <c r="M2535" t="s">
        <v>1901</v>
      </c>
    </row>
    <row r="2536" spans="12:13">
      <c r="L2536" s="65">
        <v>494811</v>
      </c>
      <c r="M2536" t="s">
        <v>1902</v>
      </c>
    </row>
    <row r="2537" spans="12:13">
      <c r="L2537" s="65">
        <v>494819</v>
      </c>
      <c r="M2537" t="s">
        <v>1909</v>
      </c>
    </row>
    <row r="2538" spans="12:13">
      <c r="L2538" s="65">
        <v>494820</v>
      </c>
      <c r="M2538" t="s">
        <v>1965</v>
      </c>
    </row>
    <row r="2539" spans="12:13">
      <c r="L2539" s="65">
        <v>494821</v>
      </c>
      <c r="M2539" t="s">
        <v>1922</v>
      </c>
    </row>
    <row r="2540" spans="12:13">
      <c r="L2540" s="65">
        <v>494822</v>
      </c>
      <c r="M2540" t="s">
        <v>1935</v>
      </c>
    </row>
    <row r="2541" spans="12:13">
      <c r="L2541" s="65">
        <v>494823</v>
      </c>
      <c r="M2541" t="s">
        <v>1936</v>
      </c>
    </row>
    <row r="2542" spans="12:13">
      <c r="L2542" s="65">
        <v>494830</v>
      </c>
      <c r="M2542" t="s">
        <v>1939</v>
      </c>
    </row>
    <row r="2543" spans="12:13">
      <c r="L2543" s="65">
        <v>494831</v>
      </c>
      <c r="M2543" t="s">
        <v>1939</v>
      </c>
    </row>
    <row r="2544" spans="12:13">
      <c r="L2544" s="65">
        <v>494840</v>
      </c>
      <c r="M2544" t="s">
        <v>1940</v>
      </c>
    </row>
    <row r="2545" spans="12:13">
      <c r="L2545" s="65">
        <v>494841</v>
      </c>
      <c r="M2545" t="s">
        <v>1941</v>
      </c>
    </row>
    <row r="2546" spans="12:13">
      <c r="L2546" s="65">
        <v>494842</v>
      </c>
      <c r="M2546" t="s">
        <v>1942</v>
      </c>
    </row>
    <row r="2547" spans="12:13">
      <c r="L2547" s="65">
        <v>494850</v>
      </c>
      <c r="M2547" t="s">
        <v>1943</v>
      </c>
    </row>
    <row r="2548" spans="12:13">
      <c r="L2548" s="65">
        <v>494851</v>
      </c>
      <c r="M2548" t="s">
        <v>1943</v>
      </c>
    </row>
    <row r="2549" spans="12:13">
      <c r="L2549" s="65">
        <v>495000</v>
      </c>
      <c r="M2549" t="s">
        <v>1966</v>
      </c>
    </row>
    <row r="2550" spans="12:13">
      <c r="L2550" s="65">
        <v>495100</v>
      </c>
      <c r="M2550" t="s">
        <v>1200</v>
      </c>
    </row>
    <row r="2551" spans="12:13">
      <c r="L2551" s="65">
        <v>495110</v>
      </c>
      <c r="M2551" t="s">
        <v>268</v>
      </c>
    </row>
    <row r="2552" spans="12:13">
      <c r="L2552" s="65">
        <v>495111</v>
      </c>
      <c r="M2552" t="s">
        <v>1967</v>
      </c>
    </row>
    <row r="2553" spans="12:13">
      <c r="L2553" s="65">
        <v>495112</v>
      </c>
      <c r="M2553" t="s">
        <v>1968</v>
      </c>
    </row>
    <row r="2554" spans="12:13">
      <c r="L2554" s="65">
        <v>495113</v>
      </c>
      <c r="M2554" t="s">
        <v>1969</v>
      </c>
    </row>
    <row r="2555" spans="12:13">
      <c r="L2555" s="65">
        <v>495114</v>
      </c>
      <c r="M2555" t="s">
        <v>1970</v>
      </c>
    </row>
    <row r="2556" spans="12:13">
      <c r="L2556" s="65">
        <v>495120</v>
      </c>
      <c r="M2556" t="s">
        <v>1971</v>
      </c>
    </row>
    <row r="2557" spans="12:13">
      <c r="L2557" s="65">
        <v>495121</v>
      </c>
      <c r="M2557" t="s">
        <v>325</v>
      </c>
    </row>
    <row r="2558" spans="12:13">
      <c r="L2558" s="65">
        <v>495122</v>
      </c>
      <c r="M2558" t="s">
        <v>334</v>
      </c>
    </row>
    <row r="2559" spans="12:13">
      <c r="L2559" s="65">
        <v>495123</v>
      </c>
      <c r="M2559" t="s">
        <v>344</v>
      </c>
    </row>
    <row r="2560" spans="12:13">
      <c r="L2560" s="65">
        <v>495124</v>
      </c>
      <c r="M2560" t="s">
        <v>349</v>
      </c>
    </row>
    <row r="2561" spans="12:13">
      <c r="L2561" s="65">
        <v>495125</v>
      </c>
      <c r="M2561" t="s">
        <v>354</v>
      </c>
    </row>
    <row r="2562" spans="12:13">
      <c r="L2562" s="65">
        <v>495126</v>
      </c>
      <c r="M2562" t="s">
        <v>363</v>
      </c>
    </row>
    <row r="2563" spans="12:13">
      <c r="L2563" s="65">
        <v>495127</v>
      </c>
      <c r="M2563" t="s">
        <v>372</v>
      </c>
    </row>
    <row r="2564" spans="12:13">
      <c r="L2564" s="65">
        <v>495128</v>
      </c>
      <c r="M2564" t="s">
        <v>377</v>
      </c>
    </row>
    <row r="2565" spans="12:13">
      <c r="L2565" s="65">
        <v>495129</v>
      </c>
      <c r="M2565" t="s">
        <v>382</v>
      </c>
    </row>
    <row r="2566" spans="12:13">
      <c r="L2566" s="65">
        <v>495130</v>
      </c>
      <c r="M2566" t="s">
        <v>391</v>
      </c>
    </row>
    <row r="2567" spans="12:13">
      <c r="L2567" s="65">
        <v>495131</v>
      </c>
      <c r="M2567" t="s">
        <v>391</v>
      </c>
    </row>
    <row r="2568" spans="12:13">
      <c r="L2568" s="65">
        <v>495140</v>
      </c>
      <c r="M2568" t="s">
        <v>396</v>
      </c>
    </row>
    <row r="2569" spans="12:13">
      <c r="L2569" s="65">
        <v>495141</v>
      </c>
      <c r="M2569" t="s">
        <v>396</v>
      </c>
    </row>
    <row r="2570" spans="12:13">
      <c r="L2570" s="65">
        <v>495150</v>
      </c>
      <c r="M2570" t="s">
        <v>488</v>
      </c>
    </row>
    <row r="2571" spans="12:13">
      <c r="L2571" s="65">
        <v>495151</v>
      </c>
      <c r="M2571" t="s">
        <v>488</v>
      </c>
    </row>
    <row r="2572" spans="12:13">
      <c r="L2572" s="65">
        <v>495200</v>
      </c>
      <c r="M2572" t="s">
        <v>520</v>
      </c>
    </row>
    <row r="2573" spans="12:13">
      <c r="L2573" s="65">
        <v>495210</v>
      </c>
      <c r="M2573" t="s">
        <v>521</v>
      </c>
    </row>
    <row r="2574" spans="12:13">
      <c r="L2574" s="65">
        <v>495211</v>
      </c>
      <c r="M2574" t="s">
        <v>521</v>
      </c>
    </row>
    <row r="2575" spans="12:13">
      <c r="L2575" s="65">
        <v>495220</v>
      </c>
      <c r="M2575" t="s">
        <v>525</v>
      </c>
    </row>
    <row r="2576" spans="12:13">
      <c r="L2576" s="65">
        <v>495221</v>
      </c>
      <c r="M2576" t="s">
        <v>1972</v>
      </c>
    </row>
    <row r="2577" spans="12:13">
      <c r="L2577" s="65">
        <v>495222</v>
      </c>
      <c r="M2577" t="s">
        <v>1204</v>
      </c>
    </row>
    <row r="2578" spans="12:13">
      <c r="L2578" s="65">
        <v>495223</v>
      </c>
      <c r="M2578" t="s">
        <v>1205</v>
      </c>
    </row>
    <row r="2579" spans="12:13">
      <c r="L2579" s="65">
        <v>495230</v>
      </c>
      <c r="M2579" t="s">
        <v>1206</v>
      </c>
    </row>
    <row r="2580" spans="12:13">
      <c r="L2580" s="65">
        <v>495231</v>
      </c>
      <c r="M2580" t="s">
        <v>1206</v>
      </c>
    </row>
    <row r="2581" spans="12:13">
      <c r="L2581" s="65">
        <v>495300</v>
      </c>
      <c r="M2581" t="s">
        <v>402</v>
      </c>
    </row>
    <row r="2582" spans="12:13">
      <c r="L2582" s="65">
        <v>495310</v>
      </c>
      <c r="M2582" t="s">
        <v>402</v>
      </c>
    </row>
    <row r="2583" spans="12:13">
      <c r="L2583" s="65">
        <v>495311</v>
      </c>
      <c r="M2583" t="s">
        <v>402</v>
      </c>
    </row>
    <row r="2584" spans="12:13">
      <c r="L2584" s="65">
        <v>495400</v>
      </c>
      <c r="M2584" t="s">
        <v>411</v>
      </c>
    </row>
    <row r="2585" spans="12:13">
      <c r="L2585" s="65">
        <v>495410</v>
      </c>
      <c r="M2585" t="s">
        <v>412</v>
      </c>
    </row>
    <row r="2586" spans="12:13">
      <c r="L2586" s="65">
        <v>495411</v>
      </c>
      <c r="M2586" t="s">
        <v>412</v>
      </c>
    </row>
    <row r="2587" spans="12:13">
      <c r="L2587" s="65">
        <v>495420</v>
      </c>
      <c r="M2587" t="s">
        <v>1973</v>
      </c>
    </row>
    <row r="2588" spans="12:13">
      <c r="L2588" s="65">
        <v>495421</v>
      </c>
      <c r="M2588" t="s">
        <v>422</v>
      </c>
    </row>
    <row r="2589" spans="12:13">
      <c r="L2589" s="65">
        <v>495430</v>
      </c>
      <c r="M2589" t="s">
        <v>428</v>
      </c>
    </row>
    <row r="2590" spans="12:13">
      <c r="L2590" s="65">
        <v>495431</v>
      </c>
      <c r="M2590" t="s">
        <v>429</v>
      </c>
    </row>
    <row r="2591" spans="12:13">
      <c r="L2591" s="65">
        <v>495432</v>
      </c>
      <c r="M2591" t="s">
        <v>433</v>
      </c>
    </row>
    <row r="2592" spans="12:13">
      <c r="L2592" s="65">
        <v>496000</v>
      </c>
      <c r="M2592" t="s">
        <v>1974</v>
      </c>
    </row>
    <row r="2593" spans="12:13">
      <c r="L2593" s="65">
        <v>496100</v>
      </c>
      <c r="M2593" t="s">
        <v>1975</v>
      </c>
    </row>
    <row r="2594" spans="12:13">
      <c r="L2594" s="65">
        <v>496110</v>
      </c>
      <c r="M2594" t="s">
        <v>1976</v>
      </c>
    </row>
    <row r="2595" spans="12:13">
      <c r="L2595" s="65">
        <v>496111</v>
      </c>
      <c r="M2595" t="s">
        <v>1977</v>
      </c>
    </row>
    <row r="2596" spans="12:13">
      <c r="L2596" s="65">
        <v>496112</v>
      </c>
      <c r="M2596" t="s">
        <v>1978</v>
      </c>
    </row>
    <row r="2597" spans="12:13">
      <c r="L2597" s="65">
        <v>496113</v>
      </c>
      <c r="M2597" t="s">
        <v>1979</v>
      </c>
    </row>
    <row r="2598" spans="12:13">
      <c r="L2598" s="65">
        <v>496114</v>
      </c>
      <c r="M2598" t="s">
        <v>1980</v>
      </c>
    </row>
    <row r="2599" spans="12:13">
      <c r="L2599" s="65">
        <v>496115</v>
      </c>
      <c r="M2599" t="s">
        <v>1981</v>
      </c>
    </row>
    <row r="2600" spans="12:13">
      <c r="L2600" s="65">
        <v>496116</v>
      </c>
      <c r="M2600" t="s">
        <v>1982</v>
      </c>
    </row>
    <row r="2601" spans="12:13">
      <c r="L2601" s="65">
        <v>496117</v>
      </c>
      <c r="M2601" t="s">
        <v>1983</v>
      </c>
    </row>
    <row r="2602" spans="12:13">
      <c r="L2602" s="65">
        <v>496118</v>
      </c>
      <c r="M2602" t="s">
        <v>1984</v>
      </c>
    </row>
    <row r="2603" spans="12:13">
      <c r="L2603" s="65">
        <v>496119</v>
      </c>
      <c r="M2603" t="s">
        <v>1985</v>
      </c>
    </row>
    <row r="2604" spans="12:13">
      <c r="L2604" s="65">
        <v>496120</v>
      </c>
      <c r="M2604" t="s">
        <v>1986</v>
      </c>
    </row>
    <row r="2605" spans="12:13">
      <c r="L2605" s="65">
        <v>496121</v>
      </c>
      <c r="M2605" t="s">
        <v>1987</v>
      </c>
    </row>
    <row r="2606" spans="12:13">
      <c r="L2606" s="65">
        <v>496122</v>
      </c>
      <c r="M2606" t="s">
        <v>1988</v>
      </c>
    </row>
    <row r="2607" spans="12:13">
      <c r="L2607" s="65">
        <v>496123</v>
      </c>
      <c r="M2607" t="s">
        <v>1989</v>
      </c>
    </row>
    <row r="2608" spans="12:13">
      <c r="L2608" s="65">
        <v>496124</v>
      </c>
      <c r="M2608" t="s">
        <v>1990</v>
      </c>
    </row>
    <row r="2609" spans="12:13">
      <c r="L2609" s="65">
        <v>496125</v>
      </c>
      <c r="M2609" t="s">
        <v>1991</v>
      </c>
    </row>
    <row r="2610" spans="12:13">
      <c r="L2610" s="65">
        <v>496126</v>
      </c>
      <c r="M2610" t="s">
        <v>1992</v>
      </c>
    </row>
    <row r="2611" spans="12:13">
      <c r="L2611" s="65">
        <v>496129</v>
      </c>
      <c r="M2611" t="s">
        <v>1993</v>
      </c>
    </row>
    <row r="2612" spans="12:13">
      <c r="L2612" s="65">
        <v>496130</v>
      </c>
      <c r="M2612" t="s">
        <v>1994</v>
      </c>
    </row>
    <row r="2613" spans="12:13">
      <c r="L2613" s="65">
        <v>496131</v>
      </c>
      <c r="M2613" t="s">
        <v>1994</v>
      </c>
    </row>
    <row r="2614" spans="12:13">
      <c r="L2614" s="65">
        <v>496140</v>
      </c>
      <c r="M2614" t="s">
        <v>1995</v>
      </c>
    </row>
    <row r="2615" spans="12:13">
      <c r="L2615" s="65">
        <v>496141</v>
      </c>
      <c r="M2615" t="s">
        <v>1995</v>
      </c>
    </row>
    <row r="2616" spans="12:13">
      <c r="L2616" s="65">
        <v>496200</v>
      </c>
      <c r="M2616" t="s">
        <v>1996</v>
      </c>
    </row>
    <row r="2617" spans="12:13">
      <c r="L2617" s="65">
        <v>496210</v>
      </c>
      <c r="M2617" t="s">
        <v>1997</v>
      </c>
    </row>
    <row r="2618" spans="12:13">
      <c r="L2618" s="65">
        <v>496211</v>
      </c>
      <c r="M2618" t="s">
        <v>1998</v>
      </c>
    </row>
    <row r="2619" spans="12:13">
      <c r="L2619" s="65">
        <v>496212</v>
      </c>
      <c r="M2619" t="s">
        <v>565</v>
      </c>
    </row>
    <row r="2620" spans="12:13">
      <c r="L2620" s="65">
        <v>496213</v>
      </c>
      <c r="M2620" t="s">
        <v>580</v>
      </c>
    </row>
    <row r="2621" spans="12:13">
      <c r="L2621" s="65">
        <v>496214</v>
      </c>
      <c r="M2621" t="s">
        <v>587</v>
      </c>
    </row>
    <row r="2622" spans="12:13">
      <c r="L2622" s="65">
        <v>496215</v>
      </c>
      <c r="M2622" t="s">
        <v>589</v>
      </c>
    </row>
    <row r="2623" spans="12:13">
      <c r="L2623" s="65">
        <v>496216</v>
      </c>
      <c r="M2623" t="s">
        <v>591</v>
      </c>
    </row>
    <row r="2624" spans="12:13">
      <c r="L2624" s="65">
        <v>496217</v>
      </c>
      <c r="M2624" t="s">
        <v>1999</v>
      </c>
    </row>
    <row r="2625" spans="12:13">
      <c r="L2625" s="65">
        <v>496218</v>
      </c>
      <c r="M2625" t="s">
        <v>600</v>
      </c>
    </row>
    <row r="2626" spans="12:13">
      <c r="L2626" s="65">
        <v>496219</v>
      </c>
      <c r="M2626" t="s">
        <v>2000</v>
      </c>
    </row>
    <row r="2627" spans="12:13">
      <c r="L2627" s="65">
        <v>496220</v>
      </c>
      <c r="M2627" t="s">
        <v>2001</v>
      </c>
    </row>
    <row r="2628" spans="12:13">
      <c r="L2628" s="65">
        <v>496221</v>
      </c>
      <c r="M2628" t="s">
        <v>2002</v>
      </c>
    </row>
    <row r="2629" spans="12:13">
      <c r="L2629" s="65">
        <v>496222</v>
      </c>
      <c r="M2629" t="s">
        <v>617</v>
      </c>
    </row>
    <row r="2630" spans="12:13">
      <c r="L2630" s="65">
        <v>496223</v>
      </c>
      <c r="M2630" t="s">
        <v>619</v>
      </c>
    </row>
    <row r="2631" spans="12:13">
      <c r="L2631" s="65">
        <v>496224</v>
      </c>
      <c r="M2631" t="s">
        <v>621</v>
      </c>
    </row>
    <row r="2632" spans="12:13">
      <c r="L2632" s="65">
        <v>496225</v>
      </c>
      <c r="M2632" t="s">
        <v>623</v>
      </c>
    </row>
    <row r="2633" spans="12:13">
      <c r="L2633" s="65">
        <v>496226</v>
      </c>
      <c r="M2633" t="s">
        <v>625</v>
      </c>
    </row>
    <row r="2634" spans="12:13">
      <c r="L2634" s="65">
        <v>496227</v>
      </c>
      <c r="M2634" t="s">
        <v>2003</v>
      </c>
    </row>
    <row r="2635" spans="12:13">
      <c r="L2635" s="65">
        <v>496228</v>
      </c>
      <c r="M2635" t="s">
        <v>2004</v>
      </c>
    </row>
    <row r="2636" spans="12:13">
      <c r="L2636" s="65">
        <v>499000</v>
      </c>
      <c r="M2636" t="s">
        <v>2005</v>
      </c>
    </row>
    <row r="2637" spans="12:13">
      <c r="L2637" s="65">
        <v>499100</v>
      </c>
      <c r="M2637" t="s">
        <v>2005</v>
      </c>
    </row>
    <row r="2638" spans="12:13">
      <c r="L2638" s="65">
        <v>499110</v>
      </c>
      <c r="M2638" t="s">
        <v>2006</v>
      </c>
    </row>
    <row r="2639" spans="12:13">
      <c r="L2639" s="65">
        <v>499111</v>
      </c>
      <c r="M2639" t="s">
        <v>2006</v>
      </c>
    </row>
    <row r="2640" spans="12:13">
      <c r="L2640" s="65">
        <v>499120</v>
      </c>
      <c r="M2640" t="s">
        <v>2007</v>
      </c>
    </row>
    <row r="2641" spans="12:13">
      <c r="L2641" s="65">
        <v>499121</v>
      </c>
      <c r="M2641" t="s">
        <v>2007</v>
      </c>
    </row>
    <row r="2642" spans="12:13">
      <c r="L2642" s="65">
        <v>500000</v>
      </c>
      <c r="M2642" t="s">
        <v>1966</v>
      </c>
    </row>
    <row r="2643" spans="12:13">
      <c r="L2643" s="65">
        <v>510000</v>
      </c>
      <c r="M2643" t="s">
        <v>1200</v>
      </c>
    </row>
    <row r="2644" spans="12:13">
      <c r="L2644" s="65">
        <v>511000</v>
      </c>
      <c r="M2644" t="s">
        <v>268</v>
      </c>
    </row>
    <row r="2645" spans="12:13">
      <c r="L2645" s="65">
        <v>511100</v>
      </c>
      <c r="M2645" t="s">
        <v>1967</v>
      </c>
    </row>
    <row r="2646" spans="12:13">
      <c r="L2646" s="65">
        <v>511110</v>
      </c>
      <c r="M2646" t="s">
        <v>2008</v>
      </c>
    </row>
    <row r="2647" spans="12:13">
      <c r="L2647" s="65">
        <v>511111</v>
      </c>
      <c r="M2647" t="s">
        <v>2009</v>
      </c>
    </row>
    <row r="2648" spans="12:13">
      <c r="L2648" s="65">
        <v>511112</v>
      </c>
      <c r="M2648" t="s">
        <v>2010</v>
      </c>
    </row>
    <row r="2649" spans="12:13">
      <c r="L2649" s="65">
        <v>511113</v>
      </c>
      <c r="M2649" t="s">
        <v>2011</v>
      </c>
    </row>
    <row r="2650" spans="12:13">
      <c r="L2650" s="65">
        <v>511118</v>
      </c>
      <c r="M2650" t="s">
        <v>2012</v>
      </c>
    </row>
    <row r="2651" spans="12:13">
      <c r="L2651" s="65">
        <v>511119</v>
      </c>
      <c r="M2651" t="s">
        <v>2013</v>
      </c>
    </row>
    <row r="2652" spans="12:13">
      <c r="L2652" s="65">
        <v>511120</v>
      </c>
      <c r="M2652" t="s">
        <v>2014</v>
      </c>
    </row>
    <row r="2653" spans="12:13">
      <c r="L2653" s="65">
        <v>511121</v>
      </c>
      <c r="M2653" t="s">
        <v>2015</v>
      </c>
    </row>
    <row r="2654" spans="12:13">
      <c r="L2654" s="65">
        <v>511122</v>
      </c>
      <c r="M2654" t="s">
        <v>2016</v>
      </c>
    </row>
    <row r="2655" spans="12:13">
      <c r="L2655" s="65">
        <v>511123</v>
      </c>
      <c r="M2655" t="s">
        <v>2017</v>
      </c>
    </row>
    <row r="2656" spans="12:13">
      <c r="L2656" s="65">
        <v>511124</v>
      </c>
      <c r="M2656" t="s">
        <v>2018</v>
      </c>
    </row>
    <row r="2657" spans="12:13">
      <c r="L2657" s="65">
        <v>511125</v>
      </c>
      <c r="M2657" t="s">
        <v>2019</v>
      </c>
    </row>
    <row r="2658" spans="12:13">
      <c r="L2658" s="65">
        <v>511126</v>
      </c>
      <c r="M2658" t="s">
        <v>2020</v>
      </c>
    </row>
    <row r="2659" spans="12:13">
      <c r="L2659" s="65">
        <v>511127</v>
      </c>
      <c r="M2659" t="s">
        <v>2021</v>
      </c>
    </row>
    <row r="2660" spans="12:13">
      <c r="L2660" s="65">
        <v>511129</v>
      </c>
      <c r="M2660" t="s">
        <v>2022</v>
      </c>
    </row>
    <row r="2661" spans="12:13">
      <c r="L2661" s="65">
        <v>511190</v>
      </c>
      <c r="M2661" t="s">
        <v>2023</v>
      </c>
    </row>
    <row r="2662" spans="12:13">
      <c r="L2662" s="65">
        <v>511191</v>
      </c>
      <c r="M2662" t="s">
        <v>2024</v>
      </c>
    </row>
    <row r="2663" spans="12:13">
      <c r="L2663" s="65">
        <v>511192</v>
      </c>
      <c r="M2663" t="s">
        <v>2025</v>
      </c>
    </row>
    <row r="2664" spans="12:13">
      <c r="L2664" s="65">
        <v>511193</v>
      </c>
      <c r="M2664" t="s">
        <v>2026</v>
      </c>
    </row>
    <row r="2665" spans="12:13">
      <c r="L2665" s="65">
        <v>511199</v>
      </c>
      <c r="M2665" t="s">
        <v>320</v>
      </c>
    </row>
    <row r="2666" spans="12:13">
      <c r="L2666" s="65">
        <v>511200</v>
      </c>
      <c r="M2666" t="s">
        <v>1968</v>
      </c>
    </row>
    <row r="2667" spans="12:13">
      <c r="L2667" s="65">
        <v>511210</v>
      </c>
      <c r="M2667" t="s">
        <v>2027</v>
      </c>
    </row>
    <row r="2668" spans="12:13">
      <c r="L2668" s="65">
        <v>511211</v>
      </c>
      <c r="M2668" t="s">
        <v>2028</v>
      </c>
    </row>
    <row r="2669" spans="12:13">
      <c r="L2669" s="65">
        <v>511212</v>
      </c>
      <c r="M2669" t="s">
        <v>2029</v>
      </c>
    </row>
    <row r="2670" spans="12:13">
      <c r="L2670" s="65">
        <v>511213</v>
      </c>
      <c r="M2670" t="s">
        <v>2030</v>
      </c>
    </row>
    <row r="2671" spans="12:13">
      <c r="L2671" s="65">
        <v>511219</v>
      </c>
      <c r="M2671" t="s">
        <v>2031</v>
      </c>
    </row>
    <row r="2672" spans="12:13">
      <c r="L2672" s="65">
        <v>511220</v>
      </c>
      <c r="M2672" t="s">
        <v>2032</v>
      </c>
    </row>
    <row r="2673" spans="12:13">
      <c r="L2673" s="65">
        <v>511221</v>
      </c>
      <c r="M2673" t="s">
        <v>2033</v>
      </c>
    </row>
    <row r="2674" spans="12:13">
      <c r="L2674" s="65">
        <v>511222</v>
      </c>
      <c r="M2674" t="s">
        <v>279</v>
      </c>
    </row>
    <row r="2675" spans="12:13">
      <c r="L2675" s="65">
        <v>511223</v>
      </c>
      <c r="M2675" t="s">
        <v>286</v>
      </c>
    </row>
    <row r="2676" spans="12:13">
      <c r="L2676" s="65">
        <v>511224</v>
      </c>
      <c r="M2676" t="s">
        <v>2034</v>
      </c>
    </row>
    <row r="2677" spans="12:13">
      <c r="L2677" s="65">
        <v>511225</v>
      </c>
      <c r="M2677" t="s">
        <v>2035</v>
      </c>
    </row>
    <row r="2678" spans="12:13">
      <c r="L2678" s="65">
        <v>511226</v>
      </c>
      <c r="M2678" t="s">
        <v>2036</v>
      </c>
    </row>
    <row r="2679" spans="12:13">
      <c r="L2679" s="65">
        <v>511227</v>
      </c>
      <c r="M2679" t="s">
        <v>289</v>
      </c>
    </row>
    <row r="2680" spans="12:13">
      <c r="L2680" s="65">
        <v>511228</v>
      </c>
      <c r="M2680" t="s">
        <v>290</v>
      </c>
    </row>
    <row r="2681" spans="12:13">
      <c r="L2681" s="65">
        <v>511230</v>
      </c>
      <c r="M2681" t="s">
        <v>2037</v>
      </c>
    </row>
    <row r="2682" spans="12:13">
      <c r="L2682" s="65">
        <v>511231</v>
      </c>
      <c r="M2682" t="s">
        <v>2038</v>
      </c>
    </row>
    <row r="2683" spans="12:13">
      <c r="L2683" s="65">
        <v>511232</v>
      </c>
      <c r="M2683" t="s">
        <v>297</v>
      </c>
    </row>
    <row r="2684" spans="12:13">
      <c r="L2684" s="65">
        <v>511233</v>
      </c>
      <c r="M2684" t="s">
        <v>298</v>
      </c>
    </row>
    <row r="2685" spans="12:13">
      <c r="L2685" s="65">
        <v>511240</v>
      </c>
      <c r="M2685" t="s">
        <v>2039</v>
      </c>
    </row>
    <row r="2686" spans="12:13">
      <c r="L2686" s="65">
        <v>511241</v>
      </c>
      <c r="M2686" t="s">
        <v>305</v>
      </c>
    </row>
    <row r="2687" spans="12:13">
      <c r="L2687" s="65">
        <v>511242</v>
      </c>
      <c r="M2687" t="s">
        <v>306</v>
      </c>
    </row>
    <row r="2688" spans="12:13">
      <c r="L2688" s="65">
        <v>511243</v>
      </c>
      <c r="M2688" t="s">
        <v>307</v>
      </c>
    </row>
    <row r="2689" spans="12:13">
      <c r="L2689" s="65">
        <v>511244</v>
      </c>
      <c r="M2689" t="s">
        <v>308</v>
      </c>
    </row>
    <row r="2690" spans="12:13">
      <c r="L2690" s="65">
        <v>511290</v>
      </c>
      <c r="M2690" t="s">
        <v>2040</v>
      </c>
    </row>
    <row r="2691" spans="12:13">
      <c r="L2691" s="65">
        <v>511291</v>
      </c>
      <c r="M2691" t="s">
        <v>2041</v>
      </c>
    </row>
    <row r="2692" spans="12:13">
      <c r="L2692" s="65">
        <v>511292</v>
      </c>
      <c r="M2692" t="s">
        <v>316</v>
      </c>
    </row>
    <row r="2693" spans="12:13">
      <c r="L2693" s="65">
        <v>511293</v>
      </c>
      <c r="M2693" t="s">
        <v>2042</v>
      </c>
    </row>
    <row r="2694" spans="12:13">
      <c r="L2694" s="65">
        <v>511294</v>
      </c>
      <c r="M2694" t="s">
        <v>318</v>
      </c>
    </row>
    <row r="2695" spans="12:13">
      <c r="L2695" s="65">
        <v>511295</v>
      </c>
      <c r="M2695" t="s">
        <v>319</v>
      </c>
    </row>
    <row r="2696" spans="12:13">
      <c r="L2696" s="65">
        <v>511296</v>
      </c>
      <c r="M2696" t="s">
        <v>2043</v>
      </c>
    </row>
    <row r="2697" spans="12:13">
      <c r="L2697" s="65">
        <v>511299</v>
      </c>
      <c r="M2697" t="s">
        <v>2040</v>
      </c>
    </row>
    <row r="2698" spans="12:13">
      <c r="L2698" s="65">
        <v>511300</v>
      </c>
      <c r="M2698" t="s">
        <v>1969</v>
      </c>
    </row>
    <row r="2699" spans="12:13">
      <c r="L2699" s="65">
        <v>511310</v>
      </c>
      <c r="M2699" t="s">
        <v>2044</v>
      </c>
    </row>
    <row r="2700" spans="12:13">
      <c r="L2700" s="65">
        <v>511311</v>
      </c>
      <c r="M2700" t="s">
        <v>2045</v>
      </c>
    </row>
    <row r="2701" spans="12:13">
      <c r="L2701" s="65">
        <v>511312</v>
      </c>
      <c r="M2701" t="s">
        <v>2046</v>
      </c>
    </row>
    <row r="2702" spans="12:13">
      <c r="L2702" s="65">
        <v>511313</v>
      </c>
      <c r="M2702" t="s">
        <v>2047</v>
      </c>
    </row>
    <row r="2703" spans="12:13">
      <c r="L2703" s="65">
        <v>511319</v>
      </c>
      <c r="M2703" t="s">
        <v>2048</v>
      </c>
    </row>
    <row r="2704" spans="12:13">
      <c r="L2704" s="65">
        <v>511320</v>
      </c>
      <c r="M2704" t="s">
        <v>2049</v>
      </c>
    </row>
    <row r="2705" spans="12:13">
      <c r="L2705" s="65">
        <v>511321</v>
      </c>
      <c r="M2705" t="s">
        <v>2049</v>
      </c>
    </row>
    <row r="2706" spans="12:13">
      <c r="L2706" s="65">
        <v>511322</v>
      </c>
      <c r="M2706" t="s">
        <v>2050</v>
      </c>
    </row>
    <row r="2707" spans="12:13">
      <c r="L2707" s="65">
        <v>511323</v>
      </c>
      <c r="M2707" t="s">
        <v>2051</v>
      </c>
    </row>
    <row r="2708" spans="12:13">
      <c r="L2708" s="65">
        <v>511324</v>
      </c>
      <c r="M2708" t="s">
        <v>2052</v>
      </c>
    </row>
    <row r="2709" spans="12:13">
      <c r="L2709" s="65">
        <v>511325</v>
      </c>
      <c r="M2709" t="s">
        <v>2053</v>
      </c>
    </row>
    <row r="2710" spans="12:13">
      <c r="L2710" s="65">
        <v>511326</v>
      </c>
      <c r="M2710" t="s">
        <v>2054</v>
      </c>
    </row>
    <row r="2711" spans="12:13">
      <c r="L2711" s="65">
        <v>511327</v>
      </c>
      <c r="M2711" t="s">
        <v>2055</v>
      </c>
    </row>
    <row r="2712" spans="12:13">
      <c r="L2712" s="65">
        <v>511328</v>
      </c>
      <c r="M2712" t="s">
        <v>2056</v>
      </c>
    </row>
    <row r="2713" spans="12:13">
      <c r="L2713" s="65">
        <v>511330</v>
      </c>
      <c r="M2713" t="s">
        <v>2057</v>
      </c>
    </row>
    <row r="2714" spans="12:13">
      <c r="L2714" s="65">
        <v>511331</v>
      </c>
      <c r="M2714" t="s">
        <v>2058</v>
      </c>
    </row>
    <row r="2715" spans="12:13">
      <c r="L2715" s="65">
        <v>511332</v>
      </c>
      <c r="M2715" t="s">
        <v>2059</v>
      </c>
    </row>
    <row r="2716" spans="12:13">
      <c r="L2716" s="65">
        <v>511333</v>
      </c>
      <c r="M2716" t="s">
        <v>2060</v>
      </c>
    </row>
    <row r="2717" spans="12:13">
      <c r="L2717" s="65">
        <v>511340</v>
      </c>
      <c r="M2717" t="s">
        <v>2061</v>
      </c>
    </row>
    <row r="2718" spans="12:13">
      <c r="L2718" s="65">
        <v>511341</v>
      </c>
      <c r="M2718" t="s">
        <v>2062</v>
      </c>
    </row>
    <row r="2719" spans="12:13">
      <c r="L2719" s="65">
        <v>511342</v>
      </c>
      <c r="M2719" t="s">
        <v>2063</v>
      </c>
    </row>
    <row r="2720" spans="12:13">
      <c r="L2720" s="65">
        <v>511343</v>
      </c>
      <c r="M2720" t="s">
        <v>2064</v>
      </c>
    </row>
    <row r="2721" spans="12:13">
      <c r="L2721" s="65">
        <v>511344</v>
      </c>
      <c r="M2721" t="s">
        <v>2065</v>
      </c>
    </row>
    <row r="2722" spans="12:13">
      <c r="L2722" s="65">
        <v>511390</v>
      </c>
      <c r="M2722" t="s">
        <v>2066</v>
      </c>
    </row>
    <row r="2723" spans="12:13">
      <c r="L2723" s="65">
        <v>511391</v>
      </c>
      <c r="M2723" t="s">
        <v>2067</v>
      </c>
    </row>
    <row r="2724" spans="12:13">
      <c r="L2724" s="65">
        <v>511392</v>
      </c>
      <c r="M2724" t="s">
        <v>2068</v>
      </c>
    </row>
    <row r="2725" spans="12:13">
      <c r="L2725" s="65">
        <v>511393</v>
      </c>
      <c r="M2725" t="s">
        <v>2069</v>
      </c>
    </row>
    <row r="2726" spans="12:13">
      <c r="L2726" s="65">
        <v>511394</v>
      </c>
      <c r="M2726" t="s">
        <v>2070</v>
      </c>
    </row>
    <row r="2727" spans="12:13">
      <c r="L2727" s="65">
        <v>511395</v>
      </c>
      <c r="M2727" t="s">
        <v>2071</v>
      </c>
    </row>
    <row r="2728" spans="12:13">
      <c r="L2728" s="65">
        <v>511396</v>
      </c>
      <c r="M2728" t="s">
        <v>2072</v>
      </c>
    </row>
    <row r="2729" spans="12:13">
      <c r="L2729" s="65">
        <v>511399</v>
      </c>
      <c r="M2729" t="s">
        <v>2066</v>
      </c>
    </row>
    <row r="2730" spans="12:13">
      <c r="L2730" s="65">
        <v>511400</v>
      </c>
      <c r="M2730" t="s">
        <v>1970</v>
      </c>
    </row>
    <row r="2731" spans="12:13">
      <c r="L2731" s="65">
        <v>511410</v>
      </c>
      <c r="M2731" t="s">
        <v>2073</v>
      </c>
    </row>
    <row r="2732" spans="12:13">
      <c r="L2732" s="65">
        <v>511411</v>
      </c>
      <c r="M2732" t="s">
        <v>2073</v>
      </c>
    </row>
    <row r="2733" spans="12:13">
      <c r="L2733" s="65">
        <v>511420</v>
      </c>
      <c r="M2733" t="s">
        <v>2074</v>
      </c>
    </row>
    <row r="2734" spans="12:13">
      <c r="L2734" s="65">
        <v>511421</v>
      </c>
      <c r="M2734" t="s">
        <v>2074</v>
      </c>
    </row>
    <row r="2735" spans="12:13">
      <c r="L2735" s="65">
        <v>511430</v>
      </c>
      <c r="M2735" t="s">
        <v>2075</v>
      </c>
    </row>
    <row r="2736" spans="12:13">
      <c r="L2736" s="65">
        <v>511431</v>
      </c>
      <c r="M2736" t="s">
        <v>2075</v>
      </c>
    </row>
    <row r="2737" spans="12:13">
      <c r="L2737" s="65">
        <v>511440</v>
      </c>
      <c r="M2737" t="s">
        <v>2076</v>
      </c>
    </row>
    <row r="2738" spans="12:13">
      <c r="L2738" s="65">
        <v>511441</v>
      </c>
      <c r="M2738" t="s">
        <v>2076</v>
      </c>
    </row>
    <row r="2739" spans="12:13">
      <c r="L2739" s="65">
        <v>511450</v>
      </c>
      <c r="M2739" t="s">
        <v>2077</v>
      </c>
    </row>
    <row r="2740" spans="12:13">
      <c r="L2740" s="65">
        <v>511451</v>
      </c>
      <c r="M2740" t="s">
        <v>2077</v>
      </c>
    </row>
    <row r="2741" spans="12:13">
      <c r="L2741" s="65">
        <v>512000</v>
      </c>
      <c r="M2741" t="s">
        <v>1971</v>
      </c>
    </row>
    <row r="2742" spans="12:13">
      <c r="L2742" s="65">
        <v>512100</v>
      </c>
      <c r="M2742" t="s">
        <v>325</v>
      </c>
    </row>
    <row r="2743" spans="12:13">
      <c r="L2743" s="65">
        <v>512110</v>
      </c>
      <c r="M2743" t="s">
        <v>326</v>
      </c>
    </row>
    <row r="2744" spans="12:13">
      <c r="L2744" s="65">
        <v>512111</v>
      </c>
      <c r="M2744" t="s">
        <v>2078</v>
      </c>
    </row>
    <row r="2745" spans="12:13">
      <c r="L2745" s="65">
        <v>512112</v>
      </c>
      <c r="M2745" t="s">
        <v>2079</v>
      </c>
    </row>
    <row r="2746" spans="12:13">
      <c r="L2746" s="65">
        <v>512113</v>
      </c>
      <c r="M2746" t="s">
        <v>2080</v>
      </c>
    </row>
    <row r="2747" spans="12:13">
      <c r="L2747" s="65">
        <v>512114</v>
      </c>
      <c r="M2747" t="s">
        <v>2081</v>
      </c>
    </row>
    <row r="2748" spans="12:13">
      <c r="L2748" s="65">
        <v>512115</v>
      </c>
      <c r="M2748" t="s">
        <v>2082</v>
      </c>
    </row>
    <row r="2749" spans="12:13">
      <c r="L2749" s="65">
        <v>512116</v>
      </c>
      <c r="M2749" t="s">
        <v>2083</v>
      </c>
    </row>
    <row r="2750" spans="12:13">
      <c r="L2750" s="65">
        <v>512117</v>
      </c>
      <c r="M2750" t="s">
        <v>2084</v>
      </c>
    </row>
    <row r="2751" spans="12:13">
      <c r="L2751" s="65">
        <v>512120</v>
      </c>
      <c r="M2751" t="s">
        <v>327</v>
      </c>
    </row>
    <row r="2752" spans="12:13">
      <c r="L2752" s="65">
        <v>512121</v>
      </c>
      <c r="M2752" t="s">
        <v>2085</v>
      </c>
    </row>
    <row r="2753" spans="12:13">
      <c r="L2753" s="65">
        <v>512122</v>
      </c>
      <c r="M2753" t="s">
        <v>2086</v>
      </c>
    </row>
    <row r="2754" spans="12:13">
      <c r="L2754" s="65">
        <v>512130</v>
      </c>
      <c r="M2754" t="s">
        <v>328</v>
      </c>
    </row>
    <row r="2755" spans="12:13">
      <c r="L2755" s="65">
        <v>512131</v>
      </c>
      <c r="M2755" t="s">
        <v>2087</v>
      </c>
    </row>
    <row r="2756" spans="12:13">
      <c r="L2756" s="65">
        <v>512132</v>
      </c>
      <c r="M2756" t="s">
        <v>2088</v>
      </c>
    </row>
    <row r="2757" spans="12:13">
      <c r="L2757" s="65">
        <v>512140</v>
      </c>
      <c r="M2757" t="s">
        <v>330</v>
      </c>
    </row>
    <row r="2758" spans="12:13">
      <c r="L2758" s="65">
        <v>512141</v>
      </c>
      <c r="M2758" t="s">
        <v>330</v>
      </c>
    </row>
    <row r="2759" spans="12:13">
      <c r="L2759" s="65">
        <v>512200</v>
      </c>
      <c r="M2759" t="s">
        <v>334</v>
      </c>
    </row>
    <row r="2760" spans="12:13">
      <c r="L2760" s="65">
        <v>512210</v>
      </c>
      <c r="M2760" t="s">
        <v>335</v>
      </c>
    </row>
    <row r="2761" spans="12:13">
      <c r="L2761" s="65">
        <v>512211</v>
      </c>
      <c r="M2761" t="s">
        <v>1536</v>
      </c>
    </row>
    <row r="2762" spans="12:13">
      <c r="L2762" s="65">
        <v>512212</v>
      </c>
      <c r="M2762" t="s">
        <v>1539</v>
      </c>
    </row>
    <row r="2763" spans="12:13">
      <c r="L2763" s="65">
        <v>512213</v>
      </c>
      <c r="M2763" t="s">
        <v>2089</v>
      </c>
    </row>
    <row r="2764" spans="12:13">
      <c r="L2764" s="65">
        <v>512220</v>
      </c>
      <c r="M2764" t="s">
        <v>336</v>
      </c>
    </row>
    <row r="2765" spans="12:13">
      <c r="L2765" s="65">
        <v>512221</v>
      </c>
      <c r="M2765" t="s">
        <v>336</v>
      </c>
    </row>
    <row r="2766" spans="12:13">
      <c r="L2766" s="65">
        <v>512222</v>
      </c>
      <c r="M2766" t="s">
        <v>2090</v>
      </c>
    </row>
    <row r="2767" spans="12:13">
      <c r="L2767" s="65">
        <v>512223</v>
      </c>
      <c r="M2767" t="s">
        <v>2091</v>
      </c>
    </row>
    <row r="2768" spans="12:13">
      <c r="L2768" s="65">
        <v>512230</v>
      </c>
      <c r="M2768" t="s">
        <v>337</v>
      </c>
    </row>
    <row r="2769" spans="12:13">
      <c r="L2769" s="65">
        <v>512231</v>
      </c>
      <c r="M2769" t="s">
        <v>2092</v>
      </c>
    </row>
    <row r="2770" spans="12:13">
      <c r="L2770" s="65">
        <v>512232</v>
      </c>
      <c r="M2770" t="s">
        <v>1366</v>
      </c>
    </row>
    <row r="2771" spans="12:13">
      <c r="L2771" s="65">
        <v>512233</v>
      </c>
      <c r="M2771" t="s">
        <v>2093</v>
      </c>
    </row>
    <row r="2772" spans="12:13">
      <c r="L2772" s="65">
        <v>512240</v>
      </c>
      <c r="M2772" t="s">
        <v>338</v>
      </c>
    </row>
    <row r="2773" spans="12:13">
      <c r="L2773" s="65">
        <v>512241</v>
      </c>
      <c r="M2773" t="s">
        <v>2094</v>
      </c>
    </row>
    <row r="2774" spans="12:13">
      <c r="L2774" s="65">
        <v>512242</v>
      </c>
      <c r="M2774" t="s">
        <v>2095</v>
      </c>
    </row>
    <row r="2775" spans="12:13">
      <c r="L2775" s="65">
        <v>512250</v>
      </c>
      <c r="M2775" t="s">
        <v>339</v>
      </c>
    </row>
    <row r="2776" spans="12:13">
      <c r="L2776" s="65">
        <v>512251</v>
      </c>
      <c r="M2776" t="s">
        <v>2096</v>
      </c>
    </row>
    <row r="2777" spans="12:13">
      <c r="L2777" s="65">
        <v>512252</v>
      </c>
      <c r="M2777" t="s">
        <v>2097</v>
      </c>
    </row>
    <row r="2778" spans="12:13">
      <c r="L2778" s="65">
        <v>512260</v>
      </c>
      <c r="M2778" t="s">
        <v>340</v>
      </c>
    </row>
    <row r="2779" spans="12:13">
      <c r="L2779" s="65">
        <v>512261</v>
      </c>
      <c r="M2779" t="s">
        <v>340</v>
      </c>
    </row>
    <row r="2780" spans="12:13">
      <c r="L2780" s="65">
        <v>512300</v>
      </c>
      <c r="M2780" t="s">
        <v>344</v>
      </c>
    </row>
    <row r="2781" spans="12:13">
      <c r="L2781" s="65">
        <v>512310</v>
      </c>
      <c r="M2781" t="s">
        <v>2098</v>
      </c>
    </row>
    <row r="2782" spans="12:13">
      <c r="L2782" s="65">
        <v>512311</v>
      </c>
      <c r="M2782" t="s">
        <v>2098</v>
      </c>
    </row>
    <row r="2783" spans="12:13">
      <c r="L2783" s="65">
        <v>512320</v>
      </c>
      <c r="M2783" t="s">
        <v>2099</v>
      </c>
    </row>
    <row r="2784" spans="12:13">
      <c r="L2784" s="65">
        <v>512321</v>
      </c>
      <c r="M2784" t="s">
        <v>2099</v>
      </c>
    </row>
    <row r="2785" spans="12:13">
      <c r="L2785" s="65">
        <v>512400</v>
      </c>
      <c r="M2785" t="s">
        <v>349</v>
      </c>
    </row>
    <row r="2786" spans="12:13">
      <c r="L2786" s="65">
        <v>512410</v>
      </c>
      <c r="M2786" t="s">
        <v>349</v>
      </c>
    </row>
    <row r="2787" spans="12:13">
      <c r="L2787" s="65">
        <v>512411</v>
      </c>
      <c r="M2787" t="s">
        <v>349</v>
      </c>
    </row>
    <row r="2788" spans="12:13">
      <c r="L2788" s="65">
        <v>512420</v>
      </c>
      <c r="M2788" t="s">
        <v>350</v>
      </c>
    </row>
    <row r="2789" spans="12:13">
      <c r="L2789" s="65">
        <v>512421</v>
      </c>
      <c r="M2789" t="s">
        <v>350</v>
      </c>
    </row>
    <row r="2790" spans="12:13">
      <c r="L2790" s="65">
        <v>512500</v>
      </c>
      <c r="M2790" t="s">
        <v>354</v>
      </c>
    </row>
    <row r="2791" spans="12:13">
      <c r="L2791" s="65">
        <v>512510</v>
      </c>
      <c r="M2791" t="s">
        <v>355</v>
      </c>
    </row>
    <row r="2792" spans="12:13">
      <c r="L2792" s="65">
        <v>512511</v>
      </c>
      <c r="M2792" t="s">
        <v>355</v>
      </c>
    </row>
    <row r="2793" spans="12:13">
      <c r="L2793" s="65">
        <v>512520</v>
      </c>
      <c r="M2793" t="s">
        <v>356</v>
      </c>
    </row>
    <row r="2794" spans="12:13">
      <c r="L2794" s="65">
        <v>512521</v>
      </c>
      <c r="M2794" t="s">
        <v>356</v>
      </c>
    </row>
    <row r="2795" spans="12:13">
      <c r="L2795" s="65">
        <v>512530</v>
      </c>
      <c r="M2795" t="s">
        <v>357</v>
      </c>
    </row>
    <row r="2796" spans="12:13">
      <c r="L2796" s="65">
        <v>512531</v>
      </c>
      <c r="M2796" t="s">
        <v>357</v>
      </c>
    </row>
    <row r="2797" spans="12:13">
      <c r="L2797" s="65">
        <v>512540</v>
      </c>
      <c r="M2797" t="s">
        <v>359</v>
      </c>
    </row>
    <row r="2798" spans="12:13">
      <c r="L2798" s="65">
        <v>512541</v>
      </c>
      <c r="M2798" t="s">
        <v>359</v>
      </c>
    </row>
    <row r="2799" spans="12:13">
      <c r="L2799" s="65">
        <v>512600</v>
      </c>
      <c r="M2799" t="s">
        <v>363</v>
      </c>
    </row>
    <row r="2800" spans="12:13">
      <c r="L2800" s="65">
        <v>512610</v>
      </c>
      <c r="M2800" t="s">
        <v>364</v>
      </c>
    </row>
    <row r="2801" spans="12:13">
      <c r="L2801" s="65">
        <v>512611</v>
      </c>
      <c r="M2801" t="s">
        <v>364</v>
      </c>
    </row>
    <row r="2802" spans="12:13">
      <c r="L2802" s="65">
        <v>512620</v>
      </c>
      <c r="M2802" t="s">
        <v>365</v>
      </c>
    </row>
    <row r="2803" spans="12:13">
      <c r="L2803" s="65">
        <v>512621</v>
      </c>
      <c r="M2803" t="s">
        <v>365</v>
      </c>
    </row>
    <row r="2804" spans="12:13">
      <c r="L2804" s="65">
        <v>512630</v>
      </c>
      <c r="M2804" t="s">
        <v>366</v>
      </c>
    </row>
    <row r="2805" spans="12:13">
      <c r="L2805" s="65">
        <v>512631</v>
      </c>
      <c r="M2805" t="s">
        <v>366</v>
      </c>
    </row>
    <row r="2806" spans="12:13">
      <c r="L2806" s="65">
        <v>512640</v>
      </c>
      <c r="M2806" t="s">
        <v>367</v>
      </c>
    </row>
    <row r="2807" spans="12:13">
      <c r="L2807" s="65">
        <v>512641</v>
      </c>
      <c r="M2807" t="s">
        <v>367</v>
      </c>
    </row>
    <row r="2808" spans="12:13">
      <c r="L2808" s="65">
        <v>512650</v>
      </c>
      <c r="M2808" t="s">
        <v>368</v>
      </c>
    </row>
    <row r="2809" spans="12:13">
      <c r="L2809" s="65">
        <v>512651</v>
      </c>
      <c r="M2809" t="s">
        <v>368</v>
      </c>
    </row>
    <row r="2810" spans="12:13">
      <c r="L2810" s="65">
        <v>512700</v>
      </c>
      <c r="M2810" t="s">
        <v>372</v>
      </c>
    </row>
    <row r="2811" spans="12:13">
      <c r="L2811" s="65">
        <v>512710</v>
      </c>
      <c r="M2811" t="s">
        <v>372</v>
      </c>
    </row>
    <row r="2812" spans="12:13">
      <c r="L2812" s="65">
        <v>512711</v>
      </c>
      <c r="M2812" t="s">
        <v>372</v>
      </c>
    </row>
    <row r="2813" spans="12:13">
      <c r="L2813" s="65">
        <v>512720</v>
      </c>
      <c r="M2813" t="s">
        <v>2100</v>
      </c>
    </row>
    <row r="2814" spans="12:13">
      <c r="L2814" s="65">
        <v>512721</v>
      </c>
      <c r="M2814" t="s">
        <v>2100</v>
      </c>
    </row>
    <row r="2815" spans="12:13">
      <c r="L2815" s="65">
        <v>512800</v>
      </c>
      <c r="M2815" t="s">
        <v>377</v>
      </c>
    </row>
    <row r="2816" spans="12:13">
      <c r="L2816" s="65">
        <v>512810</v>
      </c>
      <c r="M2816" t="s">
        <v>377</v>
      </c>
    </row>
    <row r="2817" spans="12:13">
      <c r="L2817" s="65">
        <v>512811</v>
      </c>
      <c r="M2817" t="s">
        <v>377</v>
      </c>
    </row>
    <row r="2818" spans="12:13">
      <c r="L2818" s="65">
        <v>512820</v>
      </c>
      <c r="M2818" t="s">
        <v>2101</v>
      </c>
    </row>
    <row r="2819" spans="12:13">
      <c r="L2819" s="65">
        <v>512821</v>
      </c>
      <c r="M2819" t="s">
        <v>2101</v>
      </c>
    </row>
    <row r="2820" spans="12:13">
      <c r="L2820" s="65">
        <v>512900</v>
      </c>
      <c r="M2820" t="s">
        <v>382</v>
      </c>
    </row>
    <row r="2821" spans="12:13">
      <c r="L2821" s="65">
        <v>512910</v>
      </c>
      <c r="M2821" t="s">
        <v>2102</v>
      </c>
    </row>
    <row r="2822" spans="12:13">
      <c r="L2822" s="65">
        <v>512911</v>
      </c>
      <c r="M2822" t="s">
        <v>2102</v>
      </c>
    </row>
    <row r="2823" spans="12:13">
      <c r="L2823" s="65">
        <v>512920</v>
      </c>
      <c r="M2823" t="s">
        <v>384</v>
      </c>
    </row>
    <row r="2824" spans="12:13">
      <c r="L2824" s="65">
        <v>512921</v>
      </c>
      <c r="M2824" t="s">
        <v>384</v>
      </c>
    </row>
    <row r="2825" spans="12:13">
      <c r="L2825" s="65">
        <v>512930</v>
      </c>
      <c r="M2825" t="s">
        <v>385</v>
      </c>
    </row>
    <row r="2826" spans="12:13">
      <c r="L2826" s="65">
        <v>512931</v>
      </c>
      <c r="M2826" t="s">
        <v>2103</v>
      </c>
    </row>
    <row r="2827" spans="12:13">
      <c r="L2827" s="65">
        <v>512932</v>
      </c>
      <c r="M2827" t="s">
        <v>2104</v>
      </c>
    </row>
    <row r="2828" spans="12:13">
      <c r="L2828" s="65">
        <v>512933</v>
      </c>
      <c r="M2828" t="s">
        <v>2105</v>
      </c>
    </row>
    <row r="2829" spans="12:13">
      <c r="L2829" s="65">
        <v>512940</v>
      </c>
      <c r="M2829" t="s">
        <v>2106</v>
      </c>
    </row>
    <row r="2830" spans="12:13">
      <c r="L2830" s="65">
        <v>512941</v>
      </c>
      <c r="M2830" t="s">
        <v>2106</v>
      </c>
    </row>
    <row r="2831" spans="12:13">
      <c r="L2831" s="65">
        <v>512950</v>
      </c>
      <c r="M2831" t="s">
        <v>2107</v>
      </c>
    </row>
    <row r="2832" spans="12:13">
      <c r="L2832" s="65">
        <v>512951</v>
      </c>
      <c r="M2832" t="s">
        <v>2107</v>
      </c>
    </row>
    <row r="2833" spans="12:13">
      <c r="L2833" s="65">
        <v>513000</v>
      </c>
      <c r="M2833" t="s">
        <v>391</v>
      </c>
    </row>
    <row r="2834" spans="12:13">
      <c r="L2834" s="65">
        <v>513100</v>
      </c>
      <c r="M2834" t="s">
        <v>391</v>
      </c>
    </row>
    <row r="2835" spans="12:13">
      <c r="L2835" s="65">
        <v>513110</v>
      </c>
      <c r="M2835" t="s">
        <v>391</v>
      </c>
    </row>
    <row r="2836" spans="12:13">
      <c r="L2836" s="65">
        <v>513111</v>
      </c>
      <c r="M2836" t="s">
        <v>391</v>
      </c>
    </row>
    <row r="2837" spans="12:13">
      <c r="L2837" s="65">
        <v>513119</v>
      </c>
      <c r="M2837" t="s">
        <v>2108</v>
      </c>
    </row>
    <row r="2838" spans="12:13">
      <c r="L2838" s="65">
        <v>514000</v>
      </c>
      <c r="M2838" t="s">
        <v>396</v>
      </c>
    </row>
    <row r="2839" spans="12:13">
      <c r="L2839" s="65">
        <v>514100</v>
      </c>
      <c r="M2839" t="s">
        <v>396</v>
      </c>
    </row>
    <row r="2840" spans="12:13">
      <c r="L2840" s="65">
        <v>514110</v>
      </c>
      <c r="M2840" t="s">
        <v>2109</v>
      </c>
    </row>
    <row r="2841" spans="12:13">
      <c r="L2841" s="65">
        <v>514111</v>
      </c>
      <c r="M2841" t="s">
        <v>2110</v>
      </c>
    </row>
    <row r="2842" spans="12:13">
      <c r="L2842" s="65">
        <v>514112</v>
      </c>
      <c r="M2842" t="s">
        <v>2111</v>
      </c>
    </row>
    <row r="2843" spans="12:13">
      <c r="L2843" s="65">
        <v>514113</v>
      </c>
      <c r="M2843" t="s">
        <v>2112</v>
      </c>
    </row>
    <row r="2844" spans="12:13">
      <c r="L2844" s="65">
        <v>514114</v>
      </c>
      <c r="M2844" t="s">
        <v>2113</v>
      </c>
    </row>
    <row r="2845" spans="12:13">
      <c r="L2845" s="65">
        <v>514115</v>
      </c>
      <c r="M2845" t="s">
        <v>2114</v>
      </c>
    </row>
    <row r="2846" spans="12:13">
      <c r="L2846" s="65">
        <v>514116</v>
      </c>
      <c r="M2846" t="s">
        <v>2115</v>
      </c>
    </row>
    <row r="2847" spans="12:13">
      <c r="L2847" s="65">
        <v>514117</v>
      </c>
      <c r="M2847" t="s">
        <v>2116</v>
      </c>
    </row>
    <row r="2848" spans="12:13">
      <c r="L2848" s="65">
        <v>514118</v>
      </c>
      <c r="M2848" t="s">
        <v>2117</v>
      </c>
    </row>
    <row r="2849" spans="12:13">
      <c r="L2849" s="65">
        <v>514119</v>
      </c>
      <c r="M2849" t="s">
        <v>2118</v>
      </c>
    </row>
    <row r="2850" spans="12:13">
      <c r="L2850" s="65">
        <v>514120</v>
      </c>
      <c r="M2850" t="s">
        <v>398</v>
      </c>
    </row>
    <row r="2851" spans="12:13">
      <c r="L2851" s="65">
        <v>514121</v>
      </c>
      <c r="M2851" t="s">
        <v>398</v>
      </c>
    </row>
    <row r="2852" spans="12:13">
      <c r="L2852" s="65">
        <v>515000</v>
      </c>
      <c r="M2852" t="s">
        <v>488</v>
      </c>
    </row>
    <row r="2853" spans="12:13">
      <c r="L2853" s="65">
        <v>515100</v>
      </c>
      <c r="M2853" t="s">
        <v>488</v>
      </c>
    </row>
    <row r="2854" spans="12:13">
      <c r="L2854" s="65">
        <v>515110</v>
      </c>
      <c r="M2854" t="s">
        <v>489</v>
      </c>
    </row>
    <row r="2855" spans="12:13">
      <c r="L2855" s="65">
        <v>515111</v>
      </c>
      <c r="M2855" t="s">
        <v>489</v>
      </c>
    </row>
    <row r="2856" spans="12:13">
      <c r="L2856" s="65">
        <v>515120</v>
      </c>
      <c r="M2856" t="s">
        <v>493</v>
      </c>
    </row>
    <row r="2857" spans="12:13">
      <c r="L2857" s="65">
        <v>515121</v>
      </c>
      <c r="M2857" t="s">
        <v>2119</v>
      </c>
    </row>
    <row r="2858" spans="12:13">
      <c r="L2858" s="65">
        <v>515122</v>
      </c>
      <c r="M2858" t="s">
        <v>2120</v>
      </c>
    </row>
    <row r="2859" spans="12:13">
      <c r="L2859" s="65">
        <v>515123</v>
      </c>
      <c r="M2859" t="s">
        <v>2121</v>
      </c>
    </row>
    <row r="2860" spans="12:13">
      <c r="L2860" s="65">
        <v>515124</v>
      </c>
      <c r="M2860" t="s">
        <v>2122</v>
      </c>
    </row>
    <row r="2861" spans="12:13">
      <c r="L2861" s="65">
        <v>515125</v>
      </c>
      <c r="M2861" t="s">
        <v>2123</v>
      </c>
    </row>
    <row r="2862" spans="12:13">
      <c r="L2862" s="65">
        <v>515126</v>
      </c>
      <c r="M2862" t="s">
        <v>2124</v>
      </c>
    </row>
    <row r="2863" spans="12:13">
      <c r="L2863" s="65">
        <v>515129</v>
      </c>
      <c r="M2863" t="s">
        <v>2125</v>
      </c>
    </row>
    <row r="2864" spans="12:13">
      <c r="L2864" s="65">
        <v>515190</v>
      </c>
      <c r="M2864" t="s">
        <v>509</v>
      </c>
    </row>
    <row r="2865" spans="12:13">
      <c r="L2865" s="65">
        <v>515191</v>
      </c>
      <c r="M2865" t="s">
        <v>2126</v>
      </c>
    </row>
    <row r="2866" spans="12:13">
      <c r="L2866" s="65">
        <v>515192</v>
      </c>
      <c r="M2866" t="s">
        <v>2127</v>
      </c>
    </row>
    <row r="2867" spans="12:13">
      <c r="L2867" s="65">
        <v>515193</v>
      </c>
      <c r="M2867" t="s">
        <v>2128</v>
      </c>
    </row>
    <row r="2868" spans="12:13">
      <c r="L2868" s="65">
        <v>515194</v>
      </c>
      <c r="M2868" t="s">
        <v>2129</v>
      </c>
    </row>
    <row r="2869" spans="12:13">
      <c r="L2869" s="65">
        <v>515195</v>
      </c>
      <c r="M2869" t="s">
        <v>2130</v>
      </c>
    </row>
    <row r="2870" spans="12:13">
      <c r="L2870" s="65">
        <v>515196</v>
      </c>
      <c r="M2870" t="s">
        <v>2131</v>
      </c>
    </row>
    <row r="2871" spans="12:13">
      <c r="L2871" s="65">
        <v>515197</v>
      </c>
      <c r="M2871" t="s">
        <v>2132</v>
      </c>
    </row>
    <row r="2872" spans="12:13">
      <c r="L2872" s="65">
        <v>515199</v>
      </c>
      <c r="M2872" t="s">
        <v>509</v>
      </c>
    </row>
    <row r="2873" spans="12:13">
      <c r="L2873" s="65">
        <v>520000</v>
      </c>
      <c r="M2873" t="s">
        <v>520</v>
      </c>
    </row>
    <row r="2874" spans="12:13">
      <c r="L2874" s="65">
        <v>521000</v>
      </c>
      <c r="M2874" t="s">
        <v>521</v>
      </c>
    </row>
    <row r="2875" spans="12:13">
      <c r="L2875" s="65">
        <v>521100</v>
      </c>
      <c r="M2875" t="s">
        <v>521</v>
      </c>
    </row>
    <row r="2876" spans="12:13">
      <c r="L2876" s="65">
        <v>521110</v>
      </c>
      <c r="M2876" t="s">
        <v>521</v>
      </c>
    </row>
    <row r="2877" spans="12:13">
      <c r="L2877" s="65">
        <v>521111</v>
      </c>
      <c r="M2877" t="s">
        <v>521</v>
      </c>
    </row>
    <row r="2878" spans="12:13">
      <c r="L2878" s="65">
        <v>522000</v>
      </c>
      <c r="M2878" t="s">
        <v>525</v>
      </c>
    </row>
    <row r="2879" spans="12:13">
      <c r="L2879" s="65">
        <v>522100</v>
      </c>
      <c r="M2879" t="s">
        <v>1972</v>
      </c>
    </row>
    <row r="2880" spans="12:13">
      <c r="L2880" s="65">
        <v>522110</v>
      </c>
      <c r="M2880" t="s">
        <v>1972</v>
      </c>
    </row>
    <row r="2881" spans="12:13">
      <c r="L2881" s="65">
        <v>522111</v>
      </c>
      <c r="M2881" t="s">
        <v>1972</v>
      </c>
    </row>
    <row r="2882" spans="12:13">
      <c r="L2882" s="65">
        <v>522200</v>
      </c>
      <c r="M2882" t="s">
        <v>1204</v>
      </c>
    </row>
    <row r="2883" spans="12:13">
      <c r="L2883" s="65">
        <v>522210</v>
      </c>
      <c r="M2883" t="s">
        <v>1204</v>
      </c>
    </row>
    <row r="2884" spans="12:13">
      <c r="L2884" s="65">
        <v>522211</v>
      </c>
      <c r="M2884" t="s">
        <v>1204</v>
      </c>
    </row>
    <row r="2885" spans="12:13">
      <c r="L2885" s="65">
        <v>522300</v>
      </c>
      <c r="M2885" t="s">
        <v>1205</v>
      </c>
    </row>
    <row r="2886" spans="12:13">
      <c r="L2886" s="65">
        <v>522310</v>
      </c>
      <c r="M2886" t="s">
        <v>1205</v>
      </c>
    </row>
    <row r="2887" spans="12:13">
      <c r="L2887" s="65">
        <v>522311</v>
      </c>
      <c r="M2887" t="s">
        <v>1205</v>
      </c>
    </row>
    <row r="2888" spans="12:13">
      <c r="L2888" s="65">
        <v>523000</v>
      </c>
      <c r="M2888" t="s">
        <v>1206</v>
      </c>
    </row>
    <row r="2889" spans="12:13">
      <c r="L2889" s="65">
        <v>523100</v>
      </c>
      <c r="M2889" t="s">
        <v>1206</v>
      </c>
    </row>
    <row r="2890" spans="12:13">
      <c r="L2890" s="65">
        <v>523110</v>
      </c>
      <c r="M2890" t="s">
        <v>1206</v>
      </c>
    </row>
    <row r="2891" spans="12:13">
      <c r="L2891" s="65">
        <v>523111</v>
      </c>
      <c r="M2891" t="s">
        <v>1206</v>
      </c>
    </row>
    <row r="2892" spans="12:13">
      <c r="L2892" s="65">
        <v>530000</v>
      </c>
      <c r="M2892" t="s">
        <v>402</v>
      </c>
    </row>
    <row r="2893" spans="12:13">
      <c r="L2893" s="65">
        <v>531000</v>
      </c>
      <c r="M2893" t="s">
        <v>402</v>
      </c>
    </row>
    <row r="2894" spans="12:13">
      <c r="L2894" s="65">
        <v>531100</v>
      </c>
      <c r="M2894" t="s">
        <v>402</v>
      </c>
    </row>
    <row r="2895" spans="12:13">
      <c r="L2895" s="65">
        <v>531110</v>
      </c>
      <c r="M2895" t="s">
        <v>402</v>
      </c>
    </row>
    <row r="2896" spans="12:13">
      <c r="L2896" s="65">
        <v>531111</v>
      </c>
      <c r="M2896" t="s">
        <v>402</v>
      </c>
    </row>
    <row r="2897" spans="12:13">
      <c r="L2897" s="65">
        <v>540000</v>
      </c>
      <c r="M2897" t="s">
        <v>411</v>
      </c>
    </row>
    <row r="2898" spans="12:13">
      <c r="L2898" s="65">
        <v>541000</v>
      </c>
      <c r="M2898" t="s">
        <v>412</v>
      </c>
    </row>
    <row r="2899" spans="12:13">
      <c r="L2899" s="65">
        <v>541100</v>
      </c>
      <c r="M2899" t="s">
        <v>412</v>
      </c>
    </row>
    <row r="2900" spans="12:13">
      <c r="L2900" s="65">
        <v>541110</v>
      </c>
      <c r="M2900" t="s">
        <v>2133</v>
      </c>
    </row>
    <row r="2901" spans="12:13">
      <c r="L2901" s="65">
        <v>541111</v>
      </c>
      <c r="M2901" t="s">
        <v>2134</v>
      </c>
    </row>
    <row r="2902" spans="12:13">
      <c r="L2902" s="65">
        <v>541112</v>
      </c>
      <c r="M2902" t="s">
        <v>2135</v>
      </c>
    </row>
    <row r="2903" spans="12:13">
      <c r="L2903" s="65">
        <v>541113</v>
      </c>
      <c r="M2903" t="s">
        <v>2136</v>
      </c>
    </row>
    <row r="2904" spans="12:13">
      <c r="L2904" s="65">
        <v>541114</v>
      </c>
      <c r="M2904" t="s">
        <v>2137</v>
      </c>
    </row>
    <row r="2905" spans="12:13">
      <c r="L2905" s="65">
        <v>541115</v>
      </c>
      <c r="M2905" t="s">
        <v>2138</v>
      </c>
    </row>
    <row r="2906" spans="12:13">
      <c r="L2906" s="65">
        <v>541120</v>
      </c>
      <c r="M2906" t="s">
        <v>2139</v>
      </c>
    </row>
    <row r="2907" spans="12:13">
      <c r="L2907" s="65">
        <v>541121</v>
      </c>
      <c r="M2907" t="s">
        <v>2140</v>
      </c>
    </row>
    <row r="2908" spans="12:13">
      <c r="L2908" s="65">
        <v>541122</v>
      </c>
      <c r="M2908" t="s">
        <v>2141</v>
      </c>
    </row>
    <row r="2909" spans="12:13">
      <c r="L2909" s="65">
        <v>541123</v>
      </c>
      <c r="M2909" t="s">
        <v>2142</v>
      </c>
    </row>
    <row r="2910" spans="12:13">
      <c r="L2910" s="65">
        <v>541124</v>
      </c>
      <c r="M2910" t="s">
        <v>2143</v>
      </c>
    </row>
    <row r="2911" spans="12:13">
      <c r="L2911" s="65">
        <v>541125</v>
      </c>
      <c r="M2911" t="s">
        <v>2144</v>
      </c>
    </row>
    <row r="2912" spans="12:13">
      <c r="L2912" s="65">
        <v>542000</v>
      </c>
      <c r="M2912" t="s">
        <v>1973</v>
      </c>
    </row>
    <row r="2913" spans="12:13">
      <c r="L2913" s="65">
        <v>542100</v>
      </c>
      <c r="M2913" t="s">
        <v>422</v>
      </c>
    </row>
    <row r="2914" spans="12:13">
      <c r="L2914" s="65">
        <v>542110</v>
      </c>
      <c r="M2914" t="s">
        <v>422</v>
      </c>
    </row>
    <row r="2915" spans="12:13">
      <c r="L2915" s="65">
        <v>542111</v>
      </c>
      <c r="M2915" t="s">
        <v>422</v>
      </c>
    </row>
    <row r="2916" spans="12:13">
      <c r="L2916" s="65">
        <v>542112</v>
      </c>
      <c r="M2916" t="s">
        <v>2145</v>
      </c>
    </row>
    <row r="2917" spans="12:13">
      <c r="L2917" s="65">
        <v>542113</v>
      </c>
      <c r="M2917" t="s">
        <v>2146</v>
      </c>
    </row>
    <row r="2918" spans="12:13">
      <c r="L2918" s="65">
        <v>542120</v>
      </c>
      <c r="M2918" t="s">
        <v>2147</v>
      </c>
    </row>
    <row r="2919" spans="12:13">
      <c r="L2919" s="65">
        <v>542121</v>
      </c>
      <c r="M2919" t="s">
        <v>2148</v>
      </c>
    </row>
    <row r="2920" spans="12:13">
      <c r="L2920" s="65">
        <v>542122</v>
      </c>
      <c r="M2920" t="s">
        <v>2149</v>
      </c>
    </row>
    <row r="2921" spans="12:13">
      <c r="L2921" s="65">
        <v>542123</v>
      </c>
      <c r="M2921" t="s">
        <v>2150</v>
      </c>
    </row>
    <row r="2922" spans="12:13">
      <c r="L2922" s="65">
        <v>543000</v>
      </c>
      <c r="M2922" t="s">
        <v>428</v>
      </c>
    </row>
    <row r="2923" spans="12:13">
      <c r="L2923" s="65">
        <v>543100</v>
      </c>
      <c r="M2923" t="s">
        <v>429</v>
      </c>
    </row>
    <row r="2924" spans="12:13">
      <c r="L2924" s="65">
        <v>543110</v>
      </c>
      <c r="M2924" t="s">
        <v>429</v>
      </c>
    </row>
    <row r="2925" spans="12:13">
      <c r="L2925" s="65">
        <v>543111</v>
      </c>
      <c r="M2925" t="s">
        <v>2151</v>
      </c>
    </row>
    <row r="2926" spans="12:13">
      <c r="L2926" s="65">
        <v>543120</v>
      </c>
      <c r="M2926" t="s">
        <v>2152</v>
      </c>
    </row>
    <row r="2927" spans="12:13">
      <c r="L2927" s="65">
        <v>543121</v>
      </c>
      <c r="M2927" t="s">
        <v>2153</v>
      </c>
    </row>
    <row r="2928" spans="12:13">
      <c r="L2928" s="65">
        <v>543200</v>
      </c>
      <c r="M2928" t="s">
        <v>433</v>
      </c>
    </row>
    <row r="2929" spans="12:13">
      <c r="L2929" s="65">
        <v>543210</v>
      </c>
      <c r="M2929" t="s">
        <v>433</v>
      </c>
    </row>
    <row r="2930" spans="12:13">
      <c r="L2930" s="65">
        <v>543211</v>
      </c>
      <c r="M2930" t="s">
        <v>2154</v>
      </c>
    </row>
    <row r="2931" spans="12:13">
      <c r="L2931" s="65">
        <v>543220</v>
      </c>
      <c r="M2931" t="s">
        <v>2155</v>
      </c>
    </row>
    <row r="2932" spans="12:13">
      <c r="L2932" s="65">
        <v>543221</v>
      </c>
      <c r="M2932" t="s">
        <v>2155</v>
      </c>
    </row>
    <row r="2933" spans="12:13">
      <c r="L2933" s="65">
        <v>550000</v>
      </c>
      <c r="M2933" t="s">
        <v>2156</v>
      </c>
    </row>
    <row r="2934" spans="12:13">
      <c r="L2934" s="65">
        <v>551000</v>
      </c>
      <c r="M2934" t="s">
        <v>2156</v>
      </c>
    </row>
    <row r="2935" spans="12:13">
      <c r="L2935" s="65">
        <v>551100</v>
      </c>
      <c r="M2935" t="s">
        <v>2156</v>
      </c>
    </row>
    <row r="2936" spans="12:13">
      <c r="L2936" s="65">
        <v>551110</v>
      </c>
      <c r="M2936" t="s">
        <v>2156</v>
      </c>
    </row>
    <row r="2937" spans="12:13">
      <c r="L2937" s="65">
        <v>551111</v>
      </c>
      <c r="M2937" t="s">
        <v>2156</v>
      </c>
    </row>
    <row r="2938" spans="12:13">
      <c r="L2938" s="65">
        <v>551120</v>
      </c>
      <c r="M2938" t="s">
        <v>2157</v>
      </c>
    </row>
    <row r="2939" spans="12:13">
      <c r="L2939" s="65">
        <v>551121</v>
      </c>
      <c r="M2939" t="s">
        <v>2157</v>
      </c>
    </row>
    <row r="2940" spans="12:13">
      <c r="L2940" s="65">
        <v>600000</v>
      </c>
      <c r="M2940" t="s">
        <v>1974</v>
      </c>
    </row>
    <row r="2941" spans="12:13">
      <c r="L2941" s="65">
        <v>610000</v>
      </c>
      <c r="M2941" t="s">
        <v>1975</v>
      </c>
    </row>
    <row r="2942" spans="12:13">
      <c r="L2942" s="65">
        <v>611000</v>
      </c>
      <c r="M2942" t="s">
        <v>2158</v>
      </c>
    </row>
    <row r="2943" spans="12:13">
      <c r="L2943" s="65">
        <v>611100</v>
      </c>
      <c r="M2943" t="s">
        <v>1977</v>
      </c>
    </row>
    <row r="2944" spans="12:13">
      <c r="L2944" s="65">
        <v>611110</v>
      </c>
      <c r="M2944" t="s">
        <v>2159</v>
      </c>
    </row>
    <row r="2945" spans="12:13">
      <c r="L2945" s="65">
        <v>611111</v>
      </c>
      <c r="M2945" t="s">
        <v>2159</v>
      </c>
    </row>
    <row r="2946" spans="12:13">
      <c r="L2946" s="65">
        <v>611120</v>
      </c>
      <c r="M2946" t="s">
        <v>2160</v>
      </c>
    </row>
    <row r="2947" spans="12:13">
      <c r="L2947" s="65">
        <v>611121</v>
      </c>
      <c r="M2947" t="s">
        <v>2160</v>
      </c>
    </row>
    <row r="2948" spans="12:13">
      <c r="L2948" s="65">
        <v>611122</v>
      </c>
      <c r="M2948" t="s">
        <v>2161</v>
      </c>
    </row>
    <row r="2949" spans="12:13">
      <c r="L2949" s="65">
        <v>611200</v>
      </c>
      <c r="M2949" t="s">
        <v>1978</v>
      </c>
    </row>
    <row r="2950" spans="12:13">
      <c r="L2950" s="65">
        <v>611210</v>
      </c>
      <c r="M2950" t="s">
        <v>2162</v>
      </c>
    </row>
    <row r="2951" spans="12:13">
      <c r="L2951" s="65">
        <v>611211</v>
      </c>
      <c r="M2951" t="s">
        <v>2162</v>
      </c>
    </row>
    <row r="2952" spans="12:13">
      <c r="L2952" s="65">
        <v>611220</v>
      </c>
      <c r="M2952" t="s">
        <v>2163</v>
      </c>
    </row>
    <row r="2953" spans="12:13">
      <c r="L2953" s="65">
        <v>611221</v>
      </c>
      <c r="M2953" t="s">
        <v>2163</v>
      </c>
    </row>
    <row r="2954" spans="12:13">
      <c r="L2954" s="65">
        <v>611230</v>
      </c>
      <c r="M2954" t="s">
        <v>2164</v>
      </c>
    </row>
    <row r="2955" spans="12:13">
      <c r="L2955" s="65">
        <v>611231</v>
      </c>
      <c r="M2955" t="s">
        <v>2164</v>
      </c>
    </row>
    <row r="2956" spans="12:13">
      <c r="L2956" s="65">
        <v>611240</v>
      </c>
      <c r="M2956" t="s">
        <v>2165</v>
      </c>
    </row>
    <row r="2957" spans="12:13">
      <c r="L2957" s="65">
        <v>611241</v>
      </c>
      <c r="M2957" t="s">
        <v>2165</v>
      </c>
    </row>
    <row r="2958" spans="12:13">
      <c r="L2958" s="65">
        <v>611250</v>
      </c>
      <c r="M2958" t="s">
        <v>2166</v>
      </c>
    </row>
    <row r="2959" spans="12:13">
      <c r="L2959" s="65">
        <v>611251</v>
      </c>
      <c r="M2959" t="s">
        <v>2167</v>
      </c>
    </row>
    <row r="2960" spans="12:13">
      <c r="L2960" s="65">
        <v>611252</v>
      </c>
      <c r="M2960" t="s">
        <v>2168</v>
      </c>
    </row>
    <row r="2961" spans="12:13">
      <c r="L2961" s="65">
        <v>611255</v>
      </c>
      <c r="M2961" t="s">
        <v>2169</v>
      </c>
    </row>
    <row r="2962" spans="12:13">
      <c r="L2962" s="65">
        <v>611300</v>
      </c>
      <c r="M2962" t="s">
        <v>1979</v>
      </c>
    </row>
    <row r="2963" spans="12:13">
      <c r="L2963" s="65">
        <v>611310</v>
      </c>
      <c r="M2963" t="s">
        <v>2170</v>
      </c>
    </row>
    <row r="2964" spans="12:13">
      <c r="L2964" s="65">
        <v>611311</v>
      </c>
      <c r="M2964" t="s">
        <v>2170</v>
      </c>
    </row>
    <row r="2965" spans="12:13">
      <c r="L2965" s="65">
        <v>611390</v>
      </c>
      <c r="M2965" t="s">
        <v>2171</v>
      </c>
    </row>
    <row r="2966" spans="12:13">
      <c r="L2966" s="65">
        <v>611391</v>
      </c>
      <c r="M2966" t="s">
        <v>2171</v>
      </c>
    </row>
    <row r="2967" spans="12:13">
      <c r="L2967" s="65">
        <v>611400</v>
      </c>
      <c r="M2967" t="s">
        <v>1980</v>
      </c>
    </row>
    <row r="2968" spans="12:13">
      <c r="L2968" s="65">
        <v>611410</v>
      </c>
      <c r="M2968" t="s">
        <v>1980</v>
      </c>
    </row>
    <row r="2969" spans="12:13">
      <c r="L2969" s="65">
        <v>611411</v>
      </c>
      <c r="M2969" t="s">
        <v>1980</v>
      </c>
    </row>
    <row r="2970" spans="12:13">
      <c r="L2970" s="65">
        <v>611500</v>
      </c>
      <c r="M2970" t="s">
        <v>1981</v>
      </c>
    </row>
    <row r="2971" spans="12:13">
      <c r="L2971" s="65">
        <v>611510</v>
      </c>
      <c r="M2971" t="s">
        <v>1981</v>
      </c>
    </row>
    <row r="2972" spans="12:13">
      <c r="L2972" s="65">
        <v>611511</v>
      </c>
      <c r="M2972" t="s">
        <v>1981</v>
      </c>
    </row>
    <row r="2973" spans="12:13">
      <c r="L2973" s="65">
        <v>611600</v>
      </c>
      <c r="M2973" t="s">
        <v>1982</v>
      </c>
    </row>
    <row r="2974" spans="12:13">
      <c r="L2974" s="65">
        <v>611610</v>
      </c>
      <c r="M2974" t="s">
        <v>1982</v>
      </c>
    </row>
    <row r="2975" spans="12:13">
      <c r="L2975" s="65">
        <v>611611</v>
      </c>
      <c r="M2975" t="s">
        <v>1982</v>
      </c>
    </row>
    <row r="2976" spans="12:13">
      <c r="L2976" s="65">
        <v>611700</v>
      </c>
      <c r="M2976" t="s">
        <v>1983</v>
      </c>
    </row>
    <row r="2977" spans="12:13">
      <c r="L2977" s="65">
        <v>611710</v>
      </c>
      <c r="M2977" t="s">
        <v>1983</v>
      </c>
    </row>
    <row r="2978" spans="12:13">
      <c r="L2978" s="65">
        <v>611711</v>
      </c>
      <c r="M2978" t="s">
        <v>1983</v>
      </c>
    </row>
    <row r="2979" spans="12:13">
      <c r="L2979" s="65">
        <v>611800</v>
      </c>
      <c r="M2979" t="s">
        <v>1984</v>
      </c>
    </row>
    <row r="2980" spans="12:13">
      <c r="L2980" s="65">
        <v>611810</v>
      </c>
      <c r="M2980" t="s">
        <v>1984</v>
      </c>
    </row>
    <row r="2981" spans="12:13">
      <c r="L2981" s="65">
        <v>611811</v>
      </c>
      <c r="M2981" t="s">
        <v>1984</v>
      </c>
    </row>
    <row r="2982" spans="12:13">
      <c r="L2982" s="65">
        <v>611900</v>
      </c>
      <c r="M2982" t="s">
        <v>1985</v>
      </c>
    </row>
    <row r="2983" spans="12:13">
      <c r="L2983" s="65">
        <v>611910</v>
      </c>
      <c r="M2983" t="s">
        <v>2172</v>
      </c>
    </row>
    <row r="2984" spans="12:13">
      <c r="L2984" s="65">
        <v>611911</v>
      </c>
      <c r="M2984" t="s">
        <v>2172</v>
      </c>
    </row>
    <row r="2985" spans="12:13">
      <c r="L2985" s="65">
        <v>611920</v>
      </c>
      <c r="M2985" t="s">
        <v>2173</v>
      </c>
    </row>
    <row r="2986" spans="12:13">
      <c r="L2986" s="65">
        <v>611921</v>
      </c>
      <c r="M2986" t="s">
        <v>2173</v>
      </c>
    </row>
    <row r="2987" spans="12:13">
      <c r="L2987" s="65">
        <v>612000</v>
      </c>
      <c r="M2987" t="s">
        <v>1986</v>
      </c>
    </row>
    <row r="2988" spans="12:13">
      <c r="L2988" s="65">
        <v>612100</v>
      </c>
      <c r="M2988" t="s">
        <v>1987</v>
      </c>
    </row>
    <row r="2989" spans="12:13">
      <c r="L2989" s="65">
        <v>612110</v>
      </c>
      <c r="M2989" t="s">
        <v>2174</v>
      </c>
    </row>
    <row r="2990" spans="12:13">
      <c r="L2990" s="65">
        <v>612111</v>
      </c>
      <c r="M2990" t="s">
        <v>2174</v>
      </c>
    </row>
    <row r="2991" spans="12:13">
      <c r="L2991" s="65">
        <v>612120</v>
      </c>
      <c r="M2991" t="s">
        <v>2175</v>
      </c>
    </row>
    <row r="2992" spans="12:13">
      <c r="L2992" s="65">
        <v>612121</v>
      </c>
      <c r="M2992" t="s">
        <v>2176</v>
      </c>
    </row>
    <row r="2993" spans="12:13">
      <c r="L2993" s="65">
        <v>612122</v>
      </c>
      <c r="M2993" t="s">
        <v>2177</v>
      </c>
    </row>
    <row r="2994" spans="12:13">
      <c r="L2994" s="65">
        <v>612200</v>
      </c>
      <c r="M2994" t="s">
        <v>1988</v>
      </c>
    </row>
    <row r="2995" spans="12:13">
      <c r="L2995" s="65">
        <v>612210</v>
      </c>
      <c r="M2995" t="s">
        <v>2178</v>
      </c>
    </row>
    <row r="2996" spans="12:13">
      <c r="L2996" s="65">
        <v>612211</v>
      </c>
      <c r="M2996" t="s">
        <v>2178</v>
      </c>
    </row>
    <row r="2997" spans="12:13">
      <c r="L2997" s="65">
        <v>612220</v>
      </c>
      <c r="M2997" t="s">
        <v>2179</v>
      </c>
    </row>
    <row r="2998" spans="12:13">
      <c r="L2998" s="65">
        <v>612221</v>
      </c>
      <c r="M2998" t="s">
        <v>2179</v>
      </c>
    </row>
    <row r="2999" spans="12:13">
      <c r="L2999" s="65">
        <v>612290</v>
      </c>
      <c r="M2999" t="s">
        <v>2180</v>
      </c>
    </row>
    <row r="3000" spans="12:13">
      <c r="L3000" s="65">
        <v>612291</v>
      </c>
      <c r="M3000" t="s">
        <v>2180</v>
      </c>
    </row>
    <row r="3001" spans="12:13">
      <c r="L3001" s="65">
        <v>612300</v>
      </c>
      <c r="M3001" t="s">
        <v>1989</v>
      </c>
    </row>
    <row r="3002" spans="12:13">
      <c r="L3002" s="65">
        <v>612310</v>
      </c>
      <c r="M3002" t="s">
        <v>2181</v>
      </c>
    </row>
    <row r="3003" spans="12:13">
      <c r="L3003" s="65">
        <v>612311</v>
      </c>
      <c r="M3003" t="s">
        <v>2181</v>
      </c>
    </row>
    <row r="3004" spans="12:13">
      <c r="L3004" s="65">
        <v>612320</v>
      </c>
      <c r="M3004" t="s">
        <v>2182</v>
      </c>
    </row>
    <row r="3005" spans="12:13">
      <c r="L3005" s="65">
        <v>612321</v>
      </c>
      <c r="M3005" t="s">
        <v>2182</v>
      </c>
    </row>
    <row r="3006" spans="12:13">
      <c r="L3006" s="65">
        <v>612330</v>
      </c>
      <c r="M3006" t="s">
        <v>2183</v>
      </c>
    </row>
    <row r="3007" spans="12:13">
      <c r="L3007" s="65">
        <v>612331</v>
      </c>
      <c r="M3007" t="s">
        <v>2183</v>
      </c>
    </row>
    <row r="3008" spans="12:13">
      <c r="L3008" s="65">
        <v>612340</v>
      </c>
      <c r="M3008" t="s">
        <v>2184</v>
      </c>
    </row>
    <row r="3009" spans="12:13">
      <c r="L3009" s="65">
        <v>612341</v>
      </c>
      <c r="M3009" t="s">
        <v>2184</v>
      </c>
    </row>
    <row r="3010" spans="12:13">
      <c r="L3010" s="65">
        <v>612350</v>
      </c>
      <c r="M3010" t="s">
        <v>2185</v>
      </c>
    </row>
    <row r="3011" spans="12:13">
      <c r="L3011" s="65">
        <v>612351</v>
      </c>
      <c r="M3011" t="s">
        <v>2185</v>
      </c>
    </row>
    <row r="3012" spans="12:13">
      <c r="L3012" s="65">
        <v>612390</v>
      </c>
      <c r="M3012" t="s">
        <v>2186</v>
      </c>
    </row>
    <row r="3013" spans="12:13">
      <c r="L3013" s="65">
        <v>612391</v>
      </c>
      <c r="M3013" t="s">
        <v>2186</v>
      </c>
    </row>
    <row r="3014" spans="12:13">
      <c r="L3014" s="65">
        <v>612400</v>
      </c>
      <c r="M3014" t="s">
        <v>2187</v>
      </c>
    </row>
    <row r="3015" spans="12:13">
      <c r="L3015" s="65">
        <v>612410</v>
      </c>
      <c r="M3015" t="s">
        <v>2188</v>
      </c>
    </row>
    <row r="3016" spans="12:13">
      <c r="L3016" s="65">
        <v>612411</v>
      </c>
      <c r="M3016" t="s">
        <v>2188</v>
      </c>
    </row>
    <row r="3017" spans="12:13">
      <c r="L3017" s="65">
        <v>612490</v>
      </c>
      <c r="M3017" t="s">
        <v>2189</v>
      </c>
    </row>
    <row r="3018" spans="12:13">
      <c r="L3018" s="65">
        <v>612491</v>
      </c>
      <c r="M3018" t="s">
        <v>2189</v>
      </c>
    </row>
    <row r="3019" spans="12:13">
      <c r="L3019" s="65">
        <v>612500</v>
      </c>
      <c r="M3019" t="s">
        <v>2190</v>
      </c>
    </row>
    <row r="3020" spans="12:13">
      <c r="L3020" s="65">
        <v>612510</v>
      </c>
      <c r="M3020" t="s">
        <v>2190</v>
      </c>
    </row>
    <row r="3021" spans="12:13">
      <c r="L3021" s="65">
        <v>612511</v>
      </c>
      <c r="M3021" t="s">
        <v>2190</v>
      </c>
    </row>
    <row r="3022" spans="12:13">
      <c r="L3022" s="65">
        <v>612600</v>
      </c>
      <c r="M3022" t="s">
        <v>1992</v>
      </c>
    </row>
    <row r="3023" spans="12:13">
      <c r="L3023" s="65">
        <v>612610</v>
      </c>
      <c r="M3023" t="s">
        <v>1992</v>
      </c>
    </row>
    <row r="3024" spans="12:13">
      <c r="L3024" s="65">
        <v>612611</v>
      </c>
      <c r="M3024" t="s">
        <v>1992</v>
      </c>
    </row>
    <row r="3025" spans="12:13">
      <c r="L3025" s="65">
        <v>612900</v>
      </c>
      <c r="M3025" t="s">
        <v>1993</v>
      </c>
    </row>
    <row r="3026" spans="12:13">
      <c r="L3026" s="65">
        <v>612910</v>
      </c>
      <c r="M3026" t="s">
        <v>2191</v>
      </c>
    </row>
    <row r="3027" spans="12:13">
      <c r="L3027" s="65">
        <v>612911</v>
      </c>
      <c r="M3027" t="s">
        <v>2191</v>
      </c>
    </row>
    <row r="3028" spans="12:13">
      <c r="L3028" s="65">
        <v>613000</v>
      </c>
      <c r="M3028" t="s">
        <v>1994</v>
      </c>
    </row>
    <row r="3029" spans="12:13">
      <c r="L3029" s="65">
        <v>613100</v>
      </c>
      <c r="M3029" t="s">
        <v>1994</v>
      </c>
    </row>
    <row r="3030" spans="12:13">
      <c r="L3030" s="65">
        <v>613110</v>
      </c>
      <c r="M3030" t="s">
        <v>1994</v>
      </c>
    </row>
    <row r="3031" spans="12:13">
      <c r="L3031" s="65">
        <v>613111</v>
      </c>
      <c r="M3031" t="s">
        <v>1994</v>
      </c>
    </row>
    <row r="3032" spans="12:13">
      <c r="L3032" s="65">
        <v>614000</v>
      </c>
      <c r="M3032" t="s">
        <v>1995</v>
      </c>
    </row>
    <row r="3033" spans="12:13">
      <c r="L3033" s="65">
        <v>614100</v>
      </c>
      <c r="M3033" t="s">
        <v>1995</v>
      </c>
    </row>
    <row r="3034" spans="12:13">
      <c r="L3034" s="65">
        <v>614110</v>
      </c>
      <c r="M3034" t="s">
        <v>1995</v>
      </c>
    </row>
    <row r="3035" spans="12:13">
      <c r="L3035" s="65">
        <v>614111</v>
      </c>
      <c r="M3035" t="s">
        <v>2192</v>
      </c>
    </row>
    <row r="3036" spans="12:13">
      <c r="L3036" s="65">
        <v>620000</v>
      </c>
      <c r="M3036" t="s">
        <v>1996</v>
      </c>
    </row>
    <row r="3037" spans="12:13">
      <c r="L3037" s="65">
        <v>621000</v>
      </c>
      <c r="M3037" t="s">
        <v>1997</v>
      </c>
    </row>
    <row r="3038" spans="12:13">
      <c r="L3038" s="65">
        <v>621100</v>
      </c>
      <c r="M3038" t="s">
        <v>1998</v>
      </c>
    </row>
    <row r="3039" spans="12:13">
      <c r="L3039" s="65">
        <v>621110</v>
      </c>
      <c r="M3039" t="s">
        <v>2193</v>
      </c>
    </row>
    <row r="3040" spans="12:13">
      <c r="L3040" s="65">
        <v>621111</v>
      </c>
      <c r="M3040" t="s">
        <v>2193</v>
      </c>
    </row>
    <row r="3041" spans="12:13">
      <c r="L3041" s="65">
        <v>621120</v>
      </c>
      <c r="M3041" t="s">
        <v>563</v>
      </c>
    </row>
    <row r="3042" spans="12:13">
      <c r="L3042" s="65">
        <v>621121</v>
      </c>
      <c r="M3042" t="s">
        <v>563</v>
      </c>
    </row>
    <row r="3043" spans="12:13">
      <c r="L3043" s="65">
        <v>621200</v>
      </c>
      <c r="M3043" t="s">
        <v>565</v>
      </c>
    </row>
    <row r="3044" spans="12:13">
      <c r="L3044" s="65">
        <v>621210</v>
      </c>
      <c r="M3044" t="s">
        <v>566</v>
      </c>
    </row>
    <row r="3045" spans="12:13">
      <c r="L3045" s="65">
        <v>621211</v>
      </c>
      <c r="M3045" t="s">
        <v>566</v>
      </c>
    </row>
    <row r="3046" spans="12:13">
      <c r="L3046" s="65">
        <v>621220</v>
      </c>
      <c r="M3046" t="s">
        <v>567</v>
      </c>
    </row>
    <row r="3047" spans="12:13">
      <c r="L3047" s="65">
        <v>621221</v>
      </c>
      <c r="M3047" t="s">
        <v>567</v>
      </c>
    </row>
    <row r="3048" spans="12:13">
      <c r="L3048" s="65">
        <v>621230</v>
      </c>
      <c r="M3048" t="s">
        <v>568</v>
      </c>
    </row>
    <row r="3049" spans="12:13">
      <c r="L3049" s="65">
        <v>621231</v>
      </c>
      <c r="M3049" t="s">
        <v>568</v>
      </c>
    </row>
    <row r="3050" spans="12:13">
      <c r="L3050" s="65">
        <v>621240</v>
      </c>
      <c r="M3050" t="s">
        <v>569</v>
      </c>
    </row>
    <row r="3051" spans="12:13">
      <c r="L3051" s="65">
        <v>621241</v>
      </c>
      <c r="M3051" t="s">
        <v>569</v>
      </c>
    </row>
    <row r="3052" spans="12:13">
      <c r="L3052" s="65">
        <v>621250</v>
      </c>
      <c r="M3052" t="s">
        <v>570</v>
      </c>
    </row>
    <row r="3053" spans="12:13">
      <c r="L3053" s="65">
        <v>621251</v>
      </c>
      <c r="M3053" t="s">
        <v>571</v>
      </c>
    </row>
    <row r="3054" spans="12:13">
      <c r="L3054" s="65">
        <v>621252</v>
      </c>
      <c r="M3054" t="s">
        <v>572</v>
      </c>
    </row>
    <row r="3055" spans="12:13">
      <c r="L3055" s="65">
        <v>621255</v>
      </c>
      <c r="M3055" t="s">
        <v>573</v>
      </c>
    </row>
    <row r="3056" spans="12:13">
      <c r="L3056" s="65">
        <v>621300</v>
      </c>
      <c r="M3056" t="s">
        <v>580</v>
      </c>
    </row>
    <row r="3057" spans="12:13">
      <c r="L3057" s="65">
        <v>621310</v>
      </c>
      <c r="M3057" t="s">
        <v>581</v>
      </c>
    </row>
    <row r="3058" spans="12:13">
      <c r="L3058" s="65">
        <v>621311</v>
      </c>
      <c r="M3058" t="s">
        <v>581</v>
      </c>
    </row>
    <row r="3059" spans="12:13">
      <c r="L3059" s="65">
        <v>621390</v>
      </c>
      <c r="M3059" t="s">
        <v>582</v>
      </c>
    </row>
    <row r="3060" spans="12:13">
      <c r="L3060" s="65">
        <v>621391</v>
      </c>
      <c r="M3060" t="s">
        <v>582</v>
      </c>
    </row>
    <row r="3061" spans="12:13">
      <c r="L3061" s="65">
        <v>621400</v>
      </c>
      <c r="M3061" t="s">
        <v>587</v>
      </c>
    </row>
    <row r="3062" spans="12:13">
      <c r="L3062" s="65">
        <v>621410</v>
      </c>
      <c r="M3062" t="s">
        <v>587</v>
      </c>
    </row>
    <row r="3063" spans="12:13">
      <c r="L3063" s="65">
        <v>621411</v>
      </c>
      <c r="M3063" t="s">
        <v>587</v>
      </c>
    </row>
    <row r="3064" spans="12:13">
      <c r="L3064" s="65">
        <v>621500</v>
      </c>
      <c r="M3064" t="s">
        <v>2194</v>
      </c>
    </row>
    <row r="3065" spans="12:13">
      <c r="L3065" s="65">
        <v>621510</v>
      </c>
      <c r="M3065" t="s">
        <v>2194</v>
      </c>
    </row>
    <row r="3066" spans="12:13">
      <c r="L3066" s="65">
        <v>621511</v>
      </c>
      <c r="M3066" t="s">
        <v>2194</v>
      </c>
    </row>
    <row r="3067" spans="12:13">
      <c r="L3067" s="65">
        <v>621600</v>
      </c>
      <c r="M3067" t="s">
        <v>591</v>
      </c>
    </row>
    <row r="3068" spans="12:13">
      <c r="L3068" s="65">
        <v>621610</v>
      </c>
      <c r="M3068" t="s">
        <v>591</v>
      </c>
    </row>
    <row r="3069" spans="12:13">
      <c r="L3069" s="65">
        <v>621611</v>
      </c>
      <c r="M3069" t="s">
        <v>2195</v>
      </c>
    </row>
    <row r="3070" spans="12:13">
      <c r="L3070" s="65">
        <v>621612</v>
      </c>
      <c r="M3070" t="s">
        <v>2196</v>
      </c>
    </row>
    <row r="3071" spans="12:13">
      <c r="L3071" s="65">
        <v>621613</v>
      </c>
      <c r="M3071" t="s">
        <v>594</v>
      </c>
    </row>
    <row r="3072" spans="12:13">
      <c r="L3072" s="65">
        <v>621700</v>
      </c>
      <c r="M3072" t="s">
        <v>2197</v>
      </c>
    </row>
    <row r="3073" spans="12:13">
      <c r="L3073" s="65">
        <v>621710</v>
      </c>
      <c r="M3073" t="s">
        <v>2197</v>
      </c>
    </row>
    <row r="3074" spans="12:13">
      <c r="L3074" s="65">
        <v>621711</v>
      </c>
      <c r="M3074" t="s">
        <v>597</v>
      </c>
    </row>
    <row r="3075" spans="12:13">
      <c r="L3075" s="65">
        <v>621712</v>
      </c>
      <c r="M3075" t="s">
        <v>598</v>
      </c>
    </row>
    <row r="3076" spans="12:13">
      <c r="L3076" s="65">
        <v>621800</v>
      </c>
      <c r="M3076" t="s">
        <v>600</v>
      </c>
    </row>
    <row r="3077" spans="12:13">
      <c r="L3077" s="65">
        <v>621810</v>
      </c>
      <c r="M3077" t="s">
        <v>600</v>
      </c>
    </row>
    <row r="3078" spans="12:13">
      <c r="L3078" s="65">
        <v>621811</v>
      </c>
      <c r="M3078" t="s">
        <v>600</v>
      </c>
    </row>
    <row r="3079" spans="12:13">
      <c r="L3079" s="65">
        <v>621900</v>
      </c>
      <c r="M3079" t="s">
        <v>2000</v>
      </c>
    </row>
    <row r="3080" spans="12:13">
      <c r="L3080" s="65">
        <v>621910</v>
      </c>
      <c r="M3080" t="s">
        <v>2198</v>
      </c>
    </row>
    <row r="3081" spans="12:13">
      <c r="L3081" s="65">
        <v>621911</v>
      </c>
      <c r="M3081" t="s">
        <v>2198</v>
      </c>
    </row>
    <row r="3082" spans="12:13">
      <c r="L3082" s="65">
        <v>621920</v>
      </c>
      <c r="M3082" t="s">
        <v>604</v>
      </c>
    </row>
    <row r="3083" spans="12:13">
      <c r="L3083" s="65">
        <v>621921</v>
      </c>
      <c r="M3083" t="s">
        <v>605</v>
      </c>
    </row>
    <row r="3084" spans="12:13">
      <c r="L3084" s="65">
        <v>621922</v>
      </c>
      <c r="M3084" t="s">
        <v>2199</v>
      </c>
    </row>
    <row r="3085" spans="12:13">
      <c r="L3085" s="65">
        <v>621930</v>
      </c>
      <c r="M3085" t="s">
        <v>607</v>
      </c>
    </row>
    <row r="3086" spans="12:13">
      <c r="L3086" s="65">
        <v>621931</v>
      </c>
      <c r="M3086" t="s">
        <v>607</v>
      </c>
    </row>
    <row r="3087" spans="12:13">
      <c r="L3087" s="65">
        <v>621940</v>
      </c>
      <c r="M3087" t="s">
        <v>608</v>
      </c>
    </row>
    <row r="3088" spans="12:13">
      <c r="L3088" s="65">
        <v>621941</v>
      </c>
      <c r="M3088" t="s">
        <v>608</v>
      </c>
    </row>
    <row r="3089" spans="12:13">
      <c r="L3089" s="65">
        <v>622000</v>
      </c>
      <c r="M3089" t="s">
        <v>2001</v>
      </c>
    </row>
    <row r="3090" spans="12:13">
      <c r="L3090" s="65">
        <v>622100</v>
      </c>
      <c r="M3090" t="s">
        <v>2002</v>
      </c>
    </row>
    <row r="3091" spans="12:13">
      <c r="L3091" s="65">
        <v>622110</v>
      </c>
      <c r="M3091" t="s">
        <v>2200</v>
      </c>
    </row>
    <row r="3092" spans="12:13">
      <c r="L3092" s="65">
        <v>622111</v>
      </c>
      <c r="M3092" t="s">
        <v>2200</v>
      </c>
    </row>
    <row r="3093" spans="12:13">
      <c r="L3093" s="65">
        <v>622120</v>
      </c>
      <c r="M3093" t="s">
        <v>2201</v>
      </c>
    </row>
    <row r="3094" spans="12:13">
      <c r="L3094" s="65">
        <v>622121</v>
      </c>
      <c r="M3094" t="s">
        <v>2201</v>
      </c>
    </row>
    <row r="3095" spans="12:13">
      <c r="L3095" s="65">
        <v>622200</v>
      </c>
      <c r="M3095" t="s">
        <v>617</v>
      </c>
    </row>
    <row r="3096" spans="12:13">
      <c r="L3096" s="65">
        <v>622210</v>
      </c>
      <c r="M3096" t="s">
        <v>617</v>
      </c>
    </row>
    <row r="3097" spans="12:13">
      <c r="L3097" s="65">
        <v>622211</v>
      </c>
      <c r="M3097" t="s">
        <v>617</v>
      </c>
    </row>
    <row r="3098" spans="12:13">
      <c r="L3098" s="65">
        <v>622300</v>
      </c>
      <c r="M3098" t="s">
        <v>619</v>
      </c>
    </row>
    <row r="3099" spans="12:13">
      <c r="L3099" s="65">
        <v>622310</v>
      </c>
      <c r="M3099" t="s">
        <v>619</v>
      </c>
    </row>
    <row r="3100" spans="12:13">
      <c r="L3100" s="65">
        <v>622311</v>
      </c>
      <c r="M3100" t="s">
        <v>619</v>
      </c>
    </row>
    <row r="3101" spans="12:13">
      <c r="L3101" s="65">
        <v>622400</v>
      </c>
      <c r="M3101" t="s">
        <v>621</v>
      </c>
    </row>
    <row r="3102" spans="12:13">
      <c r="L3102" s="65">
        <v>622410</v>
      </c>
      <c r="M3102" t="s">
        <v>621</v>
      </c>
    </row>
    <row r="3103" spans="12:13">
      <c r="L3103" s="65">
        <v>622411</v>
      </c>
      <c r="M3103" t="s">
        <v>621</v>
      </c>
    </row>
    <row r="3104" spans="12:13">
      <c r="L3104" s="65">
        <v>622500</v>
      </c>
      <c r="M3104" t="s">
        <v>623</v>
      </c>
    </row>
    <row r="3105" spans="12:13">
      <c r="L3105" s="65">
        <v>622510</v>
      </c>
      <c r="M3105" t="s">
        <v>623</v>
      </c>
    </row>
    <row r="3106" spans="12:13">
      <c r="L3106" s="65">
        <v>622511</v>
      </c>
      <c r="M3106" t="s">
        <v>623</v>
      </c>
    </row>
    <row r="3107" spans="12:13">
      <c r="L3107" s="65">
        <v>622600</v>
      </c>
      <c r="M3107" t="s">
        <v>625</v>
      </c>
    </row>
    <row r="3108" spans="12:13">
      <c r="L3108" s="65">
        <v>622610</v>
      </c>
      <c r="M3108" t="s">
        <v>625</v>
      </c>
    </row>
    <row r="3109" spans="12:13">
      <c r="L3109" s="65">
        <v>622611</v>
      </c>
      <c r="M3109" t="s">
        <v>626</v>
      </c>
    </row>
    <row r="3110" spans="12:13">
      <c r="L3110" s="65">
        <v>622612</v>
      </c>
      <c r="M3110" t="s">
        <v>627</v>
      </c>
    </row>
    <row r="3111" spans="12:13">
      <c r="L3111" s="65">
        <v>622700</v>
      </c>
      <c r="M3111" t="s">
        <v>2003</v>
      </c>
    </row>
    <row r="3112" spans="12:13">
      <c r="L3112" s="65">
        <v>622710</v>
      </c>
      <c r="M3112" t="s">
        <v>630</v>
      </c>
    </row>
    <row r="3113" spans="12:13">
      <c r="L3113" s="65">
        <v>622711</v>
      </c>
      <c r="M3113" t="s">
        <v>630</v>
      </c>
    </row>
    <row r="3114" spans="12:13">
      <c r="L3114" s="65">
        <v>622720</v>
      </c>
      <c r="M3114" t="s">
        <v>631</v>
      </c>
    </row>
    <row r="3115" spans="12:13">
      <c r="L3115" s="65">
        <v>622721</v>
      </c>
      <c r="M3115" t="s">
        <v>631</v>
      </c>
    </row>
    <row r="3116" spans="12:13">
      <c r="L3116" s="65">
        <v>622800</v>
      </c>
      <c r="M3116" t="s">
        <v>2004</v>
      </c>
    </row>
    <row r="3117" spans="12:13">
      <c r="L3117" s="65">
        <v>622810</v>
      </c>
      <c r="M3117" t="s">
        <v>2004</v>
      </c>
    </row>
    <row r="3118" spans="12:13">
      <c r="L3118" s="65">
        <v>622811</v>
      </c>
      <c r="M3118" t="s">
        <v>2004</v>
      </c>
    </row>
    <row r="3119" spans="12:13">
      <c r="L3119" s="65">
        <v>623000</v>
      </c>
      <c r="M3119" t="s">
        <v>2202</v>
      </c>
    </row>
    <row r="3120" spans="12:13">
      <c r="L3120" s="65">
        <v>623100</v>
      </c>
      <c r="M3120" t="s">
        <v>2203</v>
      </c>
    </row>
    <row r="3121" spans="12:13">
      <c r="L3121" s="65">
        <v>623110</v>
      </c>
      <c r="M3121" t="s">
        <v>2203</v>
      </c>
    </row>
    <row r="3122" spans="12:13">
      <c r="L3122" s="65">
        <v>623111</v>
      </c>
      <c r="M3122" t="s">
        <v>2203</v>
      </c>
    </row>
    <row r="3123" spans="12:13">
      <c r="L3123" s="65">
        <v>690000</v>
      </c>
      <c r="M3123" t="s">
        <v>2204</v>
      </c>
    </row>
    <row r="3124" spans="12:13">
      <c r="L3124" s="65">
        <v>699000</v>
      </c>
      <c r="M3124" t="s">
        <v>2204</v>
      </c>
    </row>
    <row r="3125" spans="12:13">
      <c r="L3125" s="65">
        <v>699900</v>
      </c>
      <c r="M3125" t="s">
        <v>2204</v>
      </c>
    </row>
    <row r="3126" spans="12:13">
      <c r="L3126" s="65">
        <v>699990</v>
      </c>
      <c r="M3126" t="s">
        <v>2204</v>
      </c>
    </row>
    <row r="3127" spans="12:13">
      <c r="L3127" s="65">
        <v>699999</v>
      </c>
      <c r="M3127" t="s">
        <v>2204</v>
      </c>
    </row>
    <row r="3128" spans="12:13">
      <c r="L3128" s="65">
        <v>700000</v>
      </c>
      <c r="M3128" t="s">
        <v>2206</v>
      </c>
    </row>
    <row r="3129" spans="12:13">
      <c r="L3129" s="65">
        <v>710000</v>
      </c>
      <c r="M3129" t="s">
        <v>2207</v>
      </c>
    </row>
    <row r="3130" spans="12:13">
      <c r="L3130" s="65">
        <v>711000</v>
      </c>
      <c r="M3130" t="s">
        <v>2208</v>
      </c>
    </row>
    <row r="3131" spans="12:13">
      <c r="L3131" s="65">
        <v>711100</v>
      </c>
      <c r="M3131" t="s">
        <v>2209</v>
      </c>
    </row>
    <row r="3132" spans="12:13">
      <c r="L3132" s="65">
        <v>711110</v>
      </c>
      <c r="M3132" t="s">
        <v>2210</v>
      </c>
    </row>
    <row r="3133" spans="12:13">
      <c r="L3133" s="65">
        <v>711111</v>
      </c>
      <c r="M3133" t="s">
        <v>2210</v>
      </c>
    </row>
    <row r="3134" spans="12:13">
      <c r="L3134" s="65">
        <v>711120</v>
      </c>
      <c r="M3134" t="s">
        <v>2211</v>
      </c>
    </row>
    <row r="3135" spans="12:13">
      <c r="L3135" s="65">
        <v>711121</v>
      </c>
      <c r="M3135" t="s">
        <v>2212</v>
      </c>
    </row>
    <row r="3136" spans="12:13">
      <c r="L3136" s="65">
        <v>711122</v>
      </c>
      <c r="M3136" t="s">
        <v>2213</v>
      </c>
    </row>
    <row r="3137" spans="12:13">
      <c r="L3137" s="65">
        <v>711130</v>
      </c>
      <c r="M3137" t="s">
        <v>2214</v>
      </c>
    </row>
    <row r="3138" spans="12:13">
      <c r="L3138" s="65">
        <v>711131</v>
      </c>
      <c r="M3138" t="s">
        <v>2215</v>
      </c>
    </row>
    <row r="3139" spans="12:13">
      <c r="L3139" s="65">
        <v>711140</v>
      </c>
      <c r="M3139" t="s">
        <v>2216</v>
      </c>
    </row>
    <row r="3140" spans="12:13">
      <c r="L3140" s="65">
        <v>711141</v>
      </c>
      <c r="M3140" t="s">
        <v>2217</v>
      </c>
    </row>
    <row r="3141" spans="12:13">
      <c r="L3141" s="65">
        <v>711142</v>
      </c>
      <c r="M3141" t="s">
        <v>2218</v>
      </c>
    </row>
    <row r="3142" spans="12:13">
      <c r="L3142" s="65">
        <v>711143</v>
      </c>
      <c r="M3142" t="s">
        <v>2219</v>
      </c>
    </row>
    <row r="3143" spans="12:13">
      <c r="L3143" s="65">
        <v>711144</v>
      </c>
      <c r="M3143" t="s">
        <v>2220</v>
      </c>
    </row>
    <row r="3144" spans="12:13">
      <c r="L3144" s="65">
        <v>711145</v>
      </c>
      <c r="M3144" t="s">
        <v>2221</v>
      </c>
    </row>
    <row r="3145" spans="12:13">
      <c r="L3145" s="65">
        <v>711146</v>
      </c>
      <c r="M3145" t="s">
        <v>2222</v>
      </c>
    </row>
    <row r="3146" spans="12:13">
      <c r="L3146" s="65">
        <v>711147</v>
      </c>
      <c r="M3146" t="s">
        <v>2223</v>
      </c>
    </row>
    <row r="3147" spans="12:13">
      <c r="L3147" s="65">
        <v>711148</v>
      </c>
      <c r="M3147" t="s">
        <v>2224</v>
      </c>
    </row>
    <row r="3148" spans="12:13">
      <c r="L3148" s="65">
        <v>711149</v>
      </c>
      <c r="M3148" t="s">
        <v>2225</v>
      </c>
    </row>
    <row r="3149" spans="12:13">
      <c r="L3149" s="65">
        <v>711150</v>
      </c>
      <c r="M3149" t="s">
        <v>2226</v>
      </c>
    </row>
    <row r="3150" spans="12:13">
      <c r="L3150" s="65">
        <v>711151</v>
      </c>
      <c r="M3150" t="s">
        <v>2226</v>
      </c>
    </row>
    <row r="3151" spans="12:13">
      <c r="L3151" s="65">
        <v>711160</v>
      </c>
      <c r="M3151" t="s">
        <v>2227</v>
      </c>
    </row>
    <row r="3152" spans="12:13">
      <c r="L3152" s="65">
        <v>711161</v>
      </c>
      <c r="M3152" t="s">
        <v>2227</v>
      </c>
    </row>
    <row r="3153" spans="12:13">
      <c r="L3153" s="65">
        <v>711170</v>
      </c>
      <c r="M3153" t="s">
        <v>2228</v>
      </c>
    </row>
    <row r="3154" spans="12:13">
      <c r="L3154" s="65">
        <v>711171</v>
      </c>
      <c r="M3154" t="s">
        <v>2228</v>
      </c>
    </row>
    <row r="3155" spans="12:13">
      <c r="L3155" s="65">
        <v>711180</v>
      </c>
      <c r="M3155" t="s">
        <v>2229</v>
      </c>
    </row>
    <row r="3156" spans="12:13">
      <c r="L3156" s="65">
        <v>711181</v>
      </c>
      <c r="M3156" t="s">
        <v>2230</v>
      </c>
    </row>
    <row r="3157" spans="12:13">
      <c r="L3157" s="65">
        <v>711182</v>
      </c>
      <c r="M3157" t="s">
        <v>2231</v>
      </c>
    </row>
    <row r="3158" spans="12:13">
      <c r="L3158" s="65">
        <v>711183</v>
      </c>
      <c r="M3158" t="s">
        <v>2232</v>
      </c>
    </row>
    <row r="3159" spans="12:13">
      <c r="L3159" s="65">
        <v>711184</v>
      </c>
      <c r="M3159" t="s">
        <v>2233</v>
      </c>
    </row>
    <row r="3160" spans="12:13">
      <c r="L3160" s="65">
        <v>711185</v>
      </c>
      <c r="M3160" t="s">
        <v>2234</v>
      </c>
    </row>
    <row r="3161" spans="12:13">
      <c r="L3161" s="65">
        <v>711190</v>
      </c>
      <c r="M3161" t="s">
        <v>2235</v>
      </c>
    </row>
    <row r="3162" spans="12:13">
      <c r="L3162" s="65">
        <v>711191</v>
      </c>
      <c r="M3162" t="s">
        <v>2236</v>
      </c>
    </row>
    <row r="3163" spans="12:13">
      <c r="L3163" s="65">
        <v>711192</v>
      </c>
      <c r="M3163" t="s">
        <v>2237</v>
      </c>
    </row>
    <row r="3164" spans="12:13">
      <c r="L3164" s="65">
        <v>711193</v>
      </c>
      <c r="M3164" t="s">
        <v>2238</v>
      </c>
    </row>
    <row r="3165" spans="12:13">
      <c r="L3165" s="65">
        <v>711194</v>
      </c>
      <c r="M3165" t="s">
        <v>2239</v>
      </c>
    </row>
    <row r="3166" spans="12:13">
      <c r="L3166" s="65">
        <v>711195</v>
      </c>
      <c r="M3166" t="s">
        <v>2240</v>
      </c>
    </row>
    <row r="3167" spans="12:13">
      <c r="L3167" s="65">
        <v>711200</v>
      </c>
      <c r="M3167" t="s">
        <v>2241</v>
      </c>
    </row>
    <row r="3168" spans="12:13">
      <c r="L3168" s="65">
        <v>711210</v>
      </c>
      <c r="M3168" t="s">
        <v>2242</v>
      </c>
    </row>
    <row r="3169" spans="12:13">
      <c r="L3169" s="65">
        <v>711211</v>
      </c>
      <c r="M3169" t="s">
        <v>2243</v>
      </c>
    </row>
    <row r="3170" spans="12:13">
      <c r="L3170" s="65">
        <v>711212</v>
      </c>
      <c r="M3170" t="s">
        <v>2244</v>
      </c>
    </row>
    <row r="3171" spans="12:13">
      <c r="L3171" s="65">
        <v>711213</v>
      </c>
      <c r="M3171" t="s">
        <v>2245</v>
      </c>
    </row>
    <row r="3172" spans="12:13">
      <c r="L3172" s="65">
        <v>711214</v>
      </c>
      <c r="M3172" t="s">
        <v>2246</v>
      </c>
    </row>
    <row r="3173" spans="12:13">
      <c r="L3173" s="65">
        <v>711215</v>
      </c>
      <c r="M3173" t="s">
        <v>2247</v>
      </c>
    </row>
    <row r="3174" spans="12:13">
      <c r="L3174" s="65">
        <v>711216</v>
      </c>
      <c r="M3174" t="s">
        <v>2248</v>
      </c>
    </row>
    <row r="3175" spans="12:13">
      <c r="L3175" s="65">
        <v>711217</v>
      </c>
      <c r="M3175" t="s">
        <v>2249</v>
      </c>
    </row>
    <row r="3176" spans="12:13">
      <c r="L3176" s="65">
        <v>711218</v>
      </c>
      <c r="M3176" t="s">
        <v>2250</v>
      </c>
    </row>
    <row r="3177" spans="12:13">
      <c r="L3177" s="65">
        <v>711300</v>
      </c>
      <c r="M3177" t="s">
        <v>2251</v>
      </c>
    </row>
    <row r="3178" spans="12:13">
      <c r="L3178">
        <v>711310</v>
      </c>
      <c r="M3178" t="s">
        <v>2251</v>
      </c>
    </row>
    <row r="3179" spans="12:13">
      <c r="L3179" s="65">
        <v>711311</v>
      </c>
      <c r="M3179" t="s">
        <v>2251</v>
      </c>
    </row>
    <row r="3180" spans="12:13">
      <c r="L3180" s="65">
        <v>712000</v>
      </c>
      <c r="M3180" t="s">
        <v>2252</v>
      </c>
    </row>
    <row r="3181" spans="12:13">
      <c r="L3181" s="65">
        <v>712100</v>
      </c>
      <c r="M3181" t="s">
        <v>2252</v>
      </c>
    </row>
    <row r="3182" spans="12:13">
      <c r="L3182" s="65">
        <v>712110</v>
      </c>
      <c r="M3182" t="s">
        <v>2252</v>
      </c>
    </row>
    <row r="3183" spans="12:13">
      <c r="L3183" s="65">
        <v>712111</v>
      </c>
      <c r="M3183" t="s">
        <v>2253</v>
      </c>
    </row>
    <row r="3184" spans="12:13">
      <c r="L3184" s="65">
        <v>712112</v>
      </c>
      <c r="M3184" t="s">
        <v>2254</v>
      </c>
    </row>
    <row r="3185" spans="12:13">
      <c r="L3185" s="65">
        <v>712113</v>
      </c>
      <c r="M3185" t="s">
        <v>2255</v>
      </c>
    </row>
    <row r="3186" spans="12:13">
      <c r="L3186" s="65">
        <v>713000</v>
      </c>
      <c r="M3186" t="s">
        <v>2256</v>
      </c>
    </row>
    <row r="3187" spans="12:13">
      <c r="L3187" s="65">
        <v>713100</v>
      </c>
      <c r="M3187" t="s">
        <v>2257</v>
      </c>
    </row>
    <row r="3188" spans="12:13">
      <c r="L3188" s="65">
        <v>713110</v>
      </c>
      <c r="M3188" t="s">
        <v>2258</v>
      </c>
    </row>
    <row r="3189" spans="12:13">
      <c r="L3189" s="65">
        <v>713111</v>
      </c>
      <c r="M3189" t="s">
        <v>2259</v>
      </c>
    </row>
    <row r="3190" spans="12:13">
      <c r="L3190" s="65">
        <v>713120</v>
      </c>
      <c r="M3190" t="s">
        <v>2256</v>
      </c>
    </row>
    <row r="3191" spans="12:13">
      <c r="L3191" s="65">
        <v>713121</v>
      </c>
      <c r="M3191" t="s">
        <v>2260</v>
      </c>
    </row>
    <row r="3192" spans="12:13">
      <c r="L3192" s="65">
        <v>713122</v>
      </c>
      <c r="M3192" t="s">
        <v>2261</v>
      </c>
    </row>
    <row r="3193" spans="12:13">
      <c r="L3193" s="65">
        <v>713200</v>
      </c>
      <c r="M3193" t="s">
        <v>2262</v>
      </c>
    </row>
    <row r="3194" spans="12:13">
      <c r="L3194" s="65">
        <v>713210</v>
      </c>
      <c r="M3194" t="s">
        <v>2262</v>
      </c>
    </row>
    <row r="3195" spans="12:13">
      <c r="L3195" s="65">
        <v>713211</v>
      </c>
      <c r="M3195" t="s">
        <v>2262</v>
      </c>
    </row>
    <row r="3196" spans="12:13">
      <c r="L3196" s="65">
        <v>713300</v>
      </c>
      <c r="M3196" t="s">
        <v>2263</v>
      </c>
    </row>
    <row r="3197" spans="12:13">
      <c r="L3197" s="65">
        <v>713310</v>
      </c>
      <c r="M3197" t="s">
        <v>2264</v>
      </c>
    </row>
    <row r="3198" spans="12:13">
      <c r="L3198" s="65">
        <v>713311</v>
      </c>
      <c r="M3198" t="s">
        <v>2265</v>
      </c>
    </row>
    <row r="3199" spans="12:13">
      <c r="L3199" s="65">
        <v>713400</v>
      </c>
      <c r="M3199" t="s">
        <v>2266</v>
      </c>
    </row>
    <row r="3200" spans="12:13">
      <c r="L3200" s="65">
        <v>713410</v>
      </c>
      <c r="M3200" t="s">
        <v>1925</v>
      </c>
    </row>
    <row r="3201" spans="12:13">
      <c r="L3201" s="65">
        <v>713411</v>
      </c>
      <c r="M3201" t="s">
        <v>1925</v>
      </c>
    </row>
    <row r="3202" spans="12:13">
      <c r="L3202" s="65">
        <v>713420</v>
      </c>
      <c r="M3202" t="s">
        <v>2267</v>
      </c>
    </row>
    <row r="3203" spans="12:13">
      <c r="L3203" s="65">
        <v>713421</v>
      </c>
      <c r="M3203" t="s">
        <v>2268</v>
      </c>
    </row>
    <row r="3204" spans="12:13">
      <c r="L3204" s="65">
        <v>713422</v>
      </c>
      <c r="M3204" t="s">
        <v>2269</v>
      </c>
    </row>
    <row r="3205" spans="12:13">
      <c r="L3205" s="65">
        <v>713423</v>
      </c>
      <c r="M3205" t="s">
        <v>2270</v>
      </c>
    </row>
    <row r="3206" spans="12:13">
      <c r="L3206" s="65">
        <v>713424</v>
      </c>
      <c r="M3206" t="s">
        <v>2271</v>
      </c>
    </row>
    <row r="3207" spans="12:13">
      <c r="L3207" s="65">
        <v>713500</v>
      </c>
      <c r="M3207" t="s">
        <v>2272</v>
      </c>
    </row>
    <row r="3208" spans="12:13">
      <c r="L3208" s="65">
        <v>713510</v>
      </c>
      <c r="M3208" t="s">
        <v>2272</v>
      </c>
    </row>
    <row r="3209" spans="12:13">
      <c r="L3209" s="65">
        <v>713511</v>
      </c>
      <c r="M3209" t="s">
        <v>2272</v>
      </c>
    </row>
    <row r="3210" spans="12:13">
      <c r="L3210" s="65">
        <v>713600</v>
      </c>
      <c r="M3210" t="s">
        <v>2273</v>
      </c>
    </row>
    <row r="3211" spans="12:13">
      <c r="L3211" s="65">
        <v>713610</v>
      </c>
      <c r="M3211" t="s">
        <v>2274</v>
      </c>
    </row>
    <row r="3212" spans="12:13">
      <c r="L3212" s="65">
        <v>713611</v>
      </c>
      <c r="M3212" t="s">
        <v>2274</v>
      </c>
    </row>
    <row r="3213" spans="12:13">
      <c r="L3213" s="65">
        <v>714000</v>
      </c>
      <c r="M3213" t="s">
        <v>2275</v>
      </c>
    </row>
    <row r="3214" spans="12:13">
      <c r="L3214" s="65">
        <v>714100</v>
      </c>
      <c r="M3214" t="s">
        <v>2276</v>
      </c>
    </row>
    <row r="3215" spans="12:13">
      <c r="L3215" s="65">
        <v>714110</v>
      </c>
      <c r="M3215" t="s">
        <v>2277</v>
      </c>
    </row>
    <row r="3216" spans="12:13">
      <c r="L3216" s="65">
        <v>714111</v>
      </c>
      <c r="M3216" t="s">
        <v>2278</v>
      </c>
    </row>
    <row r="3217" spans="12:13">
      <c r="L3217" s="65">
        <v>714112</v>
      </c>
      <c r="M3217" t="s">
        <v>787</v>
      </c>
    </row>
    <row r="3218" spans="12:13">
      <c r="L3218" s="65">
        <v>714113</v>
      </c>
      <c r="M3218" t="s">
        <v>2279</v>
      </c>
    </row>
    <row r="3219" spans="12:13">
      <c r="L3219" s="65">
        <v>714114</v>
      </c>
      <c r="M3219" t="s">
        <v>2280</v>
      </c>
    </row>
    <row r="3220" spans="12:13">
      <c r="L3220" s="65">
        <v>714120</v>
      </c>
      <c r="M3220" t="s">
        <v>2281</v>
      </c>
    </row>
    <row r="3221" spans="12:13">
      <c r="L3221" s="65">
        <v>714121</v>
      </c>
      <c r="M3221" t="s">
        <v>2282</v>
      </c>
    </row>
    <row r="3222" spans="12:13">
      <c r="L3222" s="65">
        <v>714122</v>
      </c>
      <c r="M3222" t="s">
        <v>2283</v>
      </c>
    </row>
    <row r="3223" spans="12:13">
      <c r="L3223" s="65">
        <v>714123</v>
      </c>
      <c r="M3223" t="s">
        <v>2284</v>
      </c>
    </row>
    <row r="3224" spans="12:13">
      <c r="L3224" s="65">
        <v>714124</v>
      </c>
      <c r="M3224" t="s">
        <v>2285</v>
      </c>
    </row>
    <row r="3225" spans="12:13">
      <c r="L3225" s="65">
        <v>714125</v>
      </c>
      <c r="M3225" t="s">
        <v>2286</v>
      </c>
    </row>
    <row r="3226" spans="12:13">
      <c r="L3226" s="65">
        <v>714126</v>
      </c>
      <c r="M3226" t="s">
        <v>2287</v>
      </c>
    </row>
    <row r="3227" spans="12:13">
      <c r="L3227" s="65">
        <v>714127</v>
      </c>
      <c r="M3227" t="s">
        <v>2288</v>
      </c>
    </row>
    <row r="3228" spans="12:13">
      <c r="L3228" s="65">
        <v>714128</v>
      </c>
      <c r="M3228" t="s">
        <v>2289</v>
      </c>
    </row>
    <row r="3229" spans="12:13">
      <c r="L3229" s="65">
        <v>714129</v>
      </c>
      <c r="M3229" t="s">
        <v>2290</v>
      </c>
    </row>
    <row r="3230" spans="12:13">
      <c r="L3230" s="65">
        <v>714130</v>
      </c>
      <c r="M3230" t="s">
        <v>2291</v>
      </c>
    </row>
    <row r="3231" spans="12:13">
      <c r="L3231" s="65">
        <v>714131</v>
      </c>
      <c r="M3231" t="s">
        <v>2292</v>
      </c>
    </row>
    <row r="3232" spans="12:13">
      <c r="L3232" s="65">
        <v>714132</v>
      </c>
      <c r="M3232" t="s">
        <v>2293</v>
      </c>
    </row>
    <row r="3233" spans="12:13">
      <c r="L3233" s="65">
        <v>714133</v>
      </c>
      <c r="M3233" t="s">
        <v>2294</v>
      </c>
    </row>
    <row r="3234" spans="12:13">
      <c r="L3234" s="65">
        <v>714134</v>
      </c>
      <c r="M3234" t="s">
        <v>2295</v>
      </c>
    </row>
    <row r="3235" spans="12:13">
      <c r="L3235" s="65">
        <v>714135</v>
      </c>
      <c r="M3235" t="s">
        <v>2296</v>
      </c>
    </row>
    <row r="3236" spans="12:13">
      <c r="L3236" s="65">
        <v>714136</v>
      </c>
      <c r="M3236" t="s">
        <v>2297</v>
      </c>
    </row>
    <row r="3237" spans="12:13">
      <c r="L3237" s="65">
        <v>714137</v>
      </c>
      <c r="M3237" t="s">
        <v>2298</v>
      </c>
    </row>
    <row r="3238" spans="12:13">
      <c r="L3238" s="65">
        <v>714138</v>
      </c>
      <c r="M3238" t="s">
        <v>2299</v>
      </c>
    </row>
    <row r="3239" spans="12:13">
      <c r="L3239" s="65">
        <v>714139</v>
      </c>
      <c r="M3239" t="s">
        <v>2300</v>
      </c>
    </row>
    <row r="3240" spans="12:13">
      <c r="L3240" s="65">
        <v>714140</v>
      </c>
      <c r="M3240" t="s">
        <v>2301</v>
      </c>
    </row>
    <row r="3241" spans="12:13">
      <c r="L3241" s="65">
        <v>714141</v>
      </c>
      <c r="M3241" t="s">
        <v>2301</v>
      </c>
    </row>
    <row r="3242" spans="12:13">
      <c r="L3242" s="65">
        <v>714300</v>
      </c>
      <c r="M3242" t="s">
        <v>2302</v>
      </c>
    </row>
    <row r="3243" spans="12:13">
      <c r="L3243" s="65">
        <v>714310</v>
      </c>
      <c r="M3243" t="s">
        <v>2302</v>
      </c>
    </row>
    <row r="3244" spans="12:13">
      <c r="L3244" s="65">
        <v>714311</v>
      </c>
      <c r="M3244" t="s">
        <v>2302</v>
      </c>
    </row>
    <row r="3245" spans="12:13">
      <c r="L3245" s="65">
        <v>714400</v>
      </c>
      <c r="M3245" t="s">
        <v>2303</v>
      </c>
    </row>
    <row r="3246" spans="12:13">
      <c r="L3246" s="65">
        <v>714420</v>
      </c>
      <c r="M3246" t="s">
        <v>2304</v>
      </c>
    </row>
    <row r="3247" spans="12:13">
      <c r="L3247" s="65">
        <v>714421</v>
      </c>
      <c r="M3247" t="s">
        <v>2305</v>
      </c>
    </row>
    <row r="3248" spans="12:13">
      <c r="L3248" s="65">
        <v>714430</v>
      </c>
      <c r="M3248" t="s">
        <v>2306</v>
      </c>
    </row>
    <row r="3249" spans="12:13">
      <c r="L3249" s="65">
        <v>714431</v>
      </c>
      <c r="M3249" t="s">
        <v>2306</v>
      </c>
    </row>
    <row r="3250" spans="12:13">
      <c r="L3250" s="65">
        <v>714440</v>
      </c>
      <c r="M3250" t="s">
        <v>2307</v>
      </c>
    </row>
    <row r="3251" spans="12:13">
      <c r="L3251" s="65">
        <v>714442</v>
      </c>
      <c r="M3251" t="s">
        <v>2308</v>
      </c>
    </row>
    <row r="3252" spans="12:13">
      <c r="L3252" s="65">
        <v>714443</v>
      </c>
      <c r="M3252" t="s">
        <v>2309</v>
      </c>
    </row>
    <row r="3253" spans="12:13">
      <c r="L3253" s="65">
        <v>714444</v>
      </c>
      <c r="M3253" t="s">
        <v>2310</v>
      </c>
    </row>
    <row r="3254" spans="12:13">
      <c r="L3254" s="65">
        <v>714445</v>
      </c>
      <c r="M3254" t="s">
        <v>2311</v>
      </c>
    </row>
    <row r="3255" spans="12:13">
      <c r="L3255" s="65">
        <v>714446</v>
      </c>
      <c r="M3255" t="s">
        <v>2312</v>
      </c>
    </row>
    <row r="3256" spans="12:13">
      <c r="L3256" s="65">
        <v>714447</v>
      </c>
      <c r="M3256" t="s">
        <v>2313</v>
      </c>
    </row>
    <row r="3257" spans="12:13">
      <c r="L3257" s="65">
        <v>714500</v>
      </c>
      <c r="M3257" t="s">
        <v>2314</v>
      </c>
    </row>
    <row r="3258" spans="12:13">
      <c r="L3258" s="65">
        <v>714510</v>
      </c>
      <c r="M3258" t="s">
        <v>2315</v>
      </c>
    </row>
    <row r="3259" spans="12:13">
      <c r="L3259" s="65">
        <v>714511</v>
      </c>
      <c r="M3259" t="s">
        <v>2316</v>
      </c>
    </row>
    <row r="3260" spans="12:13">
      <c r="L3260" s="65">
        <v>714512</v>
      </c>
      <c r="M3260" t="s">
        <v>2317</v>
      </c>
    </row>
    <row r="3261" spans="12:13">
      <c r="L3261" s="65">
        <v>714513</v>
      </c>
      <c r="M3261" t="s">
        <v>2318</v>
      </c>
    </row>
    <row r="3262" spans="12:13">
      <c r="L3262" s="65">
        <v>714514</v>
      </c>
      <c r="M3262" t="s">
        <v>2319</v>
      </c>
    </row>
    <row r="3263" spans="12:13">
      <c r="L3263" s="65">
        <v>714516</v>
      </c>
      <c r="M3263" t="s">
        <v>2320</v>
      </c>
    </row>
    <row r="3264" spans="12:13">
      <c r="L3264" s="65">
        <v>714517</v>
      </c>
      <c r="M3264" t="s">
        <v>2321</v>
      </c>
    </row>
    <row r="3265" spans="12:13">
      <c r="L3265" s="65">
        <v>714520</v>
      </c>
      <c r="M3265" t="s">
        <v>2322</v>
      </c>
    </row>
    <row r="3266" spans="12:13">
      <c r="L3266" s="65">
        <v>714521</v>
      </c>
      <c r="M3266" t="s">
        <v>2323</v>
      </c>
    </row>
    <row r="3267" spans="12:13">
      <c r="L3267" s="65">
        <v>714522</v>
      </c>
      <c r="M3267" t="s">
        <v>2324</v>
      </c>
    </row>
    <row r="3268" spans="12:13">
      <c r="L3268" s="65">
        <v>714523</v>
      </c>
      <c r="M3268" t="s">
        <v>2325</v>
      </c>
    </row>
    <row r="3269" spans="12:13">
      <c r="L3269" s="65">
        <v>714524</v>
      </c>
      <c r="M3269" t="s">
        <v>2326</v>
      </c>
    </row>
    <row r="3270" spans="12:13">
      <c r="L3270" s="65">
        <v>714525</v>
      </c>
      <c r="M3270" t="s">
        <v>2327</v>
      </c>
    </row>
    <row r="3271" spans="12:13">
      <c r="L3271" s="65">
        <v>714530</v>
      </c>
      <c r="M3271" t="s">
        <v>2328</v>
      </c>
    </row>
    <row r="3272" spans="12:13">
      <c r="L3272" s="65">
        <v>714531</v>
      </c>
      <c r="M3272" t="s">
        <v>2329</v>
      </c>
    </row>
    <row r="3273" spans="12:13">
      <c r="L3273" s="65">
        <v>714532</v>
      </c>
      <c r="M3273" t="s">
        <v>2330</v>
      </c>
    </row>
    <row r="3274" spans="12:13">
      <c r="L3274" s="65">
        <v>714533</v>
      </c>
      <c r="M3274" t="s">
        <v>2331</v>
      </c>
    </row>
    <row r="3275" spans="12:13">
      <c r="L3275" s="65">
        <v>714536</v>
      </c>
      <c r="M3275" t="s">
        <v>2332</v>
      </c>
    </row>
    <row r="3276" spans="12:13">
      <c r="L3276" s="65">
        <v>714540</v>
      </c>
      <c r="M3276" t="s">
        <v>2333</v>
      </c>
    </row>
    <row r="3277" spans="12:13">
      <c r="L3277" s="65">
        <v>714541</v>
      </c>
      <c r="M3277" t="s">
        <v>2334</v>
      </c>
    </row>
    <row r="3278" spans="12:13">
      <c r="L3278" s="65">
        <v>714542</v>
      </c>
      <c r="M3278" t="s">
        <v>2335</v>
      </c>
    </row>
    <row r="3279" spans="12:13">
      <c r="L3279" s="65">
        <v>714543</v>
      </c>
      <c r="M3279" t="s">
        <v>2336</v>
      </c>
    </row>
    <row r="3280" spans="12:13">
      <c r="L3280" s="65">
        <v>714544</v>
      </c>
      <c r="M3280" t="s">
        <v>2337</v>
      </c>
    </row>
    <row r="3281" spans="12:13">
      <c r="L3281" s="65">
        <v>714545</v>
      </c>
      <c r="M3281" t="s">
        <v>2338</v>
      </c>
    </row>
    <row r="3282" spans="12:13">
      <c r="L3282" s="65">
        <v>714546</v>
      </c>
      <c r="M3282" t="s">
        <v>2339</v>
      </c>
    </row>
    <row r="3283" spans="12:13">
      <c r="L3283" s="65">
        <v>714547</v>
      </c>
      <c r="M3283" t="s">
        <v>2340</v>
      </c>
    </row>
    <row r="3284" spans="12:13">
      <c r="L3284" s="65">
        <v>714548</v>
      </c>
      <c r="M3284" t="s">
        <v>2341</v>
      </c>
    </row>
    <row r="3285" spans="12:13">
      <c r="L3285" s="65">
        <v>714549</v>
      </c>
      <c r="M3285" t="s">
        <v>2342</v>
      </c>
    </row>
    <row r="3286" spans="12:13">
      <c r="L3286" s="65">
        <v>714550</v>
      </c>
      <c r="M3286" t="s">
        <v>2343</v>
      </c>
    </row>
    <row r="3287" spans="12:13">
      <c r="L3287" s="65">
        <v>714551</v>
      </c>
      <c r="M3287" t="s">
        <v>2344</v>
      </c>
    </row>
    <row r="3288" spans="12:13">
      <c r="L3288" s="65">
        <v>714552</v>
      </c>
      <c r="M3288" t="s">
        <v>2345</v>
      </c>
    </row>
    <row r="3289" spans="12:13">
      <c r="L3289" s="65">
        <v>714560</v>
      </c>
      <c r="M3289" t="s">
        <v>2346</v>
      </c>
    </row>
    <row r="3290" spans="12:13">
      <c r="L3290" s="65">
        <v>714562</v>
      </c>
      <c r="M3290" t="s">
        <v>2347</v>
      </c>
    </row>
    <row r="3291" spans="12:13">
      <c r="L3291" s="65">
        <v>714563</v>
      </c>
      <c r="M3291" t="s">
        <v>2348</v>
      </c>
    </row>
    <row r="3292" spans="12:13">
      <c r="L3292" s="65">
        <v>714564</v>
      </c>
      <c r="M3292" t="s">
        <v>2349</v>
      </c>
    </row>
    <row r="3293" spans="12:13">
      <c r="L3293" s="65">
        <v>714570</v>
      </c>
      <c r="M3293" t="s">
        <v>2350</v>
      </c>
    </row>
    <row r="3294" spans="12:13">
      <c r="L3294" s="65">
        <v>714571</v>
      </c>
      <c r="M3294" t="s">
        <v>2351</v>
      </c>
    </row>
    <row r="3295" spans="12:13">
      <c r="L3295" s="65">
        <v>714572</v>
      </c>
      <c r="M3295" t="s">
        <v>2352</v>
      </c>
    </row>
    <row r="3296" spans="12:13">
      <c r="L3296" s="65">
        <v>714573</v>
      </c>
      <c r="M3296" t="s">
        <v>2353</v>
      </c>
    </row>
    <row r="3297" spans="12:13">
      <c r="L3297" s="65">
        <v>714574</v>
      </c>
      <c r="M3297" t="s">
        <v>2354</v>
      </c>
    </row>
    <row r="3298" spans="12:13">
      <c r="L3298" s="65">
        <v>714575</v>
      </c>
      <c r="M3298" t="s">
        <v>2355</v>
      </c>
    </row>
    <row r="3299" spans="12:13">
      <c r="L3299" s="65">
        <v>714576</v>
      </c>
      <c r="M3299" t="s">
        <v>2356</v>
      </c>
    </row>
    <row r="3300" spans="12:13">
      <c r="L3300" s="65">
        <v>714580</v>
      </c>
      <c r="M3300" t="s">
        <v>2357</v>
      </c>
    </row>
    <row r="3301" spans="12:13">
      <c r="L3301" s="65">
        <v>714581</v>
      </c>
      <c r="M3301" t="s">
        <v>2358</v>
      </c>
    </row>
    <row r="3302" spans="12:13">
      <c r="L3302" s="65">
        <v>714582</v>
      </c>
      <c r="M3302" t="s">
        <v>2359</v>
      </c>
    </row>
    <row r="3303" spans="12:13">
      <c r="L3303" s="65">
        <v>714583</v>
      </c>
      <c r="M3303" t="s">
        <v>2360</v>
      </c>
    </row>
    <row r="3304" spans="12:13">
      <c r="L3304" s="65">
        <v>714584</v>
      </c>
      <c r="M3304" t="s">
        <v>2361</v>
      </c>
    </row>
    <row r="3305" spans="12:13">
      <c r="L3305" s="65">
        <v>714585</v>
      </c>
      <c r="M3305" t="s">
        <v>2362</v>
      </c>
    </row>
    <row r="3306" spans="12:13">
      <c r="L3306" s="65">
        <v>714586</v>
      </c>
      <c r="M3306" t="s">
        <v>2363</v>
      </c>
    </row>
    <row r="3307" spans="12:13">
      <c r="L3307" s="65">
        <v>714587</v>
      </c>
      <c r="M3307" t="s">
        <v>2364</v>
      </c>
    </row>
    <row r="3308" spans="12:13">
      <c r="L3308" s="65">
        <v>714590</v>
      </c>
      <c r="M3308" t="s">
        <v>2365</v>
      </c>
    </row>
    <row r="3309" spans="12:13">
      <c r="L3309" s="65">
        <v>714591</v>
      </c>
      <c r="M3309" t="s">
        <v>2366</v>
      </c>
    </row>
    <row r="3310" spans="12:13">
      <c r="L3310" s="65">
        <v>714592</v>
      </c>
      <c r="M3310" t="s">
        <v>2367</v>
      </c>
    </row>
    <row r="3311" spans="12:13">
      <c r="L3311" s="65">
        <v>714593</v>
      </c>
      <c r="M3311" t="s">
        <v>2368</v>
      </c>
    </row>
    <row r="3312" spans="12:13">
      <c r="L3312" s="65">
        <v>714594</v>
      </c>
      <c r="M3312" t="s">
        <v>2369</v>
      </c>
    </row>
    <row r="3313" spans="12:13">
      <c r="L3313" s="65">
        <v>714595</v>
      </c>
      <c r="M3313" t="s">
        <v>2370</v>
      </c>
    </row>
    <row r="3314" spans="12:13">
      <c r="L3314" s="65">
        <v>714596</v>
      </c>
      <c r="M3314" t="s">
        <v>2371</v>
      </c>
    </row>
    <row r="3315" spans="12:13">
      <c r="L3315" s="65">
        <v>714597</v>
      </c>
      <c r="M3315" t="s">
        <v>2372</v>
      </c>
    </row>
    <row r="3316" spans="12:13">
      <c r="L3316" s="65">
        <v>714598</v>
      </c>
      <c r="M3316" t="s">
        <v>2373</v>
      </c>
    </row>
    <row r="3317" spans="12:13">
      <c r="L3317" s="65">
        <v>714599</v>
      </c>
      <c r="M3317" t="s">
        <v>2374</v>
      </c>
    </row>
    <row r="3318" spans="12:13">
      <c r="L3318" s="65">
        <v>714600</v>
      </c>
      <c r="M3318" t="s">
        <v>2375</v>
      </c>
    </row>
    <row r="3319" spans="12:13">
      <c r="L3319" s="65">
        <v>714610</v>
      </c>
      <c r="M3319" t="s">
        <v>2375</v>
      </c>
    </row>
    <row r="3320" spans="12:13">
      <c r="L3320" s="65">
        <v>714611</v>
      </c>
      <c r="M3320" t="s">
        <v>2375</v>
      </c>
    </row>
    <row r="3321" spans="12:13">
      <c r="L3321" s="65">
        <v>715000</v>
      </c>
      <c r="M3321" t="s">
        <v>2376</v>
      </c>
    </row>
    <row r="3322" spans="12:13">
      <c r="L3322" s="65">
        <v>715100</v>
      </c>
      <c r="M3322" t="s">
        <v>2377</v>
      </c>
    </row>
    <row r="3323" spans="12:13">
      <c r="L3323" s="65">
        <v>715110</v>
      </c>
      <c r="M3323" t="s">
        <v>2378</v>
      </c>
    </row>
    <row r="3324" spans="12:13">
      <c r="L3324" s="65">
        <v>715111</v>
      </c>
      <c r="M3324" t="s">
        <v>2378</v>
      </c>
    </row>
    <row r="3325" spans="12:13">
      <c r="L3325" s="65">
        <v>715120</v>
      </c>
      <c r="M3325" t="s">
        <v>2379</v>
      </c>
    </row>
    <row r="3326" spans="12:13">
      <c r="L3326" s="65">
        <v>715121</v>
      </c>
      <c r="M3326" t="s">
        <v>2379</v>
      </c>
    </row>
    <row r="3327" spans="12:13">
      <c r="L3327" s="65">
        <v>715190</v>
      </c>
      <c r="M3327" t="s">
        <v>2380</v>
      </c>
    </row>
    <row r="3328" spans="12:13">
      <c r="L3328" s="65">
        <v>715191</v>
      </c>
      <c r="M3328" t="s">
        <v>2381</v>
      </c>
    </row>
    <row r="3329" spans="12:13">
      <c r="L3329" s="65">
        <v>715192</v>
      </c>
      <c r="M3329" t="s">
        <v>2382</v>
      </c>
    </row>
    <row r="3330" spans="12:13">
      <c r="L3330" s="65">
        <v>715193</v>
      </c>
      <c r="M3330" t="s">
        <v>2383</v>
      </c>
    </row>
    <row r="3331" spans="12:13">
      <c r="L3331" s="65">
        <v>715200</v>
      </c>
      <c r="M3331" t="s">
        <v>2384</v>
      </c>
    </row>
    <row r="3332" spans="12:13">
      <c r="L3332" s="65">
        <v>715210</v>
      </c>
      <c r="M3332" t="s">
        <v>2384</v>
      </c>
    </row>
    <row r="3333" spans="12:13">
      <c r="L3333" s="65">
        <v>715211</v>
      </c>
      <c r="M3333" t="s">
        <v>2384</v>
      </c>
    </row>
    <row r="3334" spans="12:13">
      <c r="L3334" s="65">
        <v>715300</v>
      </c>
      <c r="M3334" t="s">
        <v>2385</v>
      </c>
    </row>
    <row r="3335" spans="12:13">
      <c r="L3335" s="65">
        <v>715310</v>
      </c>
      <c r="M3335" t="s">
        <v>2385</v>
      </c>
    </row>
    <row r="3336" spans="12:13">
      <c r="L3336" s="65">
        <v>715311</v>
      </c>
      <c r="M3336" t="s">
        <v>2385</v>
      </c>
    </row>
    <row r="3337" spans="12:13">
      <c r="L3337" s="65">
        <v>715400</v>
      </c>
      <c r="M3337" t="s">
        <v>2386</v>
      </c>
    </row>
    <row r="3338" spans="12:13">
      <c r="L3338" s="65">
        <v>715410</v>
      </c>
      <c r="M3338" t="s">
        <v>2386</v>
      </c>
    </row>
    <row r="3339" spans="12:13">
      <c r="L3339" s="65">
        <v>715411</v>
      </c>
      <c r="M3339" t="s">
        <v>2386</v>
      </c>
    </row>
    <row r="3340" spans="12:13">
      <c r="L3340" s="65">
        <v>715500</v>
      </c>
      <c r="M3340" t="s">
        <v>2387</v>
      </c>
    </row>
    <row r="3341" spans="12:13">
      <c r="L3341" s="65">
        <v>715510</v>
      </c>
      <c r="M3341" t="s">
        <v>2387</v>
      </c>
    </row>
    <row r="3342" spans="12:13">
      <c r="L3342" s="65">
        <v>715511</v>
      </c>
      <c r="M3342" t="s">
        <v>2387</v>
      </c>
    </row>
    <row r="3343" spans="12:13">
      <c r="L3343" s="65">
        <v>715600</v>
      </c>
      <c r="M3343" t="s">
        <v>2388</v>
      </c>
    </row>
    <row r="3344" spans="12:13">
      <c r="L3344" s="65">
        <v>715610</v>
      </c>
      <c r="M3344" t="s">
        <v>2388</v>
      </c>
    </row>
    <row r="3345" spans="12:13">
      <c r="L3345" s="65">
        <v>715611</v>
      </c>
      <c r="M3345" t="s">
        <v>2388</v>
      </c>
    </row>
    <row r="3346" spans="12:13">
      <c r="L3346" s="65">
        <v>716000</v>
      </c>
      <c r="M3346" t="s">
        <v>2390</v>
      </c>
    </row>
    <row r="3347" spans="12:13">
      <c r="L3347" s="65">
        <v>716100</v>
      </c>
      <c r="M3347" t="s">
        <v>2391</v>
      </c>
    </row>
    <row r="3348" spans="12:13">
      <c r="L3348" s="65">
        <v>716110</v>
      </c>
      <c r="M3348" t="s">
        <v>2392</v>
      </c>
    </row>
    <row r="3349" spans="12:13">
      <c r="L3349" s="65">
        <v>716111</v>
      </c>
      <c r="M3349" t="s">
        <v>2394</v>
      </c>
    </row>
    <row r="3350" spans="12:13">
      <c r="L3350" s="65">
        <v>716112</v>
      </c>
      <c r="M3350" t="s">
        <v>2395</v>
      </c>
    </row>
    <row r="3351" spans="12:13">
      <c r="L3351" s="65">
        <v>716200</v>
      </c>
      <c r="M3351" t="s">
        <v>2396</v>
      </c>
    </row>
    <row r="3352" spans="12:13">
      <c r="L3352" s="65">
        <v>716210</v>
      </c>
      <c r="M3352" t="s">
        <v>2397</v>
      </c>
    </row>
    <row r="3353" spans="12:13">
      <c r="L3353" s="65">
        <v>716211</v>
      </c>
      <c r="M3353" t="s">
        <v>2397</v>
      </c>
    </row>
    <row r="3354" spans="12:13">
      <c r="L3354" s="65">
        <v>716220</v>
      </c>
      <c r="M3354" t="s">
        <v>2398</v>
      </c>
    </row>
    <row r="3355" spans="12:13">
      <c r="L3355" s="65">
        <v>716221</v>
      </c>
      <c r="M3355" t="s">
        <v>2399</v>
      </c>
    </row>
    <row r="3356" spans="12:13">
      <c r="L3356" s="65">
        <v>716222</v>
      </c>
      <c r="M3356" t="s">
        <v>2400</v>
      </c>
    </row>
    <row r="3357" spans="12:13">
      <c r="L3357" s="65">
        <v>716223</v>
      </c>
      <c r="M3357" t="s">
        <v>2401</v>
      </c>
    </row>
    <row r="3358" spans="12:13">
      <c r="L3358" s="65">
        <v>716224</v>
      </c>
      <c r="M3358" t="s">
        <v>2402</v>
      </c>
    </row>
    <row r="3359" spans="12:13">
      <c r="L3359" s="65">
        <v>716225</v>
      </c>
      <c r="M3359" t="s">
        <v>2403</v>
      </c>
    </row>
    <row r="3360" spans="12:13">
      <c r="L3360" s="65">
        <v>716226</v>
      </c>
      <c r="M3360" t="s">
        <v>2404</v>
      </c>
    </row>
    <row r="3361" spans="12:13">
      <c r="L3361" s="65">
        <v>716227</v>
      </c>
      <c r="M3361" t="s">
        <v>2405</v>
      </c>
    </row>
    <row r="3362" spans="12:13">
      <c r="L3362" s="65">
        <v>716228</v>
      </c>
      <c r="M3362" t="s">
        <v>2406</v>
      </c>
    </row>
    <row r="3363" spans="12:13">
      <c r="L3363" s="65">
        <v>716229</v>
      </c>
      <c r="M3363" t="s">
        <v>2407</v>
      </c>
    </row>
    <row r="3364" spans="12:13">
      <c r="L3364" s="65">
        <v>717000</v>
      </c>
      <c r="M3364" t="s">
        <v>2408</v>
      </c>
    </row>
    <row r="3365" spans="12:13">
      <c r="L3365" s="65">
        <v>717100</v>
      </c>
      <c r="M3365" t="s">
        <v>2409</v>
      </c>
    </row>
    <row r="3366" spans="12:13">
      <c r="L3366" s="65">
        <v>717110</v>
      </c>
      <c r="M3366" t="s">
        <v>2410</v>
      </c>
    </row>
    <row r="3367" spans="12:13">
      <c r="L3367" s="65">
        <v>717111</v>
      </c>
      <c r="M3367" t="s">
        <v>2411</v>
      </c>
    </row>
    <row r="3368" spans="12:13">
      <c r="L3368" s="65">
        <v>717112</v>
      </c>
      <c r="M3368" t="s">
        <v>2412</v>
      </c>
    </row>
    <row r="3369" spans="12:13">
      <c r="L3369" s="65">
        <v>717113</v>
      </c>
      <c r="M3369" t="s">
        <v>2413</v>
      </c>
    </row>
    <row r="3370" spans="12:13">
      <c r="L3370" s="65">
        <v>717114</v>
      </c>
      <c r="M3370" t="s">
        <v>2414</v>
      </c>
    </row>
    <row r="3371" spans="12:13">
      <c r="L3371" s="65">
        <v>717115</v>
      </c>
      <c r="M3371" t="s">
        <v>2415</v>
      </c>
    </row>
    <row r="3372" spans="12:13">
      <c r="L3372" s="65">
        <v>717116</v>
      </c>
      <c r="M3372" t="s">
        <v>2416</v>
      </c>
    </row>
    <row r="3373" spans="12:13">
      <c r="L3373" s="65">
        <v>717117</v>
      </c>
      <c r="M3373" t="s">
        <v>2417</v>
      </c>
    </row>
    <row r="3374" spans="12:13">
      <c r="L3374" s="65">
        <v>717118</v>
      </c>
      <c r="M3374" t="s">
        <v>2418</v>
      </c>
    </row>
    <row r="3375" spans="12:13">
      <c r="L3375" s="65">
        <v>717119</v>
      </c>
      <c r="M3375" t="s">
        <v>2419</v>
      </c>
    </row>
    <row r="3376" spans="12:13">
      <c r="L3376" s="65">
        <v>717120</v>
      </c>
      <c r="M3376" t="s">
        <v>2420</v>
      </c>
    </row>
    <row r="3377" spans="12:13">
      <c r="L3377" s="65">
        <v>717121</v>
      </c>
      <c r="M3377" t="s">
        <v>2421</v>
      </c>
    </row>
    <row r="3378" spans="12:13">
      <c r="L3378" s="65">
        <v>717122</v>
      </c>
      <c r="M3378" t="s">
        <v>2422</v>
      </c>
    </row>
    <row r="3379" spans="12:13">
      <c r="L3379" s="65">
        <v>717123</v>
      </c>
      <c r="M3379" t="s">
        <v>2423</v>
      </c>
    </row>
    <row r="3380" spans="12:13">
      <c r="L3380" s="65">
        <v>717124</v>
      </c>
      <c r="M3380" t="s">
        <v>2424</v>
      </c>
    </row>
    <row r="3381" spans="12:13">
      <c r="L3381" s="65">
        <v>717125</v>
      </c>
      <c r="M3381" t="s">
        <v>2425</v>
      </c>
    </row>
    <row r="3382" spans="12:13">
      <c r="L3382" s="65">
        <v>717126</v>
      </c>
      <c r="M3382" t="s">
        <v>2426</v>
      </c>
    </row>
    <row r="3383" spans="12:13">
      <c r="L3383" s="65">
        <v>717127</v>
      </c>
      <c r="M3383" t="s">
        <v>2427</v>
      </c>
    </row>
    <row r="3384" spans="12:13">
      <c r="L3384" s="65">
        <v>717128</v>
      </c>
      <c r="M3384" t="s">
        <v>2428</v>
      </c>
    </row>
    <row r="3385" spans="12:13">
      <c r="L3385" s="65">
        <v>717129</v>
      </c>
      <c r="M3385" t="s">
        <v>2429</v>
      </c>
    </row>
    <row r="3386" spans="12:13">
      <c r="L3386" s="65">
        <v>717130</v>
      </c>
      <c r="M3386" t="s">
        <v>2430</v>
      </c>
    </row>
    <row r="3387" spans="12:13">
      <c r="L3387" s="65">
        <v>717131</v>
      </c>
      <c r="M3387" t="s">
        <v>2431</v>
      </c>
    </row>
    <row r="3388" spans="12:13">
      <c r="L3388" s="65">
        <v>717132</v>
      </c>
      <c r="M3388" t="s">
        <v>2432</v>
      </c>
    </row>
    <row r="3389" spans="12:13">
      <c r="L3389" s="65">
        <v>717133</v>
      </c>
      <c r="M3389" t="s">
        <v>2433</v>
      </c>
    </row>
    <row r="3390" spans="12:13">
      <c r="L3390" s="65">
        <v>717134</v>
      </c>
      <c r="M3390" t="s">
        <v>2434</v>
      </c>
    </row>
    <row r="3391" spans="12:13">
      <c r="L3391" s="65">
        <v>717140</v>
      </c>
      <c r="M3391" t="s">
        <v>2435</v>
      </c>
    </row>
    <row r="3392" spans="12:13">
      <c r="L3392" s="65">
        <v>717141</v>
      </c>
      <c r="M3392" t="s">
        <v>2436</v>
      </c>
    </row>
    <row r="3393" spans="12:13">
      <c r="L3393" s="65">
        <v>717142</v>
      </c>
      <c r="M3393" t="s">
        <v>2437</v>
      </c>
    </row>
    <row r="3394" spans="12:13">
      <c r="L3394" s="65">
        <v>717143</v>
      </c>
      <c r="M3394" t="s">
        <v>2438</v>
      </c>
    </row>
    <row r="3395" spans="12:13">
      <c r="L3395" s="65">
        <v>717144</v>
      </c>
      <c r="M3395" t="s">
        <v>2439</v>
      </c>
    </row>
    <row r="3396" spans="12:13">
      <c r="L3396" s="65">
        <v>717150</v>
      </c>
      <c r="M3396" t="s">
        <v>2440</v>
      </c>
    </row>
    <row r="3397" spans="12:13">
      <c r="L3397" s="65">
        <v>717151</v>
      </c>
      <c r="M3397" t="s">
        <v>2441</v>
      </c>
    </row>
    <row r="3398" spans="12:13">
      <c r="L3398" s="65">
        <v>717152</v>
      </c>
      <c r="M3398" t="s">
        <v>2442</v>
      </c>
    </row>
    <row r="3399" spans="12:13">
      <c r="L3399" s="65">
        <v>717200</v>
      </c>
      <c r="M3399" t="s">
        <v>2443</v>
      </c>
    </row>
    <row r="3400" spans="12:13">
      <c r="L3400" s="65">
        <v>717210</v>
      </c>
      <c r="M3400" t="s">
        <v>2444</v>
      </c>
    </row>
    <row r="3401" spans="12:13">
      <c r="L3401" s="65">
        <v>717211</v>
      </c>
      <c r="M3401" t="s">
        <v>2445</v>
      </c>
    </row>
    <row r="3402" spans="12:13">
      <c r="L3402" s="65">
        <v>717212</v>
      </c>
      <c r="M3402" t="s">
        <v>2446</v>
      </c>
    </row>
    <row r="3403" spans="12:13">
      <c r="L3403" s="65">
        <v>717213</v>
      </c>
      <c r="M3403" t="s">
        <v>2447</v>
      </c>
    </row>
    <row r="3404" spans="12:13">
      <c r="L3404" s="65">
        <v>717214</v>
      </c>
      <c r="M3404" t="s">
        <v>2448</v>
      </c>
    </row>
    <row r="3405" spans="12:13">
      <c r="L3405" s="65">
        <v>717215</v>
      </c>
      <c r="M3405" t="s">
        <v>2449</v>
      </c>
    </row>
    <row r="3406" spans="12:13">
      <c r="L3406" s="65">
        <v>717220</v>
      </c>
      <c r="M3406" t="s">
        <v>2450</v>
      </c>
    </row>
    <row r="3407" spans="12:13">
      <c r="L3407" s="65">
        <v>717221</v>
      </c>
      <c r="M3407" t="s">
        <v>2451</v>
      </c>
    </row>
    <row r="3408" spans="12:13">
      <c r="L3408" s="65">
        <v>717222</v>
      </c>
      <c r="M3408" t="s">
        <v>2452</v>
      </c>
    </row>
    <row r="3409" spans="12:13">
      <c r="L3409" s="65">
        <v>717223</v>
      </c>
      <c r="M3409" t="s">
        <v>2453</v>
      </c>
    </row>
    <row r="3410" spans="12:13">
      <c r="L3410" s="65">
        <v>717300</v>
      </c>
      <c r="M3410" t="s">
        <v>2454</v>
      </c>
    </row>
    <row r="3411" spans="12:13">
      <c r="L3411" s="65">
        <v>717310</v>
      </c>
      <c r="M3411" t="s">
        <v>2455</v>
      </c>
    </row>
    <row r="3412" spans="12:13">
      <c r="L3412" s="65">
        <v>717311</v>
      </c>
      <c r="M3412" t="s">
        <v>2456</v>
      </c>
    </row>
    <row r="3413" spans="12:13">
      <c r="L3413" s="65">
        <v>717312</v>
      </c>
      <c r="M3413" t="s">
        <v>2457</v>
      </c>
    </row>
    <row r="3414" spans="12:13">
      <c r="L3414" s="65">
        <v>717313</v>
      </c>
      <c r="M3414" t="s">
        <v>2458</v>
      </c>
    </row>
    <row r="3415" spans="12:13">
      <c r="L3415" s="65">
        <v>717314</v>
      </c>
      <c r="M3415" t="s">
        <v>2459</v>
      </c>
    </row>
    <row r="3416" spans="12:13">
      <c r="L3416" s="65">
        <v>717315</v>
      </c>
      <c r="M3416" t="s">
        <v>2460</v>
      </c>
    </row>
    <row r="3417" spans="12:13">
      <c r="L3417" s="65">
        <v>717316</v>
      </c>
      <c r="M3417" t="s">
        <v>2461</v>
      </c>
    </row>
    <row r="3418" spans="12:13">
      <c r="L3418" s="65">
        <v>717317</v>
      </c>
      <c r="M3418" t="s">
        <v>2462</v>
      </c>
    </row>
    <row r="3419" spans="12:13">
      <c r="L3419" s="65">
        <v>717320</v>
      </c>
      <c r="M3419" t="s">
        <v>2463</v>
      </c>
    </row>
    <row r="3420" spans="12:13">
      <c r="L3420" s="65">
        <v>717321</v>
      </c>
      <c r="M3420" t="s">
        <v>2464</v>
      </c>
    </row>
    <row r="3421" spans="12:13">
      <c r="L3421" s="65">
        <v>717322</v>
      </c>
      <c r="M3421" t="s">
        <v>2465</v>
      </c>
    </row>
    <row r="3422" spans="12:13">
      <c r="L3422" s="65">
        <v>717323</v>
      </c>
      <c r="M3422" t="s">
        <v>2466</v>
      </c>
    </row>
    <row r="3423" spans="12:13">
      <c r="L3423" s="65">
        <v>717324</v>
      </c>
      <c r="M3423" t="s">
        <v>2467</v>
      </c>
    </row>
    <row r="3424" spans="12:13">
      <c r="L3424" s="65">
        <v>717325</v>
      </c>
      <c r="M3424" t="s">
        <v>2468</v>
      </c>
    </row>
    <row r="3425" spans="12:13">
      <c r="L3425" s="65">
        <v>717326</v>
      </c>
      <c r="M3425" t="s">
        <v>2469</v>
      </c>
    </row>
    <row r="3426" spans="12:13">
      <c r="L3426" s="65">
        <v>717327</v>
      </c>
      <c r="M3426" t="s">
        <v>2470</v>
      </c>
    </row>
    <row r="3427" spans="12:13">
      <c r="L3427" s="65">
        <v>717400</v>
      </c>
      <c r="M3427" t="s">
        <v>2471</v>
      </c>
    </row>
    <row r="3428" spans="12:13">
      <c r="L3428" s="65">
        <v>717410</v>
      </c>
      <c r="M3428" t="s">
        <v>2472</v>
      </c>
    </row>
    <row r="3429" spans="12:13">
      <c r="L3429" s="65">
        <v>717411</v>
      </c>
      <c r="M3429" t="s">
        <v>2472</v>
      </c>
    </row>
    <row r="3430" spans="12:13">
      <c r="L3430" s="65">
        <v>717500</v>
      </c>
      <c r="M3430" t="s">
        <v>2473</v>
      </c>
    </row>
    <row r="3431" spans="12:13">
      <c r="L3431" s="65">
        <v>717510</v>
      </c>
      <c r="M3431" t="s">
        <v>2474</v>
      </c>
    </row>
    <row r="3432" spans="12:13">
      <c r="L3432" s="65">
        <v>717511</v>
      </c>
      <c r="M3432" t="s">
        <v>2475</v>
      </c>
    </row>
    <row r="3433" spans="12:13">
      <c r="L3433" s="65">
        <v>717512</v>
      </c>
      <c r="M3433" t="s">
        <v>2476</v>
      </c>
    </row>
    <row r="3434" spans="12:13">
      <c r="L3434" s="65">
        <v>717513</v>
      </c>
      <c r="M3434" t="s">
        <v>2477</v>
      </c>
    </row>
    <row r="3435" spans="12:13">
      <c r="L3435" s="65">
        <v>717514</v>
      </c>
      <c r="M3435" t="s">
        <v>2478</v>
      </c>
    </row>
    <row r="3436" spans="12:13">
      <c r="L3436" s="65">
        <v>717515</v>
      </c>
      <c r="M3436" t="s">
        <v>2479</v>
      </c>
    </row>
    <row r="3437" spans="12:13">
      <c r="L3437" s="65">
        <v>717516</v>
      </c>
      <c r="M3437" t="s">
        <v>2480</v>
      </c>
    </row>
    <row r="3438" spans="12:13">
      <c r="L3438" s="65">
        <v>717600</v>
      </c>
      <c r="M3438" t="s">
        <v>2481</v>
      </c>
    </row>
    <row r="3439" spans="12:13">
      <c r="L3439" s="65">
        <v>717610</v>
      </c>
      <c r="M3439" t="s">
        <v>2481</v>
      </c>
    </row>
    <row r="3440" spans="12:13">
      <c r="L3440" s="65">
        <v>717611</v>
      </c>
      <c r="M3440" t="s">
        <v>2482</v>
      </c>
    </row>
    <row r="3441" spans="12:13">
      <c r="L3441" s="65">
        <v>717612</v>
      </c>
      <c r="M3441" t="s">
        <v>2483</v>
      </c>
    </row>
    <row r="3442" spans="12:13">
      <c r="L3442" s="65">
        <v>719000</v>
      </c>
      <c r="M3442" t="s">
        <v>2484</v>
      </c>
    </row>
    <row r="3443" spans="12:13">
      <c r="L3443" s="65">
        <v>719100</v>
      </c>
      <c r="M3443" t="s">
        <v>2485</v>
      </c>
    </row>
    <row r="3444" spans="12:13">
      <c r="L3444" s="65">
        <v>719110</v>
      </c>
      <c r="M3444" t="s">
        <v>2486</v>
      </c>
    </row>
    <row r="3445" spans="12:13">
      <c r="L3445" s="65">
        <v>719111</v>
      </c>
      <c r="M3445" t="s">
        <v>2487</v>
      </c>
    </row>
    <row r="3446" spans="12:13">
      <c r="L3446" s="65">
        <v>719200</v>
      </c>
      <c r="M3446" t="s">
        <v>2488</v>
      </c>
    </row>
    <row r="3447" spans="12:13">
      <c r="L3447" s="65">
        <v>719210</v>
      </c>
      <c r="M3447" t="s">
        <v>2489</v>
      </c>
    </row>
    <row r="3448" spans="12:13">
      <c r="L3448" s="65">
        <v>719211</v>
      </c>
      <c r="M3448" t="s">
        <v>2490</v>
      </c>
    </row>
    <row r="3449" spans="12:13">
      <c r="L3449" s="65">
        <v>719220</v>
      </c>
      <c r="M3449" t="s">
        <v>2491</v>
      </c>
    </row>
    <row r="3450" spans="12:13">
      <c r="L3450" s="65">
        <v>719221</v>
      </c>
      <c r="M3450" t="s">
        <v>2492</v>
      </c>
    </row>
    <row r="3451" spans="12:13">
      <c r="L3451" s="65">
        <v>719230</v>
      </c>
      <c r="M3451" t="s">
        <v>2493</v>
      </c>
    </row>
    <row r="3452" spans="12:13">
      <c r="L3452" s="65">
        <v>719231</v>
      </c>
      <c r="M3452" t="s">
        <v>2494</v>
      </c>
    </row>
    <row r="3453" spans="12:13">
      <c r="L3453" s="65">
        <v>719240</v>
      </c>
      <c r="M3453" t="s">
        <v>2495</v>
      </c>
    </row>
    <row r="3454" spans="12:13">
      <c r="L3454" s="65">
        <v>719241</v>
      </c>
      <c r="M3454" t="s">
        <v>2496</v>
      </c>
    </row>
    <row r="3455" spans="12:13">
      <c r="L3455" s="65">
        <v>719250</v>
      </c>
      <c r="M3455" t="s">
        <v>2497</v>
      </c>
    </row>
    <row r="3456" spans="12:13">
      <c r="L3456" s="65">
        <v>719251</v>
      </c>
      <c r="M3456" t="s">
        <v>2498</v>
      </c>
    </row>
    <row r="3457" spans="12:13">
      <c r="L3457" s="65">
        <v>719260</v>
      </c>
      <c r="M3457" t="s">
        <v>2499</v>
      </c>
    </row>
    <row r="3458" spans="12:13">
      <c r="L3458" s="65">
        <v>719261</v>
      </c>
      <c r="M3458" t="s">
        <v>2500</v>
      </c>
    </row>
    <row r="3459" spans="12:13">
      <c r="L3459" s="65">
        <v>719262</v>
      </c>
      <c r="M3459" t="s">
        <v>2501</v>
      </c>
    </row>
    <row r="3460" spans="12:13">
      <c r="L3460" s="65">
        <v>719263</v>
      </c>
      <c r="M3460" t="s">
        <v>2502</v>
      </c>
    </row>
    <row r="3461" spans="12:13">
      <c r="L3461" s="65">
        <v>719264</v>
      </c>
      <c r="M3461" t="s">
        <v>2503</v>
      </c>
    </row>
    <row r="3462" spans="12:13">
      <c r="L3462" s="65">
        <v>719265</v>
      </c>
      <c r="M3462" t="s">
        <v>2504</v>
      </c>
    </row>
    <row r="3463" spans="12:13">
      <c r="L3463" s="65">
        <v>719300</v>
      </c>
      <c r="M3463" t="s">
        <v>2505</v>
      </c>
    </row>
    <row r="3464" spans="12:13">
      <c r="L3464" s="65">
        <v>719310</v>
      </c>
      <c r="M3464" t="s">
        <v>2506</v>
      </c>
    </row>
    <row r="3465" spans="12:13">
      <c r="L3465" s="65">
        <v>719311</v>
      </c>
      <c r="M3465" t="s">
        <v>2507</v>
      </c>
    </row>
    <row r="3466" spans="12:13">
      <c r="L3466" s="65">
        <v>719320</v>
      </c>
      <c r="M3466" t="s">
        <v>2508</v>
      </c>
    </row>
    <row r="3467" spans="12:13">
      <c r="L3467" s="65">
        <v>719321</v>
      </c>
      <c r="M3467" t="s">
        <v>2509</v>
      </c>
    </row>
    <row r="3468" spans="12:13">
      <c r="L3468" s="65">
        <v>719330</v>
      </c>
      <c r="M3468" t="s">
        <v>2510</v>
      </c>
    </row>
    <row r="3469" spans="12:13">
      <c r="L3469" s="65">
        <v>719331</v>
      </c>
      <c r="M3469" t="s">
        <v>2511</v>
      </c>
    </row>
    <row r="3470" spans="12:13">
      <c r="L3470" s="65">
        <v>719400</v>
      </c>
      <c r="M3470" t="s">
        <v>2512</v>
      </c>
    </row>
    <row r="3471" spans="12:13">
      <c r="L3471" s="65">
        <v>719410</v>
      </c>
      <c r="M3471" t="s">
        <v>2513</v>
      </c>
    </row>
    <row r="3472" spans="12:13">
      <c r="L3472" s="65">
        <v>719411</v>
      </c>
      <c r="M3472" t="s">
        <v>2514</v>
      </c>
    </row>
    <row r="3473" spans="12:13">
      <c r="L3473" s="65">
        <v>719412</v>
      </c>
      <c r="M3473" t="s">
        <v>2515</v>
      </c>
    </row>
    <row r="3474" spans="12:13">
      <c r="L3474" s="65">
        <v>719413</v>
      </c>
      <c r="M3474" t="s">
        <v>2516</v>
      </c>
    </row>
    <row r="3475" spans="12:13">
      <c r="L3475" s="65">
        <v>719414</v>
      </c>
      <c r="M3475" t="s">
        <v>2517</v>
      </c>
    </row>
    <row r="3476" spans="12:13">
      <c r="L3476" s="65">
        <v>719415</v>
      </c>
      <c r="M3476" t="s">
        <v>2518</v>
      </c>
    </row>
    <row r="3477" spans="12:13">
      <c r="L3477" s="65">
        <v>719500</v>
      </c>
      <c r="M3477" t="s">
        <v>2519</v>
      </c>
    </row>
    <row r="3478" spans="12:13">
      <c r="L3478" s="65">
        <v>719510</v>
      </c>
      <c r="M3478" t="s">
        <v>2520</v>
      </c>
    </row>
    <row r="3479" spans="12:13">
      <c r="L3479" s="65">
        <v>719511</v>
      </c>
      <c r="M3479" t="s">
        <v>2521</v>
      </c>
    </row>
    <row r="3480" spans="12:13">
      <c r="L3480" s="65">
        <v>719600</v>
      </c>
      <c r="M3480" t="s">
        <v>2522</v>
      </c>
    </row>
    <row r="3481" spans="12:13">
      <c r="L3481" s="65">
        <v>719610</v>
      </c>
      <c r="M3481" t="s">
        <v>2523</v>
      </c>
    </row>
    <row r="3482" spans="12:13">
      <c r="L3482" s="65">
        <v>719611</v>
      </c>
      <c r="M3482" t="s">
        <v>2524</v>
      </c>
    </row>
    <row r="3483" spans="12:13">
      <c r="L3483" s="65">
        <v>720000</v>
      </c>
      <c r="M3483" t="s">
        <v>2525</v>
      </c>
    </row>
    <row r="3484" spans="12:13">
      <c r="L3484" s="65">
        <v>721000</v>
      </c>
      <c r="M3484" t="s">
        <v>2526</v>
      </c>
    </row>
    <row r="3485" spans="12:13">
      <c r="L3485" s="65">
        <v>721100</v>
      </c>
      <c r="M3485" t="s">
        <v>2527</v>
      </c>
    </row>
    <row r="3486" spans="12:13">
      <c r="L3486" s="65">
        <v>721110</v>
      </c>
      <c r="M3486" t="s">
        <v>2528</v>
      </c>
    </row>
    <row r="3487" spans="12:13">
      <c r="L3487" s="65">
        <v>721111</v>
      </c>
      <c r="M3487" t="s">
        <v>2529</v>
      </c>
    </row>
    <row r="3488" spans="12:13">
      <c r="L3488" s="65">
        <v>721112</v>
      </c>
      <c r="M3488" t="s">
        <v>2530</v>
      </c>
    </row>
    <row r="3489" spans="12:13">
      <c r="L3489" s="65">
        <v>721113</v>
      </c>
      <c r="M3489" t="s">
        <v>2531</v>
      </c>
    </row>
    <row r="3490" spans="12:13">
      <c r="L3490" s="65">
        <v>721114</v>
      </c>
      <c r="M3490" t="s">
        <v>2532</v>
      </c>
    </row>
    <row r="3491" spans="12:13">
      <c r="L3491" s="65">
        <v>721115</v>
      </c>
      <c r="M3491" t="s">
        <v>2533</v>
      </c>
    </row>
    <row r="3492" spans="12:13">
      <c r="L3492" s="65">
        <v>721116</v>
      </c>
      <c r="M3492" t="s">
        <v>2534</v>
      </c>
    </row>
    <row r="3493" spans="12:13">
      <c r="L3493" s="65">
        <v>721117</v>
      </c>
      <c r="M3493" t="s">
        <v>2535</v>
      </c>
    </row>
    <row r="3494" spans="12:13">
      <c r="L3494" s="65">
        <v>721118</v>
      </c>
      <c r="M3494" t="s">
        <v>2536</v>
      </c>
    </row>
    <row r="3495" spans="12:13">
      <c r="L3495" s="65">
        <v>721119</v>
      </c>
      <c r="M3495" t="s">
        <v>2537</v>
      </c>
    </row>
    <row r="3496" spans="12:13">
      <c r="L3496" s="65">
        <v>721120</v>
      </c>
      <c r="M3496" t="s">
        <v>2538</v>
      </c>
    </row>
    <row r="3497" spans="12:13">
      <c r="L3497" s="65">
        <v>721121</v>
      </c>
      <c r="M3497" t="s">
        <v>2539</v>
      </c>
    </row>
    <row r="3498" spans="12:13">
      <c r="L3498" s="65">
        <v>721122</v>
      </c>
      <c r="M3498" t="s">
        <v>2540</v>
      </c>
    </row>
    <row r="3499" spans="12:13">
      <c r="L3499" s="65">
        <v>721130</v>
      </c>
      <c r="M3499" t="s">
        <v>2541</v>
      </c>
    </row>
    <row r="3500" spans="12:13">
      <c r="L3500" s="65">
        <v>721131</v>
      </c>
      <c r="M3500" t="s">
        <v>2542</v>
      </c>
    </row>
    <row r="3501" spans="12:13">
      <c r="L3501" s="65">
        <v>721200</v>
      </c>
      <c r="M3501" t="s">
        <v>2543</v>
      </c>
    </row>
    <row r="3502" spans="12:13">
      <c r="L3502" s="65">
        <v>721210</v>
      </c>
      <c r="M3502" t="s">
        <v>2528</v>
      </c>
    </row>
    <row r="3503" spans="12:13">
      <c r="L3503" s="65">
        <v>721211</v>
      </c>
      <c r="M3503" t="s">
        <v>2544</v>
      </c>
    </row>
    <row r="3504" spans="12:13">
      <c r="L3504" s="65">
        <v>721212</v>
      </c>
      <c r="M3504" t="s">
        <v>2545</v>
      </c>
    </row>
    <row r="3505" spans="12:13">
      <c r="L3505" s="65">
        <v>721213</v>
      </c>
      <c r="M3505" t="s">
        <v>2546</v>
      </c>
    </row>
    <row r="3506" spans="12:13">
      <c r="L3506" s="65">
        <v>721214</v>
      </c>
      <c r="M3506" t="s">
        <v>2547</v>
      </c>
    </row>
    <row r="3507" spans="12:13">
      <c r="L3507" s="65">
        <v>721215</v>
      </c>
      <c r="M3507" t="s">
        <v>2548</v>
      </c>
    </row>
    <row r="3508" spans="12:13">
      <c r="L3508" s="65">
        <v>721216</v>
      </c>
      <c r="M3508" t="s">
        <v>2549</v>
      </c>
    </row>
    <row r="3509" spans="12:13">
      <c r="L3509" s="65">
        <v>721217</v>
      </c>
      <c r="M3509" t="s">
        <v>2550</v>
      </c>
    </row>
    <row r="3510" spans="12:13">
      <c r="L3510" s="65">
        <v>721218</v>
      </c>
      <c r="M3510" t="s">
        <v>2551</v>
      </c>
    </row>
    <row r="3511" spans="12:13">
      <c r="L3511" s="65">
        <v>721219</v>
      </c>
      <c r="M3511" t="s">
        <v>2552</v>
      </c>
    </row>
    <row r="3512" spans="12:13">
      <c r="L3512" s="65">
        <v>721220</v>
      </c>
      <c r="M3512" t="s">
        <v>2538</v>
      </c>
    </row>
    <row r="3513" spans="12:13">
      <c r="L3513" s="65">
        <v>721221</v>
      </c>
      <c r="M3513" t="s">
        <v>2553</v>
      </c>
    </row>
    <row r="3514" spans="12:13">
      <c r="L3514" s="65">
        <v>721222</v>
      </c>
      <c r="M3514" t="s">
        <v>2554</v>
      </c>
    </row>
    <row r="3515" spans="12:13">
      <c r="L3515" s="65">
        <v>721223</v>
      </c>
      <c r="M3515" t="s">
        <v>2555</v>
      </c>
    </row>
    <row r="3516" spans="12:13">
      <c r="L3516" s="65">
        <v>721224</v>
      </c>
      <c r="M3516" t="s">
        <v>2556</v>
      </c>
    </row>
    <row r="3517" spans="12:13">
      <c r="L3517" s="65">
        <v>721225</v>
      </c>
      <c r="M3517" t="s">
        <v>2557</v>
      </c>
    </row>
    <row r="3518" spans="12:13">
      <c r="L3518" s="65">
        <v>721226</v>
      </c>
      <c r="M3518" t="s">
        <v>2558</v>
      </c>
    </row>
    <row r="3519" spans="12:13">
      <c r="L3519" s="65">
        <v>721230</v>
      </c>
      <c r="M3519" t="s">
        <v>2541</v>
      </c>
    </row>
    <row r="3520" spans="12:13">
      <c r="L3520" s="65">
        <v>721231</v>
      </c>
      <c r="M3520" t="s">
        <v>2559</v>
      </c>
    </row>
    <row r="3521" spans="12:13">
      <c r="L3521" s="65">
        <v>721232</v>
      </c>
      <c r="M3521" t="s">
        <v>2560</v>
      </c>
    </row>
    <row r="3522" spans="12:13">
      <c r="L3522" s="65">
        <v>721233</v>
      </c>
      <c r="M3522" t="s">
        <v>2561</v>
      </c>
    </row>
    <row r="3523" spans="12:13">
      <c r="L3523" s="65">
        <v>721300</v>
      </c>
      <c r="M3523" t="s">
        <v>2562</v>
      </c>
    </row>
    <row r="3524" spans="12:13">
      <c r="L3524" s="65">
        <v>721310</v>
      </c>
      <c r="M3524" t="s">
        <v>2528</v>
      </c>
    </row>
    <row r="3525" spans="12:13">
      <c r="L3525" s="65">
        <v>721311</v>
      </c>
      <c r="M3525" t="s">
        <v>2563</v>
      </c>
    </row>
    <row r="3526" spans="12:13">
      <c r="L3526" s="65">
        <v>721312</v>
      </c>
      <c r="M3526" t="s">
        <v>2564</v>
      </c>
    </row>
    <row r="3527" spans="12:13">
      <c r="L3527" s="65">
        <v>721313</v>
      </c>
      <c r="M3527" t="s">
        <v>2565</v>
      </c>
    </row>
    <row r="3528" spans="12:13">
      <c r="L3528" s="65">
        <v>721314</v>
      </c>
      <c r="M3528" t="s">
        <v>2566</v>
      </c>
    </row>
    <row r="3529" spans="12:13">
      <c r="L3529" s="65">
        <v>721315</v>
      </c>
      <c r="M3529" t="s">
        <v>2567</v>
      </c>
    </row>
    <row r="3530" spans="12:13">
      <c r="L3530" s="65">
        <v>721316</v>
      </c>
      <c r="M3530" t="s">
        <v>2568</v>
      </c>
    </row>
    <row r="3531" spans="12:13">
      <c r="L3531" s="65">
        <v>721317</v>
      </c>
      <c r="M3531" t="s">
        <v>2569</v>
      </c>
    </row>
    <row r="3532" spans="12:13">
      <c r="L3532" s="65">
        <v>721318</v>
      </c>
      <c r="M3532" t="s">
        <v>2570</v>
      </c>
    </row>
    <row r="3533" spans="12:13">
      <c r="L3533" s="65">
        <v>721319</v>
      </c>
      <c r="M3533" t="s">
        <v>2571</v>
      </c>
    </row>
    <row r="3534" spans="12:13">
      <c r="L3534" s="65">
        <v>721320</v>
      </c>
      <c r="M3534" t="s">
        <v>2538</v>
      </c>
    </row>
    <row r="3535" spans="12:13">
      <c r="L3535" s="65">
        <v>721321</v>
      </c>
      <c r="M3535" t="s">
        <v>2572</v>
      </c>
    </row>
    <row r="3536" spans="12:13">
      <c r="L3536" s="65">
        <v>721322</v>
      </c>
      <c r="M3536" t="s">
        <v>2573</v>
      </c>
    </row>
    <row r="3537" spans="12:13">
      <c r="L3537" s="65">
        <v>721323</v>
      </c>
      <c r="M3537" t="s">
        <v>2574</v>
      </c>
    </row>
    <row r="3538" spans="12:13">
      <c r="L3538" s="65">
        <v>721324</v>
      </c>
      <c r="M3538" t="s">
        <v>2575</v>
      </c>
    </row>
    <row r="3539" spans="12:13">
      <c r="L3539" s="65">
        <v>721325</v>
      </c>
      <c r="M3539" t="s">
        <v>2576</v>
      </c>
    </row>
    <row r="3540" spans="12:13">
      <c r="L3540" s="65">
        <v>721330</v>
      </c>
      <c r="M3540" t="s">
        <v>2541</v>
      </c>
    </row>
    <row r="3541" spans="12:13">
      <c r="L3541" s="65">
        <v>721331</v>
      </c>
      <c r="M3541" t="s">
        <v>2577</v>
      </c>
    </row>
    <row r="3542" spans="12:13">
      <c r="L3542" s="65">
        <v>721332</v>
      </c>
      <c r="M3542" t="s">
        <v>2578</v>
      </c>
    </row>
    <row r="3543" spans="12:13">
      <c r="L3543" s="65">
        <v>721400</v>
      </c>
      <c r="M3543" t="s">
        <v>2579</v>
      </c>
    </row>
    <row r="3544" spans="12:13">
      <c r="L3544" s="65">
        <v>721410</v>
      </c>
      <c r="M3544" t="s">
        <v>2528</v>
      </c>
    </row>
    <row r="3545" spans="12:13">
      <c r="L3545" s="65">
        <v>721411</v>
      </c>
      <c r="M3545" t="s">
        <v>2580</v>
      </c>
    </row>
    <row r="3546" spans="12:13">
      <c r="L3546" s="65">
        <v>721412</v>
      </c>
      <c r="M3546" t="s">
        <v>2581</v>
      </c>
    </row>
    <row r="3547" spans="12:13">
      <c r="L3547" s="65">
        <v>721413</v>
      </c>
      <c r="M3547" t="s">
        <v>2582</v>
      </c>
    </row>
    <row r="3548" spans="12:13">
      <c r="L3548" s="65">
        <v>721414</v>
      </c>
      <c r="M3548" t="s">
        <v>2583</v>
      </c>
    </row>
    <row r="3549" spans="12:13">
      <c r="L3549" s="65">
        <v>721415</v>
      </c>
      <c r="M3549" t="s">
        <v>2584</v>
      </c>
    </row>
    <row r="3550" spans="12:13">
      <c r="L3550" s="65">
        <v>721416</v>
      </c>
      <c r="M3550" t="s">
        <v>2585</v>
      </c>
    </row>
    <row r="3551" spans="12:13">
      <c r="L3551" s="65">
        <v>721417</v>
      </c>
      <c r="M3551" t="s">
        <v>2586</v>
      </c>
    </row>
    <row r="3552" spans="12:13">
      <c r="L3552" s="65">
        <v>721418</v>
      </c>
      <c r="M3552" t="s">
        <v>2587</v>
      </c>
    </row>
    <row r="3553" spans="12:13">
      <c r="L3553" s="65">
        <v>721419</v>
      </c>
      <c r="M3553" t="s">
        <v>2588</v>
      </c>
    </row>
    <row r="3554" spans="12:13">
      <c r="L3554" s="65">
        <v>721420</v>
      </c>
      <c r="M3554" t="s">
        <v>2589</v>
      </c>
    </row>
    <row r="3555" spans="12:13">
      <c r="L3555" s="65">
        <v>721421</v>
      </c>
      <c r="M3555" t="s">
        <v>2589</v>
      </c>
    </row>
    <row r="3556" spans="12:13">
      <c r="L3556" s="65">
        <v>721430</v>
      </c>
      <c r="M3556" t="s">
        <v>2590</v>
      </c>
    </row>
    <row r="3557" spans="12:13">
      <c r="L3557" s="65">
        <v>721431</v>
      </c>
      <c r="M3557" t="s">
        <v>2590</v>
      </c>
    </row>
    <row r="3558" spans="12:13">
      <c r="L3558" s="65">
        <v>721432</v>
      </c>
      <c r="M3558" t="s">
        <v>2591</v>
      </c>
    </row>
    <row r="3559" spans="12:13">
      <c r="L3559" s="65">
        <v>722000</v>
      </c>
      <c r="M3559" t="s">
        <v>2592</v>
      </c>
    </row>
    <row r="3560" spans="12:13">
      <c r="L3560" s="65">
        <v>722100</v>
      </c>
      <c r="M3560" t="s">
        <v>2593</v>
      </c>
    </row>
    <row r="3561" spans="12:13">
      <c r="L3561" s="65">
        <v>722110</v>
      </c>
      <c r="M3561" t="s">
        <v>2593</v>
      </c>
    </row>
    <row r="3562" spans="12:13">
      <c r="L3562" s="65">
        <v>722111</v>
      </c>
      <c r="M3562" t="s">
        <v>2593</v>
      </c>
    </row>
    <row r="3563" spans="12:13">
      <c r="L3563" s="65">
        <v>722200</v>
      </c>
      <c r="M3563" t="s">
        <v>2594</v>
      </c>
    </row>
    <row r="3564" spans="12:13">
      <c r="L3564" s="65">
        <v>722210</v>
      </c>
      <c r="M3564" t="s">
        <v>2594</v>
      </c>
    </row>
    <row r="3565" spans="12:13">
      <c r="L3565" s="65">
        <v>722211</v>
      </c>
      <c r="M3565" t="s">
        <v>2594</v>
      </c>
    </row>
    <row r="3566" spans="12:13">
      <c r="L3566" s="65">
        <v>722300</v>
      </c>
      <c r="M3566" t="s">
        <v>2595</v>
      </c>
    </row>
    <row r="3567" spans="12:13">
      <c r="L3567" s="65">
        <v>722310</v>
      </c>
      <c r="M3567" t="s">
        <v>2595</v>
      </c>
    </row>
    <row r="3568" spans="12:13">
      <c r="L3568" s="65">
        <v>722311</v>
      </c>
      <c r="M3568" t="s">
        <v>2595</v>
      </c>
    </row>
    <row r="3569" spans="12:13">
      <c r="L3569" s="65">
        <v>730000</v>
      </c>
      <c r="M3569" t="s">
        <v>2597</v>
      </c>
    </row>
    <row r="3570" spans="12:13">
      <c r="L3570" s="65">
        <v>731000</v>
      </c>
      <c r="M3570" t="s">
        <v>2598</v>
      </c>
    </row>
    <row r="3571" spans="12:13">
      <c r="L3571" s="65">
        <v>731100</v>
      </c>
      <c r="M3571" t="s">
        <v>2599</v>
      </c>
    </row>
    <row r="3572" spans="12:13">
      <c r="L3572" s="65">
        <v>731120</v>
      </c>
      <c r="M3572" t="s">
        <v>2600</v>
      </c>
    </row>
    <row r="3573" spans="12:13">
      <c r="L3573" s="65">
        <v>731121</v>
      </c>
      <c r="M3573" t="s">
        <v>2600</v>
      </c>
    </row>
    <row r="3574" spans="12:13">
      <c r="L3574" s="65">
        <v>731130</v>
      </c>
      <c r="M3574" t="s">
        <v>2601</v>
      </c>
    </row>
    <row r="3575" spans="12:13">
      <c r="L3575" s="65">
        <v>731131</v>
      </c>
      <c r="M3575" t="s">
        <v>2602</v>
      </c>
    </row>
    <row r="3576" spans="12:13">
      <c r="L3576" s="65">
        <v>731132</v>
      </c>
      <c r="M3576" t="s">
        <v>2603</v>
      </c>
    </row>
    <row r="3577" spans="12:13">
      <c r="L3577" s="65">
        <v>731140</v>
      </c>
      <c r="M3577" t="s">
        <v>2604</v>
      </c>
    </row>
    <row r="3578" spans="12:13">
      <c r="L3578" s="65">
        <v>731141</v>
      </c>
      <c r="M3578" t="s">
        <v>2604</v>
      </c>
    </row>
    <row r="3579" spans="12:13">
      <c r="L3579" s="65">
        <v>731150</v>
      </c>
      <c r="M3579" t="s">
        <v>2605</v>
      </c>
    </row>
    <row r="3580" spans="12:13">
      <c r="L3580" s="65">
        <v>731151</v>
      </c>
      <c r="M3580" t="s">
        <v>2605</v>
      </c>
    </row>
    <row r="3581" spans="12:13">
      <c r="L3581" s="65">
        <v>731160</v>
      </c>
      <c r="M3581" t="s">
        <v>2606</v>
      </c>
    </row>
    <row r="3582" spans="12:13">
      <c r="L3582" s="65">
        <v>731161</v>
      </c>
      <c r="M3582" t="s">
        <v>2607</v>
      </c>
    </row>
    <row r="3583" spans="12:13">
      <c r="L3583" s="65">
        <v>731162</v>
      </c>
      <c r="M3583" t="s">
        <v>2608</v>
      </c>
    </row>
    <row r="3584" spans="12:13">
      <c r="L3584" s="65">
        <v>731165</v>
      </c>
      <c r="M3584" t="s">
        <v>2609</v>
      </c>
    </row>
    <row r="3585" spans="12:13">
      <c r="L3585" s="65">
        <v>731200</v>
      </c>
      <c r="M3585" t="s">
        <v>2610</v>
      </c>
    </row>
    <row r="3586" spans="12:13">
      <c r="L3586" s="65">
        <v>731220</v>
      </c>
      <c r="M3586" t="s">
        <v>2611</v>
      </c>
    </row>
    <row r="3587" spans="12:13">
      <c r="L3587" s="65">
        <v>731221</v>
      </c>
      <c r="M3587" t="s">
        <v>2611</v>
      </c>
    </row>
    <row r="3588" spans="12:13">
      <c r="L3588" s="65">
        <v>731230</v>
      </c>
      <c r="M3588" t="s">
        <v>2612</v>
      </c>
    </row>
    <row r="3589" spans="12:13">
      <c r="L3589" s="65">
        <v>731231</v>
      </c>
      <c r="M3589" t="s">
        <v>2613</v>
      </c>
    </row>
    <row r="3590" spans="12:13">
      <c r="L3590" s="65">
        <v>731232</v>
      </c>
      <c r="M3590" t="s">
        <v>2614</v>
      </c>
    </row>
    <row r="3591" spans="12:13">
      <c r="L3591" s="65">
        <v>731240</v>
      </c>
      <c r="M3591" t="s">
        <v>2615</v>
      </c>
    </row>
    <row r="3592" spans="12:13">
      <c r="L3592" s="65">
        <v>731241</v>
      </c>
      <c r="M3592" t="s">
        <v>2615</v>
      </c>
    </row>
    <row r="3593" spans="12:13">
      <c r="L3593" s="65">
        <v>731250</v>
      </c>
      <c r="M3593" t="s">
        <v>2616</v>
      </c>
    </row>
    <row r="3594" spans="12:13">
      <c r="L3594" s="65">
        <v>731251</v>
      </c>
      <c r="M3594" t="s">
        <v>2616</v>
      </c>
    </row>
    <row r="3595" spans="12:13">
      <c r="L3595" s="65">
        <v>731260</v>
      </c>
      <c r="M3595" t="s">
        <v>2617</v>
      </c>
    </row>
    <row r="3596" spans="12:13">
      <c r="L3596" s="65">
        <v>731261</v>
      </c>
      <c r="M3596" t="s">
        <v>2618</v>
      </c>
    </row>
    <row r="3597" spans="12:13">
      <c r="L3597" s="65">
        <v>731262</v>
      </c>
      <c r="M3597" t="s">
        <v>2619</v>
      </c>
    </row>
    <row r="3598" spans="12:13">
      <c r="L3598" s="65">
        <v>731265</v>
      </c>
      <c r="M3598" t="s">
        <v>2620</v>
      </c>
    </row>
    <row r="3599" spans="12:13">
      <c r="L3599" s="65">
        <v>732000</v>
      </c>
      <c r="M3599" t="s">
        <v>2622</v>
      </c>
    </row>
    <row r="3600" spans="12:13">
      <c r="L3600" s="65">
        <v>732100</v>
      </c>
      <c r="M3600" t="s">
        <v>2623</v>
      </c>
    </row>
    <row r="3601" spans="12:13">
      <c r="L3601" s="65">
        <v>732120</v>
      </c>
      <c r="M3601" t="s">
        <v>2624</v>
      </c>
    </row>
    <row r="3602" spans="12:13">
      <c r="L3602" s="65">
        <v>732121</v>
      </c>
      <c r="M3602" t="s">
        <v>2624</v>
      </c>
    </row>
    <row r="3603" spans="12:13">
      <c r="L3603" s="65">
        <v>732130</v>
      </c>
      <c r="M3603" t="s">
        <v>2625</v>
      </c>
    </row>
    <row r="3604" spans="12:13">
      <c r="L3604" s="65">
        <v>732131</v>
      </c>
      <c r="M3604" t="s">
        <v>2626</v>
      </c>
    </row>
    <row r="3605" spans="12:13">
      <c r="L3605" s="65">
        <v>732132</v>
      </c>
      <c r="M3605" t="s">
        <v>2627</v>
      </c>
    </row>
    <row r="3606" spans="12:13">
      <c r="L3606" s="65">
        <v>732140</v>
      </c>
      <c r="M3606" t="s">
        <v>2629</v>
      </c>
    </row>
    <row r="3607" spans="12:13">
      <c r="L3607" s="65">
        <v>732141</v>
      </c>
      <c r="M3607" t="s">
        <v>2629</v>
      </c>
    </row>
    <row r="3608" spans="12:13">
      <c r="L3608" s="65">
        <v>732150</v>
      </c>
      <c r="M3608" t="s">
        <v>2630</v>
      </c>
    </row>
    <row r="3609" spans="12:13">
      <c r="L3609" s="65">
        <v>732151</v>
      </c>
      <c r="M3609" t="s">
        <v>2630</v>
      </c>
    </row>
    <row r="3610" spans="12:13">
      <c r="L3610" s="65">
        <v>732160</v>
      </c>
      <c r="M3610" t="s">
        <v>2631</v>
      </c>
    </row>
    <row r="3611" spans="12:13">
      <c r="L3611" s="65">
        <v>732161</v>
      </c>
      <c r="M3611" t="s">
        <v>2632</v>
      </c>
    </row>
    <row r="3612" spans="12:13">
      <c r="L3612" s="65">
        <v>732162</v>
      </c>
      <c r="M3612" t="s">
        <v>2633</v>
      </c>
    </row>
    <row r="3613" spans="12:13">
      <c r="L3613" s="65">
        <v>732165</v>
      </c>
      <c r="M3613" t="s">
        <v>2634</v>
      </c>
    </row>
    <row r="3614" spans="12:13">
      <c r="L3614" s="65">
        <v>732200</v>
      </c>
      <c r="M3614" t="s">
        <v>2635</v>
      </c>
    </row>
    <row r="3615" spans="12:13">
      <c r="L3615" s="65">
        <v>732220</v>
      </c>
      <c r="M3615" t="s">
        <v>2636</v>
      </c>
    </row>
    <row r="3616" spans="12:13">
      <c r="L3616" s="65">
        <v>732221</v>
      </c>
      <c r="M3616" t="s">
        <v>2636</v>
      </c>
    </row>
    <row r="3617" spans="12:13">
      <c r="L3617" s="65">
        <v>732230</v>
      </c>
      <c r="M3617" t="s">
        <v>2637</v>
      </c>
    </row>
    <row r="3618" spans="12:13">
      <c r="L3618" s="65">
        <v>732231</v>
      </c>
      <c r="M3618" t="s">
        <v>2638</v>
      </c>
    </row>
    <row r="3619" spans="12:13">
      <c r="L3619" s="65">
        <v>732232</v>
      </c>
      <c r="M3619" t="s">
        <v>2639</v>
      </c>
    </row>
    <row r="3620" spans="12:13">
      <c r="L3620" s="65">
        <v>732240</v>
      </c>
      <c r="M3620" t="s">
        <v>2640</v>
      </c>
    </row>
    <row r="3621" spans="12:13">
      <c r="L3621" s="65">
        <v>732241</v>
      </c>
      <c r="M3621" t="s">
        <v>2640</v>
      </c>
    </row>
    <row r="3622" spans="12:13">
      <c r="L3622" s="65">
        <v>732250</v>
      </c>
      <c r="M3622" t="s">
        <v>2641</v>
      </c>
    </row>
    <row r="3623" spans="12:13">
      <c r="L3623" s="65">
        <v>732251</v>
      </c>
      <c r="M3623" t="s">
        <v>2641</v>
      </c>
    </row>
    <row r="3624" spans="12:13">
      <c r="L3624" s="65">
        <v>732260</v>
      </c>
      <c r="M3624" t="s">
        <v>2642</v>
      </c>
    </row>
    <row r="3625" spans="12:13">
      <c r="L3625" s="65">
        <v>732261</v>
      </c>
      <c r="M3625" t="s">
        <v>2643</v>
      </c>
    </row>
    <row r="3626" spans="12:13">
      <c r="L3626" s="65">
        <v>732262</v>
      </c>
      <c r="M3626" t="s">
        <v>2644</v>
      </c>
    </row>
    <row r="3627" spans="12:13">
      <c r="L3627" s="65">
        <v>732265</v>
      </c>
      <c r="M3627" t="s">
        <v>2645</v>
      </c>
    </row>
    <row r="3628" spans="12:13">
      <c r="L3628" s="65">
        <v>733000</v>
      </c>
      <c r="M3628" t="s">
        <v>2647</v>
      </c>
    </row>
    <row r="3629" spans="12:13">
      <c r="L3629" s="65">
        <v>733100</v>
      </c>
      <c r="M3629" t="s">
        <v>2648</v>
      </c>
    </row>
    <row r="3630" spans="12:13">
      <c r="L3630" s="65">
        <v>733120</v>
      </c>
      <c r="M3630" t="s">
        <v>2649</v>
      </c>
    </row>
    <row r="3631" spans="12:13">
      <c r="L3631" s="65">
        <v>733121</v>
      </c>
      <c r="M3631" t="s">
        <v>2649</v>
      </c>
    </row>
    <row r="3632" spans="12:13">
      <c r="L3632" s="65">
        <v>733130</v>
      </c>
      <c r="M3632" t="s">
        <v>2650</v>
      </c>
    </row>
    <row r="3633" spans="12:13">
      <c r="L3633" s="65">
        <v>733131</v>
      </c>
      <c r="M3633" t="s">
        <v>2651</v>
      </c>
    </row>
    <row r="3634" spans="12:13">
      <c r="L3634" s="65">
        <v>733132</v>
      </c>
      <c r="M3634" t="s">
        <v>2652</v>
      </c>
    </row>
    <row r="3635" spans="12:13">
      <c r="L3635" s="65">
        <v>733133</v>
      </c>
      <c r="M3635" t="s">
        <v>2653</v>
      </c>
    </row>
    <row r="3636" spans="12:13">
      <c r="L3636" s="65">
        <v>733134</v>
      </c>
      <c r="M3636" t="s">
        <v>2654</v>
      </c>
    </row>
    <row r="3637" spans="12:13">
      <c r="L3637" s="65">
        <v>733135</v>
      </c>
      <c r="M3637" t="s">
        <v>2655</v>
      </c>
    </row>
    <row r="3638" spans="12:13">
      <c r="L3638" s="65">
        <v>733136</v>
      </c>
      <c r="M3638" t="s">
        <v>2656</v>
      </c>
    </row>
    <row r="3639" spans="12:13">
      <c r="L3639" s="65">
        <v>733140</v>
      </c>
      <c r="M3639" t="s">
        <v>2657</v>
      </c>
    </row>
    <row r="3640" spans="12:13">
      <c r="L3640" s="65">
        <v>733141</v>
      </c>
      <c r="M3640" t="s">
        <v>2658</v>
      </c>
    </row>
    <row r="3641" spans="12:13">
      <c r="L3641" s="65">
        <v>733142</v>
      </c>
      <c r="M3641" t="s">
        <v>2659</v>
      </c>
    </row>
    <row r="3642" spans="12:13">
      <c r="L3642" s="65">
        <v>733143</v>
      </c>
      <c r="M3642" t="s">
        <v>2660</v>
      </c>
    </row>
    <row r="3643" spans="12:13">
      <c r="L3643" s="65">
        <v>733144</v>
      </c>
      <c r="M3643" t="s">
        <v>2661</v>
      </c>
    </row>
    <row r="3644" spans="12:13">
      <c r="L3644" s="65">
        <v>733145</v>
      </c>
      <c r="M3644" t="s">
        <v>2662</v>
      </c>
    </row>
    <row r="3645" spans="12:13">
      <c r="L3645" s="65">
        <v>733146</v>
      </c>
      <c r="M3645" t="s">
        <v>2663</v>
      </c>
    </row>
    <row r="3646" spans="12:13">
      <c r="L3646" s="65">
        <v>733147</v>
      </c>
      <c r="M3646" t="s">
        <v>2664</v>
      </c>
    </row>
    <row r="3647" spans="12:13">
      <c r="L3647" s="65">
        <v>733148</v>
      </c>
      <c r="M3647" t="s">
        <v>2665</v>
      </c>
    </row>
    <row r="3648" spans="12:13">
      <c r="L3648" s="65">
        <v>733150</v>
      </c>
      <c r="M3648" t="s">
        <v>2666</v>
      </c>
    </row>
    <row r="3649" spans="12:13">
      <c r="L3649" s="65">
        <v>733151</v>
      </c>
      <c r="M3649" t="s">
        <v>2667</v>
      </c>
    </row>
    <row r="3650" spans="12:13">
      <c r="L3650" s="65">
        <v>733152</v>
      </c>
      <c r="M3650" t="s">
        <v>2668</v>
      </c>
    </row>
    <row r="3651" spans="12:13">
      <c r="L3651" s="65">
        <v>733153</v>
      </c>
      <c r="M3651" t="s">
        <v>2669</v>
      </c>
    </row>
    <row r="3652" spans="12:13">
      <c r="L3652" s="65">
        <v>733154</v>
      </c>
      <c r="M3652" t="s">
        <v>2670</v>
      </c>
    </row>
    <row r="3653" spans="12:13">
      <c r="L3653" s="65">
        <v>733155</v>
      </c>
      <c r="M3653" t="s">
        <v>2671</v>
      </c>
    </row>
    <row r="3654" spans="12:13">
      <c r="L3654" s="65">
        <v>733156</v>
      </c>
      <c r="M3654" t="s">
        <v>2672</v>
      </c>
    </row>
    <row r="3655" spans="12:13">
      <c r="L3655" s="65">
        <v>733157</v>
      </c>
      <c r="M3655" t="s">
        <v>2673</v>
      </c>
    </row>
    <row r="3656" spans="12:13">
      <c r="L3656" s="65">
        <v>733158</v>
      </c>
      <c r="M3656" t="s">
        <v>2665</v>
      </c>
    </row>
    <row r="3657" spans="12:13">
      <c r="L3657" s="65">
        <v>733160</v>
      </c>
      <c r="M3657" t="s">
        <v>2674</v>
      </c>
    </row>
    <row r="3658" spans="12:13">
      <c r="L3658" s="65">
        <v>733161</v>
      </c>
      <c r="M3658" t="s">
        <v>2675</v>
      </c>
    </row>
    <row r="3659" spans="12:13">
      <c r="L3659" s="65">
        <v>733162</v>
      </c>
      <c r="M3659" t="s">
        <v>2676</v>
      </c>
    </row>
    <row r="3660" spans="12:13">
      <c r="L3660" s="65">
        <v>733163</v>
      </c>
      <c r="M3660" t="s">
        <v>2677</v>
      </c>
    </row>
    <row r="3661" spans="12:13">
      <c r="L3661" s="65">
        <v>733164</v>
      </c>
      <c r="M3661" t="s">
        <v>2678</v>
      </c>
    </row>
    <row r="3662" spans="12:13">
      <c r="L3662" s="65">
        <v>733165</v>
      </c>
      <c r="M3662" t="s">
        <v>2679</v>
      </c>
    </row>
    <row r="3663" spans="12:13">
      <c r="L3663" s="65">
        <v>733166</v>
      </c>
      <c r="M3663" t="s">
        <v>2680</v>
      </c>
    </row>
    <row r="3664" spans="12:13">
      <c r="L3664" s="65">
        <v>733167</v>
      </c>
      <c r="M3664" t="s">
        <v>2681</v>
      </c>
    </row>
    <row r="3665" spans="12:13">
      <c r="L3665" s="65">
        <v>733168</v>
      </c>
      <c r="M3665" t="s">
        <v>2682</v>
      </c>
    </row>
    <row r="3666" spans="12:13">
      <c r="L3666" s="65">
        <v>733200</v>
      </c>
      <c r="M3666" t="s">
        <v>2683</v>
      </c>
    </row>
    <row r="3667" spans="12:13">
      <c r="L3667" s="65">
        <v>733220</v>
      </c>
      <c r="M3667" t="s">
        <v>2684</v>
      </c>
    </row>
    <row r="3668" spans="12:13">
      <c r="L3668" s="65">
        <v>733221</v>
      </c>
      <c r="M3668" t="s">
        <v>2684</v>
      </c>
    </row>
    <row r="3669" spans="12:13">
      <c r="L3669" s="65">
        <v>733230</v>
      </c>
      <c r="M3669" t="s">
        <v>2685</v>
      </c>
    </row>
    <row r="3670" spans="12:13">
      <c r="L3670" s="65">
        <v>733231</v>
      </c>
      <c r="M3670" t="s">
        <v>2686</v>
      </c>
    </row>
    <row r="3671" spans="12:13">
      <c r="L3671" s="65">
        <v>733232</v>
      </c>
      <c r="M3671" t="s">
        <v>2687</v>
      </c>
    </row>
    <row r="3672" spans="12:13">
      <c r="L3672" s="65">
        <v>733233</v>
      </c>
      <c r="M3672" t="s">
        <v>2688</v>
      </c>
    </row>
    <row r="3673" spans="12:13">
      <c r="L3673" s="65">
        <v>733234</v>
      </c>
      <c r="M3673" t="s">
        <v>2689</v>
      </c>
    </row>
    <row r="3674" spans="12:13">
      <c r="L3674" s="65">
        <v>733235</v>
      </c>
      <c r="M3674" t="s">
        <v>2690</v>
      </c>
    </row>
    <row r="3675" spans="12:13">
      <c r="L3675" s="65">
        <v>733236</v>
      </c>
      <c r="M3675" t="s">
        <v>2691</v>
      </c>
    </row>
    <row r="3676" spans="12:13">
      <c r="L3676" s="65">
        <v>733240</v>
      </c>
      <c r="M3676" t="s">
        <v>2692</v>
      </c>
    </row>
    <row r="3677" spans="12:13">
      <c r="L3677" s="65">
        <v>733241</v>
      </c>
      <c r="M3677" t="s">
        <v>2693</v>
      </c>
    </row>
    <row r="3678" spans="12:13">
      <c r="L3678" s="65">
        <v>733242</v>
      </c>
      <c r="M3678" t="s">
        <v>2694</v>
      </c>
    </row>
    <row r="3679" spans="12:13">
      <c r="L3679" s="65">
        <v>733243</v>
      </c>
      <c r="M3679" t="s">
        <v>2695</v>
      </c>
    </row>
    <row r="3680" spans="12:13">
      <c r="L3680" s="65">
        <v>733250</v>
      </c>
      <c r="M3680" t="s">
        <v>2696</v>
      </c>
    </row>
    <row r="3681" spans="12:13">
      <c r="L3681" s="65">
        <v>733251</v>
      </c>
      <c r="M3681" t="s">
        <v>2697</v>
      </c>
    </row>
    <row r="3682" spans="12:13">
      <c r="L3682" s="65">
        <v>733252</v>
      </c>
      <c r="M3682" t="s">
        <v>2698</v>
      </c>
    </row>
    <row r="3683" spans="12:13">
      <c r="L3683" s="65">
        <v>733253</v>
      </c>
      <c r="M3683" t="s">
        <v>2699</v>
      </c>
    </row>
    <row r="3684" spans="12:13">
      <c r="L3684" s="65">
        <v>733260</v>
      </c>
      <c r="M3684" t="s">
        <v>2700</v>
      </c>
    </row>
    <row r="3685" spans="12:13">
      <c r="L3685" s="65">
        <v>733261</v>
      </c>
      <c r="M3685" t="s">
        <v>2701</v>
      </c>
    </row>
    <row r="3686" spans="12:13">
      <c r="L3686" s="65">
        <v>733262</v>
      </c>
      <c r="M3686" t="s">
        <v>2702</v>
      </c>
    </row>
    <row r="3687" spans="12:13">
      <c r="L3687" s="65">
        <v>733265</v>
      </c>
      <c r="M3687" t="s">
        <v>2703</v>
      </c>
    </row>
    <row r="3688" spans="12:13">
      <c r="L3688" s="65">
        <v>740000</v>
      </c>
      <c r="M3688" t="s">
        <v>2705</v>
      </c>
    </row>
    <row r="3689" spans="12:13">
      <c r="L3689" s="65">
        <v>741000</v>
      </c>
      <c r="M3689" t="s">
        <v>2707</v>
      </c>
    </row>
    <row r="3690" spans="12:13">
      <c r="L3690" s="65">
        <v>741100</v>
      </c>
      <c r="M3690" t="s">
        <v>2708</v>
      </c>
    </row>
    <row r="3691" spans="12:13">
      <c r="L3691" s="65">
        <v>741120</v>
      </c>
      <c r="M3691" t="s">
        <v>2709</v>
      </c>
    </row>
    <row r="3692" spans="12:13">
      <c r="L3692" s="65">
        <v>741121</v>
      </c>
      <c r="M3692" t="s">
        <v>2710</v>
      </c>
    </row>
    <row r="3693" spans="12:13">
      <c r="L3693" s="65">
        <v>741122</v>
      </c>
      <c r="M3693" t="s">
        <v>2711</v>
      </c>
    </row>
    <row r="3694" spans="12:13">
      <c r="L3694" s="65">
        <v>741130</v>
      </c>
      <c r="M3694" t="s">
        <v>2712</v>
      </c>
    </row>
    <row r="3695" spans="12:13">
      <c r="L3695" s="65">
        <v>741131</v>
      </c>
      <c r="M3695" t="s">
        <v>2713</v>
      </c>
    </row>
    <row r="3696" spans="12:13">
      <c r="L3696" s="65">
        <v>741132</v>
      </c>
      <c r="M3696" t="s">
        <v>2714</v>
      </c>
    </row>
    <row r="3697" spans="12:13">
      <c r="L3697" s="65">
        <v>741140</v>
      </c>
      <c r="M3697" t="s">
        <v>2715</v>
      </c>
    </row>
    <row r="3698" spans="12:13">
      <c r="L3698" s="65">
        <v>741141</v>
      </c>
      <c r="M3698" t="s">
        <v>2716</v>
      </c>
    </row>
    <row r="3699" spans="12:13">
      <c r="L3699" s="65">
        <v>741142</v>
      </c>
      <c r="M3699" t="s">
        <v>2717</v>
      </c>
    </row>
    <row r="3700" spans="12:13">
      <c r="L3700" s="65">
        <v>741150</v>
      </c>
      <c r="M3700" t="s">
        <v>2718</v>
      </c>
    </row>
    <row r="3701" spans="12:13">
      <c r="L3701" s="65">
        <v>741151</v>
      </c>
      <c r="M3701" t="s">
        <v>2719</v>
      </c>
    </row>
    <row r="3702" spans="12:13">
      <c r="L3702" s="65">
        <v>741152</v>
      </c>
      <c r="M3702" t="s">
        <v>2720</v>
      </c>
    </row>
    <row r="3703" spans="12:13">
      <c r="L3703" s="65">
        <v>741160</v>
      </c>
      <c r="M3703" t="s">
        <v>2721</v>
      </c>
    </row>
    <row r="3704" spans="12:13">
      <c r="L3704" s="65">
        <v>741161</v>
      </c>
      <c r="M3704" t="s">
        <v>2722</v>
      </c>
    </row>
    <row r="3705" spans="12:13">
      <c r="L3705" s="65">
        <v>741162</v>
      </c>
      <c r="M3705" t="s">
        <v>2723</v>
      </c>
    </row>
    <row r="3706" spans="12:13">
      <c r="L3706" s="65">
        <v>741165</v>
      </c>
      <c r="M3706" t="s">
        <v>2724</v>
      </c>
    </row>
    <row r="3707" spans="12:13">
      <c r="L3707" s="65">
        <v>741200</v>
      </c>
      <c r="M3707" t="s">
        <v>2725</v>
      </c>
    </row>
    <row r="3708" spans="12:13">
      <c r="L3708" s="65">
        <v>741210</v>
      </c>
      <c r="M3708" t="s">
        <v>2726</v>
      </c>
    </row>
    <row r="3709" spans="12:13">
      <c r="L3709" s="65">
        <v>741211</v>
      </c>
      <c r="M3709" t="s">
        <v>2727</v>
      </c>
    </row>
    <row r="3710" spans="12:13">
      <c r="L3710" s="65">
        <v>741212</v>
      </c>
      <c r="M3710" t="s">
        <v>2728</v>
      </c>
    </row>
    <row r="3711" spans="12:13">
      <c r="L3711" s="65">
        <v>741220</v>
      </c>
      <c r="M3711" t="s">
        <v>2729</v>
      </c>
    </row>
    <row r="3712" spans="12:13">
      <c r="L3712" s="65">
        <v>741221</v>
      </c>
      <c r="M3712" t="s">
        <v>2729</v>
      </c>
    </row>
    <row r="3713" spans="12:13">
      <c r="L3713" s="65">
        <v>741222</v>
      </c>
      <c r="M3713" t="s">
        <v>2730</v>
      </c>
    </row>
    <row r="3714" spans="12:13">
      <c r="L3714" s="65">
        <v>741223</v>
      </c>
      <c r="M3714" t="s">
        <v>2731</v>
      </c>
    </row>
    <row r="3715" spans="12:13">
      <c r="L3715" s="65">
        <v>741224</v>
      </c>
      <c r="M3715" t="s">
        <v>2732</v>
      </c>
    </row>
    <row r="3716" spans="12:13">
      <c r="L3716" s="65">
        <v>741230</v>
      </c>
      <c r="M3716" t="s">
        <v>2733</v>
      </c>
    </row>
    <row r="3717" spans="12:13">
      <c r="L3717" s="65">
        <v>741231</v>
      </c>
      <c r="M3717" t="s">
        <v>2734</v>
      </c>
    </row>
    <row r="3718" spans="12:13">
      <c r="L3718" s="65">
        <v>741232</v>
      </c>
      <c r="M3718" t="s">
        <v>2735</v>
      </c>
    </row>
    <row r="3719" spans="12:13">
      <c r="L3719" s="65">
        <v>741240</v>
      </c>
      <c r="M3719" t="s">
        <v>2736</v>
      </c>
    </row>
    <row r="3720" spans="12:13">
      <c r="L3720" s="65">
        <v>741241</v>
      </c>
      <c r="M3720" t="s">
        <v>2736</v>
      </c>
    </row>
    <row r="3721" spans="12:13">
      <c r="L3721" s="65">
        <v>741250</v>
      </c>
      <c r="M3721" t="s">
        <v>2737</v>
      </c>
    </row>
    <row r="3722" spans="12:13">
      <c r="L3722" s="65">
        <v>741251</v>
      </c>
      <c r="M3722" t="s">
        <v>2737</v>
      </c>
    </row>
    <row r="3723" spans="12:13">
      <c r="L3723" s="65">
        <v>741260</v>
      </c>
      <c r="M3723" t="s">
        <v>2738</v>
      </c>
    </row>
    <row r="3724" spans="12:13">
      <c r="L3724" s="65">
        <v>741261</v>
      </c>
      <c r="M3724" t="s">
        <v>2739</v>
      </c>
    </row>
    <row r="3725" spans="12:13">
      <c r="L3725" s="65">
        <v>741262</v>
      </c>
      <c r="M3725" t="s">
        <v>2740</v>
      </c>
    </row>
    <row r="3726" spans="12:13">
      <c r="L3726" s="65">
        <v>741265</v>
      </c>
      <c r="M3726" t="s">
        <v>2741</v>
      </c>
    </row>
    <row r="3727" spans="12:13">
      <c r="L3727" s="65">
        <v>741300</v>
      </c>
      <c r="M3727" t="s">
        <v>2742</v>
      </c>
    </row>
    <row r="3728" spans="12:13">
      <c r="L3728" s="65">
        <v>741310</v>
      </c>
      <c r="M3728" t="s">
        <v>2742</v>
      </c>
    </row>
    <row r="3729" spans="12:13">
      <c r="L3729" s="65">
        <v>741311</v>
      </c>
      <c r="M3729" t="s">
        <v>2742</v>
      </c>
    </row>
    <row r="3730" spans="12:13">
      <c r="L3730" s="65">
        <v>741400</v>
      </c>
      <c r="M3730" t="s">
        <v>2743</v>
      </c>
    </row>
    <row r="3731" spans="12:13">
      <c r="L3731" s="65">
        <v>741410</v>
      </c>
      <c r="M3731" t="s">
        <v>2743</v>
      </c>
    </row>
    <row r="3732" spans="12:13">
      <c r="L3732" s="65">
        <v>741411</v>
      </c>
      <c r="M3732" t="s">
        <v>2745</v>
      </c>
    </row>
    <row r="3733" spans="12:13">
      <c r="L3733" s="65">
        <v>741412</v>
      </c>
      <c r="M3733" t="s">
        <v>2746</v>
      </c>
    </row>
    <row r="3734" spans="12:13">
      <c r="L3734" s="65">
        <v>741413</v>
      </c>
      <c r="M3734" t="s">
        <v>2747</v>
      </c>
    </row>
    <row r="3735" spans="12:13">
      <c r="L3735" s="65">
        <v>741414</v>
      </c>
      <c r="M3735" t="s">
        <v>2748</v>
      </c>
    </row>
    <row r="3736" spans="12:13">
      <c r="L3736" s="65">
        <v>741500</v>
      </c>
      <c r="M3736" t="s">
        <v>2749</v>
      </c>
    </row>
    <row r="3737" spans="12:13">
      <c r="L3737" s="65">
        <v>741510</v>
      </c>
      <c r="M3737" t="s">
        <v>2751</v>
      </c>
    </row>
    <row r="3738" spans="12:13">
      <c r="L3738" s="65">
        <v>741511</v>
      </c>
      <c r="M3738" t="s">
        <v>2752</v>
      </c>
    </row>
    <row r="3739" spans="12:13">
      <c r="L3739" s="65">
        <v>741512</v>
      </c>
      <c r="M3739" t="s">
        <v>2753</v>
      </c>
    </row>
    <row r="3740" spans="12:13">
      <c r="L3740" s="65">
        <v>741513</v>
      </c>
      <c r="M3740" t="s">
        <v>2754</v>
      </c>
    </row>
    <row r="3741" spans="12:13">
      <c r="L3741" s="65">
        <v>741514</v>
      </c>
      <c r="M3741" t="s">
        <v>2755</v>
      </c>
    </row>
    <row r="3742" spans="12:13">
      <c r="L3742" s="65">
        <v>741515</v>
      </c>
      <c r="M3742" t="s">
        <v>2756</v>
      </c>
    </row>
    <row r="3743" spans="12:13">
      <c r="L3743" s="65">
        <v>741516</v>
      </c>
      <c r="M3743" t="s">
        <v>2757</v>
      </c>
    </row>
    <row r="3744" spans="12:13">
      <c r="L3744" s="65">
        <v>741517</v>
      </c>
      <c r="M3744" t="s">
        <v>2758</v>
      </c>
    </row>
    <row r="3745" spans="12:13">
      <c r="L3745" s="65">
        <v>741520</v>
      </c>
      <c r="M3745" t="s">
        <v>2760</v>
      </c>
    </row>
    <row r="3746" spans="12:13">
      <c r="L3746" s="65">
        <v>741521</v>
      </c>
      <c r="M3746" t="s">
        <v>2761</v>
      </c>
    </row>
    <row r="3747" spans="12:13">
      <c r="L3747" s="65">
        <v>741522</v>
      </c>
      <c r="M3747" t="s">
        <v>2762</v>
      </c>
    </row>
    <row r="3748" spans="12:13">
      <c r="L3748" s="65">
        <v>741523</v>
      </c>
      <c r="M3748" t="s">
        <v>2763</v>
      </c>
    </row>
    <row r="3749" spans="12:13">
      <c r="L3749" s="65">
        <v>741524</v>
      </c>
      <c r="M3749" t="s">
        <v>2764</v>
      </c>
    </row>
    <row r="3750" spans="12:13">
      <c r="L3750" s="65">
        <v>741525</v>
      </c>
      <c r="M3750" t="s">
        <v>2765</v>
      </c>
    </row>
    <row r="3751" spans="12:13">
      <c r="L3751" s="65">
        <v>741526</v>
      </c>
      <c r="M3751" t="s">
        <v>2766</v>
      </c>
    </row>
    <row r="3752" spans="12:13">
      <c r="L3752" s="65">
        <v>741527</v>
      </c>
      <c r="M3752" t="s">
        <v>2767</v>
      </c>
    </row>
    <row r="3753" spans="12:13">
      <c r="L3753" s="65">
        <v>741528</v>
      </c>
      <c r="M3753" t="s">
        <v>2768</v>
      </c>
    </row>
    <row r="3754" spans="12:13">
      <c r="L3754" s="65">
        <v>741529</v>
      </c>
      <c r="M3754" t="s">
        <v>2769</v>
      </c>
    </row>
    <row r="3755" spans="12:13">
      <c r="L3755" s="65">
        <v>741530</v>
      </c>
      <c r="M3755" t="s">
        <v>2770</v>
      </c>
    </row>
    <row r="3756" spans="12:13">
      <c r="L3756" s="65">
        <v>741531</v>
      </c>
      <c r="M3756" t="s">
        <v>2772</v>
      </c>
    </row>
    <row r="3757" spans="12:13">
      <c r="L3757" s="65">
        <v>741532</v>
      </c>
      <c r="M3757" t="s">
        <v>2774</v>
      </c>
    </row>
    <row r="3758" spans="12:13">
      <c r="L3758" s="65">
        <v>741533</v>
      </c>
      <c r="M3758" t="s">
        <v>2776</v>
      </c>
    </row>
    <row r="3759" spans="12:13">
      <c r="L3759" s="65">
        <v>741534</v>
      </c>
      <c r="M3759" t="s">
        <v>2778</v>
      </c>
    </row>
    <row r="3760" spans="12:13">
      <c r="L3760" s="65">
        <v>741535</v>
      </c>
      <c r="M3760" t="s">
        <v>2780</v>
      </c>
    </row>
    <row r="3761" spans="12:13">
      <c r="L3761" s="65">
        <v>741536</v>
      </c>
      <c r="M3761" t="s">
        <v>2781</v>
      </c>
    </row>
    <row r="3762" spans="12:13">
      <c r="L3762" s="65">
        <v>741537</v>
      </c>
      <c r="M3762" t="s">
        <v>2782</v>
      </c>
    </row>
    <row r="3763" spans="12:13">
      <c r="L3763" s="65">
        <v>741540</v>
      </c>
      <c r="M3763" t="s">
        <v>2783</v>
      </c>
    </row>
    <row r="3764" spans="12:13">
      <c r="L3764" s="65">
        <v>741541</v>
      </c>
      <c r="M3764" t="s">
        <v>2784</v>
      </c>
    </row>
    <row r="3765" spans="12:13">
      <c r="L3765" s="65">
        <v>741542</v>
      </c>
      <c r="M3765" t="s">
        <v>2786</v>
      </c>
    </row>
    <row r="3766" spans="12:13">
      <c r="L3766" s="65">
        <v>741543</v>
      </c>
      <c r="M3766" t="s">
        <v>2787</v>
      </c>
    </row>
    <row r="3767" spans="12:13">
      <c r="L3767" s="65">
        <v>741550</v>
      </c>
      <c r="M3767" t="s">
        <v>2788</v>
      </c>
    </row>
    <row r="3768" spans="12:13">
      <c r="L3768" s="65">
        <v>741551</v>
      </c>
      <c r="M3768" t="s">
        <v>2788</v>
      </c>
    </row>
    <row r="3769" spans="12:13">
      <c r="L3769" s="65">
        <v>741560</v>
      </c>
      <c r="M3769" t="s">
        <v>2790</v>
      </c>
    </row>
    <row r="3770" spans="12:13">
      <c r="L3770" s="65">
        <v>741561</v>
      </c>
      <c r="M3770" t="s">
        <v>2791</v>
      </c>
    </row>
    <row r="3771" spans="12:13">
      <c r="L3771" s="65">
        <v>741562</v>
      </c>
      <c r="M3771" t="s">
        <v>2792</v>
      </c>
    </row>
    <row r="3772" spans="12:13">
      <c r="L3772" s="65">
        <v>741563</v>
      </c>
      <c r="M3772" t="s">
        <v>2793</v>
      </c>
    </row>
    <row r="3773" spans="12:13">
      <c r="L3773" s="65">
        <v>741564</v>
      </c>
      <c r="M3773" t="s">
        <v>2794</v>
      </c>
    </row>
    <row r="3774" spans="12:13">
      <c r="L3774" s="65">
        <v>741565</v>
      </c>
      <c r="M3774" t="s">
        <v>2795</v>
      </c>
    </row>
    <row r="3775" spans="12:13">
      <c r="L3775" s="65">
        <v>741566</v>
      </c>
      <c r="M3775" t="s">
        <v>2796</v>
      </c>
    </row>
    <row r="3776" spans="12:13">
      <c r="L3776" s="65">
        <v>741567</v>
      </c>
      <c r="M3776" t="s">
        <v>2797</v>
      </c>
    </row>
    <row r="3777" spans="12:13">
      <c r="L3777" s="65">
        <v>741568</v>
      </c>
      <c r="M3777" t="s">
        <v>2798</v>
      </c>
    </row>
    <row r="3778" spans="12:13">
      <c r="L3778" s="65">
        <v>741569</v>
      </c>
      <c r="M3778" t="s">
        <v>2799</v>
      </c>
    </row>
    <row r="3779" spans="12:13">
      <c r="L3779" s="65">
        <v>741570</v>
      </c>
      <c r="M3779" t="s">
        <v>2800</v>
      </c>
    </row>
    <row r="3780" spans="12:13">
      <c r="L3780" s="65">
        <v>741571</v>
      </c>
      <c r="M3780" t="s">
        <v>2800</v>
      </c>
    </row>
    <row r="3781" spans="12:13">
      <c r="L3781" s="65">
        <v>741572</v>
      </c>
      <c r="M3781" t="s">
        <v>2801</v>
      </c>
    </row>
    <row r="3782" spans="12:13">
      <c r="L3782" s="65">
        <v>741580</v>
      </c>
      <c r="M3782" t="s">
        <v>2802</v>
      </c>
    </row>
    <row r="3783" spans="12:13">
      <c r="L3783" s="65">
        <v>741581</v>
      </c>
      <c r="M3783" t="s">
        <v>2803</v>
      </c>
    </row>
    <row r="3784" spans="12:13">
      <c r="L3784" s="65">
        <v>741582</v>
      </c>
      <c r="M3784" t="s">
        <v>2804</v>
      </c>
    </row>
    <row r="3785" spans="12:13">
      <c r="L3785" s="65">
        <v>741583</v>
      </c>
      <c r="M3785" t="s">
        <v>2805</v>
      </c>
    </row>
    <row r="3786" spans="12:13">
      <c r="L3786" s="65">
        <v>741590</v>
      </c>
      <c r="M3786" t="s">
        <v>2806</v>
      </c>
    </row>
    <row r="3787" spans="12:13">
      <c r="L3787" s="65">
        <v>741591</v>
      </c>
      <c r="M3787" t="s">
        <v>2807</v>
      </c>
    </row>
    <row r="3788" spans="12:13">
      <c r="L3788" s="65">
        <v>741592</v>
      </c>
      <c r="M3788" t="s">
        <v>2808</v>
      </c>
    </row>
    <row r="3789" spans="12:13">
      <c r="L3789" s="65">
        <v>741593</v>
      </c>
      <c r="M3789" t="s">
        <v>2809</v>
      </c>
    </row>
    <row r="3790" spans="12:13">
      <c r="L3790" s="65">
        <v>741594</v>
      </c>
      <c r="M3790" t="s">
        <v>2810</v>
      </c>
    </row>
    <row r="3791" spans="12:13">
      <c r="L3791" s="65">
        <v>741595</v>
      </c>
      <c r="M3791" t="s">
        <v>2811</v>
      </c>
    </row>
    <row r="3792" spans="12:13">
      <c r="L3792" s="65">
        <v>741600</v>
      </c>
      <c r="M3792" t="s">
        <v>1658</v>
      </c>
    </row>
    <row r="3793" spans="12:13">
      <c r="L3793" s="65">
        <v>741610</v>
      </c>
      <c r="M3793" t="s">
        <v>1658</v>
      </c>
    </row>
    <row r="3794" spans="12:13">
      <c r="L3794" s="65">
        <v>741611</v>
      </c>
      <c r="M3794" t="s">
        <v>1658</v>
      </c>
    </row>
    <row r="3795" spans="12:13">
      <c r="L3795" s="65">
        <v>742000</v>
      </c>
      <c r="M3795" t="s">
        <v>2813</v>
      </c>
    </row>
    <row r="3796" spans="12:13">
      <c r="L3796" s="65">
        <v>742100</v>
      </c>
      <c r="M3796" t="s">
        <v>2814</v>
      </c>
    </row>
    <row r="3797" spans="12:13">
      <c r="L3797" s="65">
        <v>742120</v>
      </c>
      <c r="M3797" t="s">
        <v>2815</v>
      </c>
    </row>
    <row r="3798" spans="12:13">
      <c r="L3798" s="65">
        <v>742121</v>
      </c>
      <c r="M3798" t="s">
        <v>2816</v>
      </c>
    </row>
    <row r="3799" spans="12:13">
      <c r="L3799" s="65">
        <v>742122</v>
      </c>
      <c r="M3799" t="s">
        <v>2817</v>
      </c>
    </row>
    <row r="3800" spans="12:13">
      <c r="L3800" s="65">
        <v>742123</v>
      </c>
      <c r="M3800" t="s">
        <v>2818</v>
      </c>
    </row>
    <row r="3801" spans="12:13">
      <c r="L3801" s="65">
        <v>742124</v>
      </c>
      <c r="M3801" t="s">
        <v>2819</v>
      </c>
    </row>
    <row r="3802" spans="12:13">
      <c r="L3802" s="65">
        <v>742125</v>
      </c>
      <c r="M3802" t="s">
        <v>2820</v>
      </c>
    </row>
    <row r="3803" spans="12:13">
      <c r="L3803" s="65">
        <v>742126</v>
      </c>
      <c r="M3803" t="s">
        <v>2821</v>
      </c>
    </row>
    <row r="3804" spans="12:13">
      <c r="L3804" s="65">
        <v>742127</v>
      </c>
      <c r="M3804" t="s">
        <v>2822</v>
      </c>
    </row>
    <row r="3805" spans="12:13">
      <c r="L3805" s="65">
        <v>742128</v>
      </c>
      <c r="M3805" t="s">
        <v>2823</v>
      </c>
    </row>
    <row r="3806" spans="12:13">
      <c r="L3806" s="65">
        <v>742129</v>
      </c>
      <c r="M3806" t="s">
        <v>2824</v>
      </c>
    </row>
    <row r="3807" spans="12:13">
      <c r="L3807" s="65">
        <v>742130</v>
      </c>
      <c r="M3807" t="s">
        <v>2825</v>
      </c>
    </row>
    <row r="3808" spans="12:13">
      <c r="L3808" s="65">
        <v>742131</v>
      </c>
      <c r="M3808" t="s">
        <v>2826</v>
      </c>
    </row>
    <row r="3809" spans="12:13">
      <c r="L3809" s="65">
        <v>742132</v>
      </c>
      <c r="M3809" t="s">
        <v>2827</v>
      </c>
    </row>
    <row r="3810" spans="12:13">
      <c r="L3810" s="65">
        <v>742133</v>
      </c>
      <c r="M3810" t="s">
        <v>2828</v>
      </c>
    </row>
    <row r="3811" spans="12:13">
      <c r="L3811" s="65">
        <v>742134</v>
      </c>
      <c r="M3811" t="s">
        <v>2829</v>
      </c>
    </row>
    <row r="3812" spans="12:13">
      <c r="L3812" s="65">
        <v>742135</v>
      </c>
      <c r="M3812" t="s">
        <v>2830</v>
      </c>
    </row>
    <row r="3813" spans="12:13">
      <c r="L3813" s="65">
        <v>742136</v>
      </c>
      <c r="M3813" t="s">
        <v>2831</v>
      </c>
    </row>
    <row r="3814" spans="12:13">
      <c r="L3814" s="65">
        <v>742140</v>
      </c>
      <c r="M3814" t="s">
        <v>2832</v>
      </c>
    </row>
    <row r="3815" spans="12:13">
      <c r="L3815" s="65">
        <v>742141</v>
      </c>
      <c r="M3815" t="s">
        <v>2832</v>
      </c>
    </row>
    <row r="3816" spans="12:13">
      <c r="L3816" s="65">
        <v>742142</v>
      </c>
      <c r="M3816" t="s">
        <v>2833</v>
      </c>
    </row>
    <row r="3817" spans="12:13">
      <c r="L3817" s="65">
        <v>742143</v>
      </c>
      <c r="M3817" t="s">
        <v>2834</v>
      </c>
    </row>
    <row r="3818" spans="12:13">
      <c r="L3818" s="65">
        <v>742144</v>
      </c>
      <c r="M3818" t="s">
        <v>2835</v>
      </c>
    </row>
    <row r="3819" spans="12:13">
      <c r="L3819" s="65">
        <v>742145</v>
      </c>
      <c r="M3819" t="s">
        <v>2836</v>
      </c>
    </row>
    <row r="3820" spans="12:13">
      <c r="L3820" s="65">
        <v>742150</v>
      </c>
      <c r="M3820" t="s">
        <v>2837</v>
      </c>
    </row>
    <row r="3821" spans="12:13">
      <c r="L3821" s="65">
        <v>742151</v>
      </c>
      <c r="M3821" t="s">
        <v>2838</v>
      </c>
    </row>
    <row r="3822" spans="12:13">
      <c r="L3822" s="65">
        <v>742152</v>
      </c>
      <c r="M3822" t="s">
        <v>2839</v>
      </c>
    </row>
    <row r="3823" spans="12:13">
      <c r="L3823" s="65">
        <v>742153</v>
      </c>
      <c r="M3823" t="s">
        <v>2840</v>
      </c>
    </row>
    <row r="3824" spans="12:13">
      <c r="L3824" s="65">
        <v>742154</v>
      </c>
      <c r="M3824" t="s">
        <v>2841</v>
      </c>
    </row>
    <row r="3825" spans="12:13">
      <c r="L3825" s="65">
        <v>742155</v>
      </c>
      <c r="M3825" t="s">
        <v>2842</v>
      </c>
    </row>
    <row r="3826" spans="12:13">
      <c r="L3826" s="65">
        <v>742160</v>
      </c>
      <c r="M3826" t="s">
        <v>2843</v>
      </c>
    </row>
    <row r="3827" spans="12:13">
      <c r="L3827" s="65">
        <v>742161</v>
      </c>
      <c r="M3827" t="s">
        <v>2844</v>
      </c>
    </row>
    <row r="3828" spans="12:13">
      <c r="L3828" s="65">
        <v>742162</v>
      </c>
      <c r="M3828" t="s">
        <v>2845</v>
      </c>
    </row>
    <row r="3829" spans="12:13">
      <c r="L3829" s="65">
        <v>742165</v>
      </c>
      <c r="M3829" t="s">
        <v>2846</v>
      </c>
    </row>
    <row r="3830" spans="12:13">
      <c r="L3830" s="65">
        <v>742200</v>
      </c>
      <c r="M3830" t="s">
        <v>2847</v>
      </c>
    </row>
    <row r="3831" spans="12:13">
      <c r="L3831" s="65">
        <v>742210</v>
      </c>
      <c r="M3831" t="s">
        <v>2848</v>
      </c>
    </row>
    <row r="3832" spans="12:13">
      <c r="L3832" s="65">
        <v>742213</v>
      </c>
      <c r="M3832" t="s">
        <v>2848</v>
      </c>
    </row>
    <row r="3833" spans="12:13">
      <c r="L3833" s="65">
        <v>742220</v>
      </c>
      <c r="M3833" t="s">
        <v>2849</v>
      </c>
    </row>
    <row r="3834" spans="12:13">
      <c r="L3834" s="65">
        <v>742221</v>
      </c>
      <c r="M3834" t="s">
        <v>2850</v>
      </c>
    </row>
    <row r="3835" spans="12:13">
      <c r="L3835" s="65">
        <v>742222</v>
      </c>
      <c r="M3835" t="s">
        <v>2851</v>
      </c>
    </row>
    <row r="3836" spans="12:13">
      <c r="L3836" s="65">
        <v>742223</v>
      </c>
      <c r="M3836" t="s">
        <v>2852</v>
      </c>
    </row>
    <row r="3837" spans="12:13">
      <c r="L3837" s="65">
        <v>742224</v>
      </c>
      <c r="M3837" t="s">
        <v>2853</v>
      </c>
    </row>
    <row r="3838" spans="12:13">
      <c r="L3838" s="65">
        <v>742225</v>
      </c>
      <c r="M3838" t="s">
        <v>2854</v>
      </c>
    </row>
    <row r="3839" spans="12:13">
      <c r="L3839" s="65">
        <v>742226</v>
      </c>
      <c r="M3839" t="s">
        <v>2855</v>
      </c>
    </row>
    <row r="3840" spans="12:13">
      <c r="L3840" s="65">
        <v>742227</v>
      </c>
      <c r="M3840" t="s">
        <v>2856</v>
      </c>
    </row>
    <row r="3841" spans="12:13">
      <c r="L3841" s="65">
        <v>742228</v>
      </c>
      <c r="M3841" t="s">
        <v>2857</v>
      </c>
    </row>
    <row r="3842" spans="12:13">
      <c r="L3842" s="65">
        <v>742229</v>
      </c>
      <c r="M3842" t="s">
        <v>2858</v>
      </c>
    </row>
    <row r="3843" spans="12:13">
      <c r="L3843" s="65">
        <v>742230</v>
      </c>
      <c r="M3843" t="s">
        <v>2859</v>
      </c>
    </row>
    <row r="3844" spans="12:13">
      <c r="L3844" s="65">
        <v>742231</v>
      </c>
      <c r="M3844" t="s">
        <v>2860</v>
      </c>
    </row>
    <row r="3845" spans="12:13">
      <c r="L3845" s="65">
        <v>742232</v>
      </c>
      <c r="M3845" t="s">
        <v>2861</v>
      </c>
    </row>
    <row r="3846" spans="12:13">
      <c r="L3846" s="65">
        <v>742240</v>
      </c>
      <c r="M3846" t="s">
        <v>2862</v>
      </c>
    </row>
    <row r="3847" spans="12:13">
      <c r="L3847" s="65">
        <v>742241</v>
      </c>
      <c r="M3847" t="s">
        <v>2863</v>
      </c>
    </row>
    <row r="3848" spans="12:13">
      <c r="L3848" s="65">
        <v>742250</v>
      </c>
      <c r="M3848" t="s">
        <v>2864</v>
      </c>
    </row>
    <row r="3849" spans="12:13">
      <c r="L3849" s="65">
        <v>742251</v>
      </c>
      <c r="M3849" t="s">
        <v>2865</v>
      </c>
    </row>
    <row r="3850" spans="12:13">
      <c r="L3850" s="65">
        <v>742252</v>
      </c>
      <c r="M3850" t="s">
        <v>2866</v>
      </c>
    </row>
    <row r="3851" spans="12:13">
      <c r="L3851" s="65">
        <v>742253</v>
      </c>
      <c r="M3851" t="s">
        <v>2867</v>
      </c>
    </row>
    <row r="3852" spans="12:13">
      <c r="L3852" s="65">
        <v>742254</v>
      </c>
      <c r="M3852" t="s">
        <v>2868</v>
      </c>
    </row>
    <row r="3853" spans="12:13">
      <c r="L3853" s="65">
        <v>742260</v>
      </c>
      <c r="M3853" t="s">
        <v>2869</v>
      </c>
    </row>
    <row r="3854" spans="12:13">
      <c r="L3854" s="65">
        <v>742261</v>
      </c>
      <c r="M3854" t="s">
        <v>2870</v>
      </c>
    </row>
    <row r="3855" spans="12:13">
      <c r="L3855" s="65">
        <v>742262</v>
      </c>
      <c r="M3855" t="s">
        <v>2871</v>
      </c>
    </row>
    <row r="3856" spans="12:13">
      <c r="L3856" s="65">
        <v>742265</v>
      </c>
      <c r="M3856" t="s">
        <v>2872</v>
      </c>
    </row>
    <row r="3857" spans="12:13">
      <c r="L3857" s="65">
        <v>742270</v>
      </c>
      <c r="M3857" t="s">
        <v>2873</v>
      </c>
    </row>
    <row r="3858" spans="12:13">
      <c r="L3858" s="65">
        <v>742271</v>
      </c>
      <c r="M3858" t="s">
        <v>2874</v>
      </c>
    </row>
    <row r="3859" spans="12:13">
      <c r="L3859" s="65">
        <v>742272</v>
      </c>
      <c r="M3859" t="s">
        <v>2875</v>
      </c>
    </row>
    <row r="3860" spans="12:13">
      <c r="L3860" s="65">
        <v>742280</v>
      </c>
      <c r="M3860" t="s">
        <v>2876</v>
      </c>
    </row>
    <row r="3861" spans="12:13">
      <c r="L3861" s="65">
        <v>742281</v>
      </c>
      <c r="M3861" t="s">
        <v>2877</v>
      </c>
    </row>
    <row r="3862" spans="12:13">
      <c r="L3862" s="65">
        <v>742282</v>
      </c>
      <c r="M3862" t="s">
        <v>2878</v>
      </c>
    </row>
    <row r="3863" spans="12:13">
      <c r="L3863" s="65">
        <v>742283</v>
      </c>
      <c r="M3863" t="s">
        <v>2879</v>
      </c>
    </row>
    <row r="3864" spans="12:13">
      <c r="L3864" s="65">
        <v>742284</v>
      </c>
      <c r="M3864" t="s">
        <v>2880</v>
      </c>
    </row>
    <row r="3865" spans="12:13">
      <c r="L3865" s="65">
        <v>742285</v>
      </c>
      <c r="M3865" t="s">
        <v>2881</v>
      </c>
    </row>
    <row r="3866" spans="12:13">
      <c r="L3866" s="65">
        <v>742286</v>
      </c>
      <c r="M3866" t="s">
        <v>2882</v>
      </c>
    </row>
    <row r="3867" spans="12:13">
      <c r="L3867" s="65">
        <v>742287</v>
      </c>
      <c r="M3867" t="s">
        <v>2883</v>
      </c>
    </row>
    <row r="3868" spans="12:13">
      <c r="L3868" s="65">
        <v>742288</v>
      </c>
      <c r="M3868" t="s">
        <v>2884</v>
      </c>
    </row>
    <row r="3869" spans="12:13">
      <c r="L3869" s="65">
        <v>742289</v>
      </c>
      <c r="M3869" t="s">
        <v>2885</v>
      </c>
    </row>
    <row r="3870" spans="12:13">
      <c r="L3870" s="65">
        <v>742290</v>
      </c>
      <c r="M3870" t="s">
        <v>2886</v>
      </c>
    </row>
    <row r="3871" spans="12:13">
      <c r="L3871" s="65">
        <v>742291</v>
      </c>
      <c r="M3871" t="s">
        <v>2887</v>
      </c>
    </row>
    <row r="3872" spans="12:13">
      <c r="L3872" s="65">
        <v>742292</v>
      </c>
      <c r="M3872" t="s">
        <v>2888</v>
      </c>
    </row>
    <row r="3873" spans="12:13">
      <c r="L3873" s="65">
        <v>742300</v>
      </c>
      <c r="M3873" t="s">
        <v>2889</v>
      </c>
    </row>
    <row r="3874" spans="12:13">
      <c r="L3874" s="65">
        <v>742310</v>
      </c>
      <c r="M3874" t="s">
        <v>2890</v>
      </c>
    </row>
    <row r="3875" spans="12:13">
      <c r="L3875" s="65">
        <v>742312</v>
      </c>
      <c r="M3875" t="s">
        <v>2891</v>
      </c>
    </row>
    <row r="3876" spans="12:13">
      <c r="L3876" s="65">
        <v>742320</v>
      </c>
      <c r="M3876" t="s">
        <v>2892</v>
      </c>
    </row>
    <row r="3877" spans="12:13">
      <c r="L3877" s="65">
        <v>742321</v>
      </c>
      <c r="M3877" t="s">
        <v>2893</v>
      </c>
    </row>
    <row r="3878" spans="12:13">
      <c r="L3878" s="65">
        <v>742322</v>
      </c>
      <c r="M3878" t="s">
        <v>2894</v>
      </c>
    </row>
    <row r="3879" spans="12:13">
      <c r="L3879" s="65">
        <v>742323</v>
      </c>
      <c r="M3879" t="s">
        <v>2895</v>
      </c>
    </row>
    <row r="3880" spans="12:13">
      <c r="L3880" s="65">
        <v>742324</v>
      </c>
      <c r="M3880" t="s">
        <v>2896</v>
      </c>
    </row>
    <row r="3881" spans="12:13">
      <c r="L3881" s="65">
        <v>742325</v>
      </c>
      <c r="M3881" t="s">
        <v>2897</v>
      </c>
    </row>
    <row r="3882" spans="12:13">
      <c r="L3882" s="65">
        <v>742326</v>
      </c>
      <c r="M3882" t="s">
        <v>2898</v>
      </c>
    </row>
    <row r="3883" spans="12:13">
      <c r="L3883" s="65">
        <v>742327</v>
      </c>
      <c r="M3883" t="s">
        <v>2899</v>
      </c>
    </row>
    <row r="3884" spans="12:13">
      <c r="L3884" s="65">
        <v>742328</v>
      </c>
      <c r="M3884" t="s">
        <v>2900</v>
      </c>
    </row>
    <row r="3885" spans="12:13">
      <c r="L3885" s="65">
        <v>742329</v>
      </c>
      <c r="M3885" t="s">
        <v>2901</v>
      </c>
    </row>
    <row r="3886" spans="12:13">
      <c r="L3886" s="65">
        <v>742330</v>
      </c>
      <c r="M3886" t="s">
        <v>2902</v>
      </c>
    </row>
    <row r="3887" spans="12:13">
      <c r="L3887" s="65">
        <v>742331</v>
      </c>
      <c r="M3887" t="s">
        <v>2903</v>
      </c>
    </row>
    <row r="3888" spans="12:13">
      <c r="L3888" s="65">
        <v>742332</v>
      </c>
      <c r="M3888" t="s">
        <v>2904</v>
      </c>
    </row>
    <row r="3889" spans="12:13">
      <c r="L3889" s="65">
        <v>742340</v>
      </c>
      <c r="M3889" t="s">
        <v>2905</v>
      </c>
    </row>
    <row r="3890" spans="12:13">
      <c r="L3890" s="65">
        <v>742341</v>
      </c>
      <c r="M3890" t="s">
        <v>2906</v>
      </c>
    </row>
    <row r="3891" spans="12:13">
      <c r="L3891" s="65">
        <v>742350</v>
      </c>
      <c r="M3891" t="s">
        <v>2907</v>
      </c>
    </row>
    <row r="3892" spans="12:13">
      <c r="L3892" s="65">
        <v>742351</v>
      </c>
      <c r="M3892" t="s">
        <v>2908</v>
      </c>
    </row>
    <row r="3893" spans="12:13">
      <c r="L3893" s="65">
        <v>742360</v>
      </c>
      <c r="M3893" t="s">
        <v>2909</v>
      </c>
    </row>
    <row r="3894" spans="12:13">
      <c r="L3894" s="65">
        <v>742361</v>
      </c>
      <c r="M3894" t="s">
        <v>2909</v>
      </c>
    </row>
    <row r="3895" spans="12:13">
      <c r="L3895" s="65">
        <v>742370</v>
      </c>
      <c r="M3895" t="s">
        <v>2910</v>
      </c>
    </row>
    <row r="3896" spans="12:13">
      <c r="L3896" s="65">
        <v>742371</v>
      </c>
      <c r="M3896" t="s">
        <v>2911</v>
      </c>
    </row>
    <row r="3897" spans="12:13">
      <c r="L3897" s="65">
        <v>742372</v>
      </c>
      <c r="M3897" t="s">
        <v>2912</v>
      </c>
    </row>
    <row r="3898" spans="12:13">
      <c r="L3898" s="65">
        <v>742373</v>
      </c>
      <c r="M3898" t="s">
        <v>2913</v>
      </c>
    </row>
    <row r="3899" spans="12:13">
      <c r="L3899" s="65">
        <v>742378</v>
      </c>
      <c r="M3899" t="s">
        <v>2914</v>
      </c>
    </row>
    <row r="3900" spans="12:13">
      <c r="L3900" s="65">
        <v>742400</v>
      </c>
      <c r="M3900" t="s">
        <v>2915</v>
      </c>
    </row>
    <row r="3901" spans="12:13">
      <c r="L3901" s="65">
        <v>742410</v>
      </c>
      <c r="M3901" t="s">
        <v>2915</v>
      </c>
    </row>
    <row r="3902" spans="12:13">
      <c r="L3902" s="65">
        <v>742411</v>
      </c>
      <c r="M3902" t="s">
        <v>2915</v>
      </c>
    </row>
    <row r="3903" spans="12:13">
      <c r="L3903" s="65">
        <v>743000</v>
      </c>
      <c r="M3903" t="s">
        <v>2917</v>
      </c>
    </row>
    <row r="3904" spans="12:13">
      <c r="L3904" s="65">
        <v>743100</v>
      </c>
      <c r="M3904" t="s">
        <v>2918</v>
      </c>
    </row>
    <row r="3905" spans="12:13">
      <c r="L3905" s="65">
        <v>743120</v>
      </c>
      <c r="M3905" t="s">
        <v>2919</v>
      </c>
    </row>
    <row r="3906" spans="12:13">
      <c r="L3906" s="65">
        <v>743121</v>
      </c>
      <c r="M3906" t="s">
        <v>2918</v>
      </c>
    </row>
    <row r="3907" spans="12:13">
      <c r="L3907" s="65">
        <v>743122</v>
      </c>
      <c r="M3907" t="s">
        <v>2920</v>
      </c>
    </row>
    <row r="3908" spans="12:13">
      <c r="L3908" s="65">
        <v>743123</v>
      </c>
      <c r="M3908" t="s">
        <v>2921</v>
      </c>
    </row>
    <row r="3909" spans="12:13">
      <c r="L3909" s="65">
        <v>743124</v>
      </c>
      <c r="M3909" t="s">
        <v>2922</v>
      </c>
    </row>
    <row r="3910" spans="12:13">
      <c r="L3910" s="65">
        <v>743130</v>
      </c>
      <c r="M3910" t="s">
        <v>2923</v>
      </c>
    </row>
    <row r="3911" spans="12:13">
      <c r="L3911" s="65">
        <v>743131</v>
      </c>
      <c r="M3911" t="s">
        <v>2923</v>
      </c>
    </row>
    <row r="3912" spans="12:13">
      <c r="L3912" s="65">
        <v>743140</v>
      </c>
      <c r="M3912" t="s">
        <v>2924</v>
      </c>
    </row>
    <row r="3913" spans="12:13">
      <c r="L3913" s="65">
        <v>743141</v>
      </c>
      <c r="M3913" t="s">
        <v>2924</v>
      </c>
    </row>
    <row r="3914" spans="12:13">
      <c r="L3914" s="65">
        <v>743150</v>
      </c>
      <c r="M3914" t="s">
        <v>2925</v>
      </c>
    </row>
    <row r="3915" spans="12:13">
      <c r="L3915" s="65">
        <v>743151</v>
      </c>
      <c r="M3915" t="s">
        <v>2925</v>
      </c>
    </row>
    <row r="3916" spans="12:13">
      <c r="L3916" s="65">
        <v>743160</v>
      </c>
      <c r="M3916" t="s">
        <v>2926</v>
      </c>
    </row>
    <row r="3917" spans="12:13">
      <c r="L3917" s="65">
        <v>743161</v>
      </c>
      <c r="M3917" t="s">
        <v>2926</v>
      </c>
    </row>
    <row r="3918" spans="12:13">
      <c r="L3918" s="65">
        <v>743200</v>
      </c>
      <c r="M3918" t="s">
        <v>2927</v>
      </c>
    </row>
    <row r="3919" spans="12:13">
      <c r="L3919" s="65">
        <v>743220</v>
      </c>
      <c r="M3919" t="s">
        <v>2928</v>
      </c>
    </row>
    <row r="3920" spans="12:13">
      <c r="L3920" s="65">
        <v>743221</v>
      </c>
      <c r="M3920" t="s">
        <v>2927</v>
      </c>
    </row>
    <row r="3921" spans="12:13">
      <c r="L3921" s="65">
        <v>743222</v>
      </c>
      <c r="M3921" t="s">
        <v>2929</v>
      </c>
    </row>
    <row r="3922" spans="12:13">
      <c r="L3922" s="65">
        <v>743223</v>
      </c>
      <c r="M3922" t="s">
        <v>2930</v>
      </c>
    </row>
    <row r="3923" spans="12:13">
      <c r="L3923" s="65">
        <v>743224</v>
      </c>
      <c r="M3923" t="s">
        <v>2931</v>
      </c>
    </row>
    <row r="3924" spans="12:13">
      <c r="L3924" s="65">
        <v>743230</v>
      </c>
      <c r="M3924" t="s">
        <v>2932</v>
      </c>
    </row>
    <row r="3925" spans="12:13">
      <c r="L3925" s="65">
        <v>743231</v>
      </c>
      <c r="M3925" t="s">
        <v>2932</v>
      </c>
    </row>
    <row r="3926" spans="12:13">
      <c r="L3926" s="65">
        <v>743240</v>
      </c>
      <c r="M3926" t="s">
        <v>2933</v>
      </c>
    </row>
    <row r="3927" spans="12:13">
      <c r="L3927" s="65">
        <v>743241</v>
      </c>
      <c r="M3927" t="s">
        <v>2933</v>
      </c>
    </row>
    <row r="3928" spans="12:13">
      <c r="L3928" s="65">
        <v>743250</v>
      </c>
      <c r="M3928" t="s">
        <v>2934</v>
      </c>
    </row>
    <row r="3929" spans="12:13">
      <c r="L3929" s="65">
        <v>743251</v>
      </c>
      <c r="M3929" t="s">
        <v>2934</v>
      </c>
    </row>
    <row r="3930" spans="12:13">
      <c r="L3930" s="65">
        <v>743260</v>
      </c>
      <c r="M3930" t="s">
        <v>2935</v>
      </c>
    </row>
    <row r="3931" spans="12:13">
      <c r="L3931" s="65">
        <v>743261</v>
      </c>
      <c r="M3931" t="s">
        <v>2935</v>
      </c>
    </row>
    <row r="3932" spans="12:13">
      <c r="L3932" s="65">
        <v>743300</v>
      </c>
      <c r="M3932" t="s">
        <v>2936</v>
      </c>
    </row>
    <row r="3933" spans="12:13">
      <c r="L3933" s="65">
        <v>743320</v>
      </c>
      <c r="M3933" t="s">
        <v>2937</v>
      </c>
    </row>
    <row r="3934" spans="12:13">
      <c r="L3934" s="65">
        <v>743321</v>
      </c>
      <c r="M3934" t="s">
        <v>2936</v>
      </c>
    </row>
    <row r="3935" spans="12:13">
      <c r="L3935" s="65">
        <v>743322</v>
      </c>
      <c r="M3935" t="s">
        <v>2938</v>
      </c>
    </row>
    <row r="3936" spans="12:13">
      <c r="L3936" s="65">
        <v>743323</v>
      </c>
      <c r="M3936" t="s">
        <v>2939</v>
      </c>
    </row>
    <row r="3937" spans="12:13">
      <c r="L3937" s="65">
        <v>743324</v>
      </c>
      <c r="M3937" t="s">
        <v>2941</v>
      </c>
    </row>
    <row r="3938" spans="12:13">
      <c r="L3938" s="65">
        <v>743325</v>
      </c>
      <c r="M3938" t="s">
        <v>2942</v>
      </c>
    </row>
    <row r="3939" spans="12:13">
      <c r="L3939" s="65">
        <v>743326</v>
      </c>
      <c r="M3939" t="s">
        <v>2943</v>
      </c>
    </row>
    <row r="3940" spans="12:13">
      <c r="L3940" s="65">
        <v>743327</v>
      </c>
      <c r="M3940" t="s">
        <v>2944</v>
      </c>
    </row>
    <row r="3941" spans="12:13">
      <c r="L3941" s="65">
        <v>743328</v>
      </c>
      <c r="M3941" t="s">
        <v>2945</v>
      </c>
    </row>
    <row r="3942" spans="12:13">
      <c r="L3942" s="65">
        <v>743329</v>
      </c>
      <c r="M3942" t="s">
        <v>2946</v>
      </c>
    </row>
    <row r="3943" spans="12:13">
      <c r="L3943" s="65">
        <v>743330</v>
      </c>
      <c r="M3943" t="s">
        <v>2947</v>
      </c>
    </row>
    <row r="3944" spans="12:13">
      <c r="L3944" s="65">
        <v>743331</v>
      </c>
      <c r="M3944" t="s">
        <v>2948</v>
      </c>
    </row>
    <row r="3945" spans="12:13">
      <c r="L3945" s="65">
        <v>743332</v>
      </c>
      <c r="M3945" t="s">
        <v>2949</v>
      </c>
    </row>
    <row r="3946" spans="12:13">
      <c r="L3946" s="65">
        <v>743340</v>
      </c>
      <c r="M3946" t="s">
        <v>2951</v>
      </c>
    </row>
    <row r="3947" spans="12:13">
      <c r="L3947" s="65">
        <v>743341</v>
      </c>
      <c r="M3947" t="s">
        <v>2952</v>
      </c>
    </row>
    <row r="3948" spans="12:13">
      <c r="L3948" s="65">
        <v>743342</v>
      </c>
      <c r="M3948" t="s">
        <v>2953</v>
      </c>
    </row>
    <row r="3949" spans="12:13">
      <c r="L3949" s="65">
        <v>743343</v>
      </c>
      <c r="M3949" t="s">
        <v>2954</v>
      </c>
    </row>
    <row r="3950" spans="12:13">
      <c r="L3950" s="65">
        <v>743350</v>
      </c>
      <c r="M3950" t="s">
        <v>2955</v>
      </c>
    </row>
    <row r="3951" spans="12:13">
      <c r="L3951" s="65">
        <v>743351</v>
      </c>
      <c r="M3951" t="s">
        <v>2956</v>
      </c>
    </row>
    <row r="3952" spans="12:13">
      <c r="L3952" s="65">
        <v>743353</v>
      </c>
      <c r="M3952" t="s">
        <v>2957</v>
      </c>
    </row>
    <row r="3953" spans="12:13">
      <c r="L3953" s="65">
        <v>743354</v>
      </c>
      <c r="M3953" t="s">
        <v>2958</v>
      </c>
    </row>
    <row r="3954" spans="12:13">
      <c r="L3954" s="65">
        <v>743360</v>
      </c>
      <c r="M3954" t="s">
        <v>2959</v>
      </c>
    </row>
    <row r="3955" spans="12:13">
      <c r="L3955" s="65">
        <v>743361</v>
      </c>
      <c r="M3955" t="s">
        <v>2959</v>
      </c>
    </row>
    <row r="3956" spans="12:13">
      <c r="L3956" s="65">
        <v>743400</v>
      </c>
      <c r="M3956" t="s">
        <v>2960</v>
      </c>
    </row>
    <row r="3957" spans="12:13">
      <c r="L3957" s="65">
        <v>743420</v>
      </c>
      <c r="M3957" t="s">
        <v>2961</v>
      </c>
    </row>
    <row r="3958" spans="12:13">
      <c r="L3958" s="65">
        <v>743421</v>
      </c>
      <c r="M3958" t="s">
        <v>2961</v>
      </c>
    </row>
    <row r="3959" spans="12:13">
      <c r="L3959" s="65">
        <v>743422</v>
      </c>
      <c r="M3959" t="s">
        <v>2962</v>
      </c>
    </row>
    <row r="3960" spans="12:13">
      <c r="L3960" s="65">
        <v>743423</v>
      </c>
      <c r="M3960" t="s">
        <v>2963</v>
      </c>
    </row>
    <row r="3961" spans="12:13">
      <c r="L3961" s="65">
        <v>743430</v>
      </c>
      <c r="M3961" t="s">
        <v>2964</v>
      </c>
    </row>
    <row r="3962" spans="12:13">
      <c r="L3962" s="65">
        <v>743431</v>
      </c>
      <c r="M3962" t="s">
        <v>2964</v>
      </c>
    </row>
    <row r="3963" spans="12:13">
      <c r="L3963" s="65">
        <v>743440</v>
      </c>
      <c r="M3963" t="s">
        <v>2965</v>
      </c>
    </row>
    <row r="3964" spans="12:13">
      <c r="L3964" s="65">
        <v>743441</v>
      </c>
      <c r="M3964" t="s">
        <v>2965</v>
      </c>
    </row>
    <row r="3965" spans="12:13">
      <c r="L3965" s="65">
        <v>743450</v>
      </c>
      <c r="M3965" t="s">
        <v>2966</v>
      </c>
    </row>
    <row r="3966" spans="12:13">
      <c r="L3966" s="65">
        <v>743451</v>
      </c>
      <c r="M3966" t="s">
        <v>2966</v>
      </c>
    </row>
    <row r="3967" spans="12:13">
      <c r="L3967" s="65">
        <v>743460</v>
      </c>
      <c r="M3967" t="s">
        <v>2967</v>
      </c>
    </row>
    <row r="3968" spans="12:13">
      <c r="L3968" s="65">
        <v>743461</v>
      </c>
      <c r="M3968" t="s">
        <v>2967</v>
      </c>
    </row>
    <row r="3969" spans="12:13">
      <c r="L3969" s="65">
        <v>743500</v>
      </c>
      <c r="M3969" t="s">
        <v>2968</v>
      </c>
    </row>
    <row r="3970" spans="12:13">
      <c r="L3970" s="65">
        <v>743520</v>
      </c>
      <c r="M3970" t="s">
        <v>2969</v>
      </c>
    </row>
    <row r="3971" spans="12:13">
      <c r="L3971" s="65">
        <v>743521</v>
      </c>
      <c r="M3971" t="s">
        <v>2970</v>
      </c>
    </row>
    <row r="3972" spans="12:13">
      <c r="L3972" s="65">
        <v>743522</v>
      </c>
      <c r="M3972" t="s">
        <v>2971</v>
      </c>
    </row>
    <row r="3973" spans="12:13">
      <c r="L3973" s="65">
        <v>743523</v>
      </c>
      <c r="M3973" t="s">
        <v>2972</v>
      </c>
    </row>
    <row r="3974" spans="12:13">
      <c r="L3974" s="65">
        <v>743524</v>
      </c>
      <c r="M3974" t="s">
        <v>2973</v>
      </c>
    </row>
    <row r="3975" spans="12:13">
      <c r="L3975" s="65">
        <v>743525</v>
      </c>
      <c r="M3975" t="s">
        <v>2974</v>
      </c>
    </row>
    <row r="3976" spans="12:13">
      <c r="L3976" s="65">
        <v>743526</v>
      </c>
      <c r="M3976" t="s">
        <v>2975</v>
      </c>
    </row>
    <row r="3977" spans="12:13">
      <c r="L3977" s="65">
        <v>743530</v>
      </c>
      <c r="M3977" t="s">
        <v>2976</v>
      </c>
    </row>
    <row r="3978" spans="12:13">
      <c r="L3978" s="65">
        <v>743531</v>
      </c>
      <c r="M3978" t="s">
        <v>2976</v>
      </c>
    </row>
    <row r="3979" spans="12:13">
      <c r="L3979" s="65">
        <v>743540</v>
      </c>
      <c r="M3979" t="s">
        <v>2977</v>
      </c>
    </row>
    <row r="3980" spans="12:13">
      <c r="L3980" s="65">
        <v>743541</v>
      </c>
      <c r="M3980" t="s">
        <v>2977</v>
      </c>
    </row>
    <row r="3981" spans="12:13">
      <c r="L3981" s="65">
        <v>743550</v>
      </c>
      <c r="M3981" t="s">
        <v>2978</v>
      </c>
    </row>
    <row r="3982" spans="12:13">
      <c r="L3982" s="65">
        <v>743551</v>
      </c>
      <c r="M3982" t="s">
        <v>2978</v>
      </c>
    </row>
    <row r="3983" spans="12:13">
      <c r="L3983" s="65">
        <v>743560</v>
      </c>
      <c r="M3983" t="s">
        <v>2979</v>
      </c>
    </row>
    <row r="3984" spans="12:13">
      <c r="L3984" s="65">
        <v>743561</v>
      </c>
      <c r="M3984" t="s">
        <v>2979</v>
      </c>
    </row>
    <row r="3985" spans="12:13">
      <c r="L3985" s="65">
        <v>743900</v>
      </c>
      <c r="M3985" t="s">
        <v>2980</v>
      </c>
    </row>
    <row r="3986" spans="12:13">
      <c r="L3986" s="65">
        <v>743920</v>
      </c>
      <c r="M3986" t="s">
        <v>2981</v>
      </c>
    </row>
    <row r="3987" spans="12:13">
      <c r="L3987" s="65">
        <v>743921</v>
      </c>
      <c r="M3987" t="s">
        <v>2982</v>
      </c>
    </row>
    <row r="3988" spans="12:13">
      <c r="L3988" s="65">
        <v>743922</v>
      </c>
      <c r="M3988" t="s">
        <v>2983</v>
      </c>
    </row>
    <row r="3989" spans="12:13">
      <c r="L3989" s="65">
        <v>743923</v>
      </c>
      <c r="M3989" t="s">
        <v>2984</v>
      </c>
    </row>
    <row r="3990" spans="12:13">
      <c r="L3990" s="65">
        <v>743929</v>
      </c>
      <c r="M3990" t="s">
        <v>2981</v>
      </c>
    </row>
    <row r="3991" spans="12:13">
      <c r="L3991" s="65">
        <v>743930</v>
      </c>
      <c r="M3991" t="s">
        <v>2985</v>
      </c>
    </row>
    <row r="3992" spans="12:13">
      <c r="L3992" s="65">
        <v>743931</v>
      </c>
      <c r="M3992" t="s">
        <v>2985</v>
      </c>
    </row>
    <row r="3993" spans="12:13">
      <c r="L3993" s="65">
        <v>743940</v>
      </c>
      <c r="M3993" t="s">
        <v>2986</v>
      </c>
    </row>
    <row r="3994" spans="12:13">
      <c r="L3994" s="65">
        <v>743941</v>
      </c>
      <c r="M3994" t="s">
        <v>2986</v>
      </c>
    </row>
    <row r="3995" spans="12:13">
      <c r="L3995" s="65">
        <v>743950</v>
      </c>
      <c r="M3995" t="s">
        <v>2987</v>
      </c>
    </row>
    <row r="3996" spans="12:13">
      <c r="L3996" s="65">
        <v>743951</v>
      </c>
      <c r="M3996" t="s">
        <v>2988</v>
      </c>
    </row>
    <row r="3997" spans="12:13">
      <c r="L3997" s="65">
        <v>743960</v>
      </c>
      <c r="M3997" t="s">
        <v>2989</v>
      </c>
    </row>
    <row r="3998" spans="12:13">
      <c r="L3998" s="65">
        <v>743961</v>
      </c>
      <c r="M3998" t="s">
        <v>2989</v>
      </c>
    </row>
    <row r="3999" spans="12:13">
      <c r="L3999" s="65">
        <v>744000</v>
      </c>
      <c r="M3999" t="s">
        <v>2991</v>
      </c>
    </row>
    <row r="4000" spans="12:13">
      <c r="L4000" s="65">
        <v>744100</v>
      </c>
      <c r="M4000" t="s">
        <v>2992</v>
      </c>
    </row>
    <row r="4001" spans="12:13">
      <c r="L4001" s="65">
        <v>744120</v>
      </c>
      <c r="M4001" t="s">
        <v>2993</v>
      </c>
    </row>
    <row r="4002" spans="12:13">
      <c r="L4002" s="65">
        <v>744121</v>
      </c>
      <c r="M4002" t="s">
        <v>2993</v>
      </c>
    </row>
    <row r="4003" spans="12:13">
      <c r="L4003" s="65">
        <v>744122</v>
      </c>
      <c r="M4003" t="s">
        <v>2994</v>
      </c>
    </row>
    <row r="4004" spans="12:13">
      <c r="L4004" s="65">
        <v>744130</v>
      </c>
      <c r="M4004" t="s">
        <v>2995</v>
      </c>
    </row>
    <row r="4005" spans="12:13">
      <c r="L4005" s="65">
        <v>744131</v>
      </c>
      <c r="M4005" t="s">
        <v>2996</v>
      </c>
    </row>
    <row r="4006" spans="12:13">
      <c r="L4006" s="65">
        <v>744132</v>
      </c>
      <c r="M4006" t="s">
        <v>2997</v>
      </c>
    </row>
    <row r="4007" spans="12:13">
      <c r="L4007" s="65">
        <v>744140</v>
      </c>
      <c r="M4007" t="s">
        <v>2998</v>
      </c>
    </row>
    <row r="4008" spans="12:13">
      <c r="L4008" s="65">
        <v>744141</v>
      </c>
      <c r="M4008" t="s">
        <v>2998</v>
      </c>
    </row>
    <row r="4009" spans="12:13">
      <c r="L4009" s="65">
        <v>744142</v>
      </c>
      <c r="M4009" t="s">
        <v>3000</v>
      </c>
    </row>
    <row r="4010" spans="12:13">
      <c r="L4010" s="65">
        <v>744150</v>
      </c>
      <c r="M4010" t="s">
        <v>3001</v>
      </c>
    </row>
    <row r="4011" spans="12:13">
      <c r="L4011" s="65">
        <v>744151</v>
      </c>
      <c r="M4011" t="s">
        <v>3001</v>
      </c>
    </row>
    <row r="4012" spans="12:13">
      <c r="L4012" s="65">
        <v>744160</v>
      </c>
      <c r="M4012" t="s">
        <v>3002</v>
      </c>
    </row>
    <row r="4013" spans="12:13">
      <c r="L4013" s="65">
        <v>744161</v>
      </c>
      <c r="M4013" t="s">
        <v>3003</v>
      </c>
    </row>
    <row r="4014" spans="12:13">
      <c r="L4014" s="65">
        <v>744162</v>
      </c>
      <c r="M4014" t="s">
        <v>3004</v>
      </c>
    </row>
    <row r="4015" spans="12:13">
      <c r="L4015" s="65">
        <v>744165</v>
      </c>
      <c r="M4015" t="s">
        <v>3005</v>
      </c>
    </row>
    <row r="4016" spans="12:13">
      <c r="L4016" s="65">
        <v>744200</v>
      </c>
      <c r="M4016" t="s">
        <v>3006</v>
      </c>
    </row>
    <row r="4017" spans="12:13">
      <c r="L4017" s="65">
        <v>744220</v>
      </c>
      <c r="M4017" t="s">
        <v>3007</v>
      </c>
    </row>
    <row r="4018" spans="12:13">
      <c r="L4018" s="65">
        <v>744221</v>
      </c>
      <c r="M4018" t="s">
        <v>3007</v>
      </c>
    </row>
    <row r="4019" spans="12:13">
      <c r="L4019" s="65">
        <v>744230</v>
      </c>
      <c r="M4019" t="s">
        <v>3008</v>
      </c>
    </row>
    <row r="4020" spans="12:13">
      <c r="L4020" s="65">
        <v>744231</v>
      </c>
      <c r="M4020" t="s">
        <v>3009</v>
      </c>
    </row>
    <row r="4021" spans="12:13">
      <c r="L4021" s="65">
        <v>744232</v>
      </c>
      <c r="M4021" t="s">
        <v>3010</v>
      </c>
    </row>
    <row r="4022" spans="12:13">
      <c r="L4022" s="65">
        <v>744240</v>
      </c>
      <c r="M4022" t="s">
        <v>3011</v>
      </c>
    </row>
    <row r="4023" spans="12:13">
      <c r="L4023" s="65">
        <v>744241</v>
      </c>
      <c r="M4023" t="s">
        <v>3011</v>
      </c>
    </row>
    <row r="4024" spans="12:13">
      <c r="L4024" s="65">
        <v>744250</v>
      </c>
      <c r="M4024" t="s">
        <v>3013</v>
      </c>
    </row>
    <row r="4025" spans="12:13">
      <c r="L4025" s="65">
        <v>744251</v>
      </c>
      <c r="M4025" t="s">
        <v>3013</v>
      </c>
    </row>
    <row r="4026" spans="12:13">
      <c r="L4026" s="65">
        <v>744260</v>
      </c>
      <c r="M4026" t="s">
        <v>3014</v>
      </c>
    </row>
    <row r="4027" spans="12:13">
      <c r="L4027" s="65">
        <v>744261</v>
      </c>
      <c r="M4027" t="s">
        <v>3015</v>
      </c>
    </row>
    <row r="4028" spans="12:13">
      <c r="L4028" s="65">
        <v>744262</v>
      </c>
      <c r="M4028" t="s">
        <v>3016</v>
      </c>
    </row>
    <row r="4029" spans="12:13">
      <c r="L4029" s="65">
        <v>744265</v>
      </c>
      <c r="M4029" t="s">
        <v>3017</v>
      </c>
    </row>
    <row r="4030" spans="12:13">
      <c r="L4030" s="65">
        <v>745000</v>
      </c>
      <c r="M4030" t="s">
        <v>3019</v>
      </c>
    </row>
    <row r="4031" spans="12:13">
      <c r="L4031" s="65">
        <v>745100</v>
      </c>
      <c r="M4031" t="s">
        <v>3019</v>
      </c>
    </row>
    <row r="4032" spans="12:13">
      <c r="L4032" s="65">
        <v>745120</v>
      </c>
      <c r="M4032" t="s">
        <v>3020</v>
      </c>
    </row>
    <row r="4033" spans="12:13">
      <c r="L4033" s="65">
        <v>745121</v>
      </c>
      <c r="M4033" t="s">
        <v>3021</v>
      </c>
    </row>
    <row r="4034" spans="12:13">
      <c r="L4034" s="65">
        <v>745122</v>
      </c>
      <c r="M4034" t="s">
        <v>3022</v>
      </c>
    </row>
    <row r="4035" spans="12:13">
      <c r="L4035" s="65">
        <v>745123</v>
      </c>
      <c r="M4035" t="s">
        <v>3023</v>
      </c>
    </row>
    <row r="4036" spans="12:13">
      <c r="L4036" s="65">
        <v>745124</v>
      </c>
      <c r="M4036" t="s">
        <v>3024</v>
      </c>
    </row>
    <row r="4037" spans="12:13">
      <c r="L4037" s="65">
        <v>745125</v>
      </c>
      <c r="M4037" t="s">
        <v>3025</v>
      </c>
    </row>
    <row r="4038" spans="12:13">
      <c r="L4038" s="65">
        <v>745126</v>
      </c>
      <c r="M4038" t="s">
        <v>3026</v>
      </c>
    </row>
    <row r="4039" spans="12:13">
      <c r="L4039" s="65">
        <v>745127</v>
      </c>
      <c r="M4039" t="s">
        <v>3027</v>
      </c>
    </row>
    <row r="4040" spans="12:13">
      <c r="L4040" s="65">
        <v>745128</v>
      </c>
      <c r="M4040" t="s">
        <v>3028</v>
      </c>
    </row>
    <row r="4041" spans="12:13">
      <c r="L4041" s="65">
        <v>745130</v>
      </c>
      <c r="M4041" t="s">
        <v>3029</v>
      </c>
    </row>
    <row r="4042" spans="12:13">
      <c r="L4042" s="65">
        <v>745131</v>
      </c>
      <c r="M4042" t="s">
        <v>3030</v>
      </c>
    </row>
    <row r="4043" spans="12:13">
      <c r="L4043" s="65">
        <v>745132</v>
      </c>
      <c r="M4043" t="s">
        <v>3031</v>
      </c>
    </row>
    <row r="4044" spans="12:13">
      <c r="L4044" s="65">
        <v>745133</v>
      </c>
      <c r="M4044" t="s">
        <v>3032</v>
      </c>
    </row>
    <row r="4045" spans="12:13">
      <c r="L4045" s="65">
        <v>745134</v>
      </c>
      <c r="M4045" t="s">
        <v>3033</v>
      </c>
    </row>
    <row r="4046" spans="12:13">
      <c r="L4046" s="65">
        <v>745135</v>
      </c>
      <c r="M4046" t="s">
        <v>3034</v>
      </c>
    </row>
    <row r="4047" spans="12:13">
      <c r="L4047" s="65">
        <v>745136</v>
      </c>
      <c r="M4047" t="s">
        <v>3035</v>
      </c>
    </row>
    <row r="4048" spans="12:13">
      <c r="L4048" s="65">
        <v>745137</v>
      </c>
      <c r="M4048" t="s">
        <v>3036</v>
      </c>
    </row>
    <row r="4049" spans="12:13">
      <c r="L4049" s="65">
        <v>745138</v>
      </c>
      <c r="M4049" t="s">
        <v>3037</v>
      </c>
    </row>
    <row r="4050" spans="12:13">
      <c r="L4050" s="65">
        <v>745139</v>
      </c>
      <c r="M4050" t="s">
        <v>3038</v>
      </c>
    </row>
    <row r="4051" spans="12:13">
      <c r="L4051" s="65">
        <v>745140</v>
      </c>
      <c r="M4051" t="s">
        <v>3039</v>
      </c>
    </row>
    <row r="4052" spans="12:13">
      <c r="L4052" s="65">
        <v>745141</v>
      </c>
      <c r="M4052" t="s">
        <v>3040</v>
      </c>
    </row>
    <row r="4053" spans="12:13">
      <c r="L4053" s="65">
        <v>745142</v>
      </c>
      <c r="M4053" t="s">
        <v>3041</v>
      </c>
    </row>
    <row r="4054" spans="12:13">
      <c r="L4054" s="65">
        <v>745143</v>
      </c>
      <c r="M4054" t="s">
        <v>3042</v>
      </c>
    </row>
    <row r="4055" spans="12:13">
      <c r="L4055" s="65">
        <v>745144</v>
      </c>
      <c r="M4055" t="s">
        <v>3043</v>
      </c>
    </row>
    <row r="4056" spans="12:13">
      <c r="L4056" s="65">
        <v>745145</v>
      </c>
      <c r="M4056" t="s">
        <v>3044</v>
      </c>
    </row>
    <row r="4057" spans="12:13">
      <c r="L4057" s="65">
        <v>745150</v>
      </c>
      <c r="M4057" t="s">
        <v>3045</v>
      </c>
    </row>
    <row r="4058" spans="12:13">
      <c r="L4058" s="65">
        <v>745151</v>
      </c>
      <c r="M4058" t="s">
        <v>3046</v>
      </c>
    </row>
    <row r="4059" spans="12:13">
      <c r="L4059" s="65">
        <v>745152</v>
      </c>
      <c r="M4059" t="s">
        <v>3047</v>
      </c>
    </row>
    <row r="4060" spans="12:13">
      <c r="L4060" s="65">
        <v>745153</v>
      </c>
      <c r="M4060" t="s">
        <v>3048</v>
      </c>
    </row>
    <row r="4061" spans="12:13">
      <c r="L4061" s="65">
        <v>745154</v>
      </c>
      <c r="M4061" t="s">
        <v>3049</v>
      </c>
    </row>
    <row r="4062" spans="12:13">
      <c r="L4062" s="65">
        <v>745155</v>
      </c>
      <c r="M4062" t="s">
        <v>3044</v>
      </c>
    </row>
    <row r="4063" spans="12:13">
      <c r="L4063" s="65">
        <v>745160</v>
      </c>
      <c r="M4063" t="s">
        <v>3050</v>
      </c>
    </row>
    <row r="4064" spans="12:13">
      <c r="L4064" s="65">
        <v>745161</v>
      </c>
      <c r="M4064" t="s">
        <v>3051</v>
      </c>
    </row>
    <row r="4065" spans="12:13">
      <c r="L4065" s="65">
        <v>745162</v>
      </c>
      <c r="M4065" t="s">
        <v>3052</v>
      </c>
    </row>
    <row r="4066" spans="12:13">
      <c r="L4066" s="65">
        <v>745165</v>
      </c>
      <c r="M4066" t="s">
        <v>3053</v>
      </c>
    </row>
    <row r="4067" spans="12:13">
      <c r="L4067" s="65">
        <v>745166</v>
      </c>
      <c r="M4067" t="s">
        <v>3054</v>
      </c>
    </row>
    <row r="4068" spans="12:13">
      <c r="L4068" s="65">
        <v>770000</v>
      </c>
      <c r="M4068" t="s">
        <v>3056</v>
      </c>
    </row>
    <row r="4069" spans="12:13">
      <c r="L4069" s="65">
        <v>771000</v>
      </c>
      <c r="M4069" t="s">
        <v>3056</v>
      </c>
    </row>
    <row r="4070" spans="12:13">
      <c r="L4070" s="65">
        <v>771100</v>
      </c>
      <c r="M4070" t="s">
        <v>3056</v>
      </c>
    </row>
    <row r="4071" spans="12:13">
      <c r="L4071" s="65">
        <v>771110</v>
      </c>
      <c r="M4071" t="s">
        <v>3056</v>
      </c>
    </row>
    <row r="4072" spans="12:13">
      <c r="L4072" s="65">
        <v>771111</v>
      </c>
      <c r="M4072" t="s">
        <v>3056</v>
      </c>
    </row>
    <row r="4073" spans="12:13">
      <c r="L4073" s="65">
        <v>772000</v>
      </c>
      <c r="M4073" t="s">
        <v>3058</v>
      </c>
    </row>
    <row r="4074" spans="12:13">
      <c r="L4074" s="65">
        <v>772100</v>
      </c>
      <c r="M4074" t="s">
        <v>3058</v>
      </c>
    </row>
    <row r="4075" spans="12:13">
      <c r="L4075" s="65">
        <v>772110</v>
      </c>
      <c r="M4075" t="s">
        <v>3058</v>
      </c>
    </row>
    <row r="4076" spans="12:13">
      <c r="L4076" s="65">
        <v>772111</v>
      </c>
      <c r="M4076" t="s">
        <v>3059</v>
      </c>
    </row>
    <row r="4077" spans="12:13">
      <c r="L4077" s="65">
        <v>772112</v>
      </c>
      <c r="M4077" t="s">
        <v>3060</v>
      </c>
    </row>
    <row r="4078" spans="12:13">
      <c r="L4078" s="65">
        <v>772113</v>
      </c>
      <c r="M4078" t="s">
        <v>3061</v>
      </c>
    </row>
    <row r="4079" spans="12:13">
      <c r="L4079" s="65">
        <v>772114</v>
      </c>
      <c r="M4079" t="s">
        <v>3062</v>
      </c>
    </row>
    <row r="4080" spans="12:13">
      <c r="L4080" s="65">
        <v>780000</v>
      </c>
      <c r="M4080" t="s">
        <v>3063</v>
      </c>
    </row>
    <row r="4081" spans="12:13">
      <c r="L4081" s="65">
        <v>781000</v>
      </c>
      <c r="M4081" t="s">
        <v>3063</v>
      </c>
    </row>
    <row r="4082" spans="12:13">
      <c r="L4082" s="65">
        <v>781100</v>
      </c>
      <c r="M4082" t="s">
        <v>3063</v>
      </c>
    </row>
    <row r="4083" spans="12:13">
      <c r="L4083" s="65">
        <v>781110</v>
      </c>
      <c r="M4083" t="s">
        <v>3063</v>
      </c>
    </row>
    <row r="4084" spans="12:13">
      <c r="L4084" s="65">
        <v>781111</v>
      </c>
      <c r="M4084" t="s">
        <v>3063</v>
      </c>
    </row>
    <row r="4085" spans="12:13">
      <c r="L4085" s="65">
        <v>781112</v>
      </c>
      <c r="M4085" t="s">
        <v>3064</v>
      </c>
    </row>
    <row r="4086" spans="12:13">
      <c r="L4086" s="65">
        <v>781300</v>
      </c>
      <c r="M4086" t="s">
        <v>3065</v>
      </c>
    </row>
    <row r="4087" spans="12:13">
      <c r="L4087" s="65">
        <v>781310</v>
      </c>
      <c r="M4087" t="s">
        <v>3066</v>
      </c>
    </row>
    <row r="4088" spans="12:13">
      <c r="L4088" s="65">
        <v>781311</v>
      </c>
      <c r="M4088" t="s">
        <v>3067</v>
      </c>
    </row>
    <row r="4089" spans="12:13">
      <c r="L4089" s="65">
        <v>781312</v>
      </c>
      <c r="M4089" t="s">
        <v>3068</v>
      </c>
    </row>
    <row r="4090" spans="12:13">
      <c r="L4090" s="65">
        <v>781313</v>
      </c>
      <c r="M4090" t="s">
        <v>3069</v>
      </c>
    </row>
    <row r="4091" spans="12:13">
      <c r="L4091" s="65">
        <v>781314</v>
      </c>
      <c r="M4091" t="s">
        <v>3070</v>
      </c>
    </row>
    <row r="4092" spans="12:13">
      <c r="L4092" s="65">
        <v>781315</v>
      </c>
      <c r="M4092" t="s">
        <v>3071</v>
      </c>
    </row>
    <row r="4093" spans="12:13">
      <c r="L4093" s="65">
        <v>781316</v>
      </c>
      <c r="M4093" t="s">
        <v>3072</v>
      </c>
    </row>
    <row r="4094" spans="12:13">
      <c r="L4094" s="65">
        <v>781317</v>
      </c>
      <c r="M4094" t="s">
        <v>3073</v>
      </c>
    </row>
    <row r="4095" spans="12:13">
      <c r="L4095" s="65">
        <v>781318</v>
      </c>
      <c r="M4095" t="s">
        <v>3074</v>
      </c>
    </row>
    <row r="4096" spans="12:13">
      <c r="L4096" s="65">
        <v>781320</v>
      </c>
      <c r="M4096" t="s">
        <v>3075</v>
      </c>
    </row>
    <row r="4097" spans="12:13">
      <c r="L4097" s="65">
        <v>781321</v>
      </c>
      <c r="M4097" t="s">
        <v>3076</v>
      </c>
    </row>
    <row r="4098" spans="12:13">
      <c r="L4098" s="65">
        <v>781322</v>
      </c>
      <c r="M4098" t="s">
        <v>3077</v>
      </c>
    </row>
    <row r="4099" spans="12:13">
      <c r="L4099" s="65">
        <v>781323</v>
      </c>
      <c r="M4099" t="s">
        <v>3078</v>
      </c>
    </row>
    <row r="4100" spans="12:13">
      <c r="L4100" s="65">
        <v>781324</v>
      </c>
      <c r="M4100" t="s">
        <v>3079</v>
      </c>
    </row>
    <row r="4101" spans="12:13">
      <c r="L4101" s="65">
        <v>781330</v>
      </c>
      <c r="M4101" t="s">
        <v>3080</v>
      </c>
    </row>
    <row r="4102" spans="12:13">
      <c r="L4102" s="65">
        <v>781331</v>
      </c>
      <c r="M4102" t="s">
        <v>3081</v>
      </c>
    </row>
    <row r="4103" spans="12:13">
      <c r="L4103" s="65">
        <v>781340</v>
      </c>
      <c r="M4103" t="s">
        <v>3082</v>
      </c>
    </row>
    <row r="4104" spans="12:13">
      <c r="L4104" s="65">
        <v>781341</v>
      </c>
      <c r="M4104" t="s">
        <v>3083</v>
      </c>
    </row>
    <row r="4105" spans="12:13">
      <c r="L4105" s="65">
        <v>781342</v>
      </c>
      <c r="M4105" t="s">
        <v>3084</v>
      </c>
    </row>
    <row r="4106" spans="12:13">
      <c r="L4106" s="65">
        <v>781350</v>
      </c>
      <c r="M4106" t="s">
        <v>3085</v>
      </c>
    </row>
    <row r="4107" spans="12:13">
      <c r="L4107" s="65">
        <v>781351</v>
      </c>
      <c r="M4107" t="s">
        <v>3085</v>
      </c>
    </row>
    <row r="4108" spans="12:13">
      <c r="L4108" s="65">
        <v>781352</v>
      </c>
      <c r="M4108" t="s">
        <v>3086</v>
      </c>
    </row>
    <row r="4109" spans="12:13">
      <c r="L4109" s="65">
        <v>790000</v>
      </c>
      <c r="M4109" t="s">
        <v>3088</v>
      </c>
    </row>
    <row r="4110" spans="12:13">
      <c r="L4110" s="65">
        <v>791000</v>
      </c>
      <c r="M4110" t="s">
        <v>3088</v>
      </c>
    </row>
    <row r="4111" spans="12:13">
      <c r="L4111" s="65">
        <v>791100</v>
      </c>
      <c r="M4111" t="s">
        <v>3088</v>
      </c>
    </row>
    <row r="4112" spans="12:13">
      <c r="L4112" s="65">
        <v>791110</v>
      </c>
      <c r="M4112" t="s">
        <v>3088</v>
      </c>
    </row>
    <row r="4113" spans="12:13">
      <c r="L4113" s="65">
        <v>791111</v>
      </c>
      <c r="M4113" t="s">
        <v>3088</v>
      </c>
    </row>
    <row r="4114" spans="12:13">
      <c r="L4114" s="65">
        <v>800000</v>
      </c>
      <c r="M4114" t="s">
        <v>3091</v>
      </c>
    </row>
    <row r="4115" spans="12:13">
      <c r="L4115" s="65">
        <v>810000</v>
      </c>
      <c r="M4115" t="s">
        <v>3092</v>
      </c>
    </row>
    <row r="4116" spans="12:13">
      <c r="L4116" s="65">
        <v>811000</v>
      </c>
      <c r="M4116" t="s">
        <v>3093</v>
      </c>
    </row>
    <row r="4117" spans="12:13">
      <c r="L4117" s="65">
        <v>811100</v>
      </c>
      <c r="M4117" t="s">
        <v>3093</v>
      </c>
    </row>
    <row r="4118" spans="12:13">
      <c r="L4118" s="65">
        <v>811120</v>
      </c>
      <c r="M4118" t="s">
        <v>3094</v>
      </c>
    </row>
    <row r="4119" spans="12:13">
      <c r="L4119" s="65">
        <v>811121</v>
      </c>
      <c r="M4119" t="s">
        <v>3095</v>
      </c>
    </row>
    <row r="4120" spans="12:13">
      <c r="L4120" s="65">
        <v>811122</v>
      </c>
      <c r="M4120" t="s">
        <v>3096</v>
      </c>
    </row>
    <row r="4121" spans="12:13">
      <c r="L4121" s="65">
        <v>811123</v>
      </c>
      <c r="M4121" t="s">
        <v>3097</v>
      </c>
    </row>
    <row r="4122" spans="12:13">
      <c r="L4122" s="65">
        <v>811124</v>
      </c>
      <c r="M4122" t="s">
        <v>3098</v>
      </c>
    </row>
    <row r="4123" spans="12:13">
      <c r="L4123" s="65">
        <v>811125</v>
      </c>
      <c r="M4123" t="s">
        <v>3099</v>
      </c>
    </row>
    <row r="4124" spans="12:13">
      <c r="L4124" s="65">
        <v>811130</v>
      </c>
      <c r="M4124" t="s">
        <v>3100</v>
      </c>
    </row>
    <row r="4125" spans="12:13">
      <c r="L4125" s="65">
        <v>811131</v>
      </c>
      <c r="M4125" t="s">
        <v>3101</v>
      </c>
    </row>
    <row r="4126" spans="12:13">
      <c r="L4126" s="65">
        <v>811132</v>
      </c>
      <c r="M4126" t="s">
        <v>3102</v>
      </c>
    </row>
    <row r="4127" spans="12:13">
      <c r="L4127" s="65">
        <v>811133</v>
      </c>
      <c r="M4127" t="s">
        <v>3103</v>
      </c>
    </row>
    <row r="4128" spans="12:13">
      <c r="L4128" s="65">
        <v>811134</v>
      </c>
      <c r="M4128" t="s">
        <v>3104</v>
      </c>
    </row>
    <row r="4129" spans="12:13">
      <c r="L4129" s="65">
        <v>811135</v>
      </c>
      <c r="M4129" t="s">
        <v>3105</v>
      </c>
    </row>
    <row r="4130" spans="12:13">
      <c r="L4130" s="65">
        <v>811140</v>
      </c>
      <c r="M4130" t="s">
        <v>3106</v>
      </c>
    </row>
    <row r="4131" spans="12:13">
      <c r="L4131" s="65">
        <v>811141</v>
      </c>
      <c r="M4131" t="s">
        <v>3106</v>
      </c>
    </row>
    <row r="4132" spans="12:13">
      <c r="L4132" s="65">
        <v>811142</v>
      </c>
      <c r="M4132" t="s">
        <v>3107</v>
      </c>
    </row>
    <row r="4133" spans="12:13">
      <c r="L4133" s="65">
        <v>811143</v>
      </c>
      <c r="M4133" t="s">
        <v>3108</v>
      </c>
    </row>
    <row r="4134" spans="12:13">
      <c r="L4134" s="65">
        <v>811144</v>
      </c>
      <c r="M4134" t="s">
        <v>3109</v>
      </c>
    </row>
    <row r="4135" spans="12:13">
      <c r="L4135" s="65">
        <v>811150</v>
      </c>
      <c r="M4135" t="s">
        <v>3110</v>
      </c>
    </row>
    <row r="4136" spans="12:13">
      <c r="L4136" s="65">
        <v>811151</v>
      </c>
      <c r="M4136" t="s">
        <v>3110</v>
      </c>
    </row>
    <row r="4137" spans="12:13">
      <c r="L4137" s="65">
        <v>811152</v>
      </c>
      <c r="M4137" t="s">
        <v>3111</v>
      </c>
    </row>
    <row r="4138" spans="12:13">
      <c r="L4138" s="65">
        <v>811153</v>
      </c>
      <c r="M4138" t="s">
        <v>3112</v>
      </c>
    </row>
    <row r="4139" spans="12:13">
      <c r="L4139" s="65">
        <v>811154</v>
      </c>
      <c r="M4139" t="s">
        <v>3113</v>
      </c>
    </row>
    <row r="4140" spans="12:13">
      <c r="L4140" s="65">
        <v>811160</v>
      </c>
      <c r="M4140" t="s">
        <v>3114</v>
      </c>
    </row>
    <row r="4141" spans="12:13">
      <c r="L4141" s="65">
        <v>811161</v>
      </c>
      <c r="M4141" t="s">
        <v>3115</v>
      </c>
    </row>
    <row r="4142" spans="12:13">
      <c r="L4142" s="65">
        <v>811162</v>
      </c>
      <c r="M4142" t="s">
        <v>3116</v>
      </c>
    </row>
    <row r="4143" spans="12:13">
      <c r="L4143" s="65">
        <v>811165</v>
      </c>
      <c r="M4143" t="s">
        <v>3117</v>
      </c>
    </row>
    <row r="4144" spans="12:13">
      <c r="L4144" s="65">
        <v>811170</v>
      </c>
      <c r="M4144" t="s">
        <v>3118</v>
      </c>
    </row>
    <row r="4145" spans="12:13">
      <c r="L4145" s="65">
        <v>811171</v>
      </c>
      <c r="M4145" t="s">
        <v>3119</v>
      </c>
    </row>
    <row r="4146" spans="12:13">
      <c r="L4146" s="65">
        <v>811172</v>
      </c>
      <c r="M4146" t="s">
        <v>3120</v>
      </c>
    </row>
    <row r="4147" spans="12:13">
      <c r="L4147" s="65">
        <v>812000</v>
      </c>
      <c r="M4147" t="s">
        <v>3121</v>
      </c>
    </row>
    <row r="4148" spans="12:13">
      <c r="L4148" s="65">
        <v>812100</v>
      </c>
      <c r="M4148" t="s">
        <v>3121</v>
      </c>
    </row>
    <row r="4149" spans="12:13">
      <c r="L4149" s="65">
        <v>812120</v>
      </c>
      <c r="M4149" t="s">
        <v>3122</v>
      </c>
    </row>
    <row r="4150" spans="12:13">
      <c r="L4150" s="65">
        <v>812121</v>
      </c>
      <c r="M4150" t="s">
        <v>3122</v>
      </c>
    </row>
    <row r="4151" spans="12:13">
      <c r="L4151" s="65">
        <v>812130</v>
      </c>
      <c r="M4151" t="s">
        <v>3123</v>
      </c>
    </row>
    <row r="4152" spans="12:13">
      <c r="L4152" s="65">
        <v>812131</v>
      </c>
      <c r="M4152" t="s">
        <v>3124</v>
      </c>
    </row>
    <row r="4153" spans="12:13">
      <c r="L4153" s="65">
        <v>812132</v>
      </c>
      <c r="M4153" t="s">
        <v>3125</v>
      </c>
    </row>
    <row r="4154" spans="12:13">
      <c r="L4154" s="65">
        <v>812140</v>
      </c>
      <c r="M4154" t="s">
        <v>3126</v>
      </c>
    </row>
    <row r="4155" spans="12:13">
      <c r="L4155" s="65">
        <v>812141</v>
      </c>
      <c r="M4155" t="s">
        <v>3126</v>
      </c>
    </row>
    <row r="4156" spans="12:13">
      <c r="L4156" s="65">
        <v>812150</v>
      </c>
      <c r="M4156" t="s">
        <v>3127</v>
      </c>
    </row>
    <row r="4157" spans="12:13">
      <c r="L4157" s="65">
        <v>812151</v>
      </c>
      <c r="M4157" t="s">
        <v>3127</v>
      </c>
    </row>
    <row r="4158" spans="12:13">
      <c r="L4158" s="65">
        <v>812160</v>
      </c>
      <c r="M4158" t="s">
        <v>3128</v>
      </c>
    </row>
    <row r="4159" spans="12:13">
      <c r="L4159" s="65">
        <v>812161</v>
      </c>
      <c r="M4159" t="s">
        <v>3129</v>
      </c>
    </row>
    <row r="4160" spans="12:13">
      <c r="L4160" s="65">
        <v>812162</v>
      </c>
      <c r="M4160" t="s">
        <v>3130</v>
      </c>
    </row>
    <row r="4161" spans="12:13">
      <c r="L4161" s="65">
        <v>812165</v>
      </c>
      <c r="M4161" t="s">
        <v>3131</v>
      </c>
    </row>
    <row r="4162" spans="12:13">
      <c r="L4162" s="65">
        <v>813000</v>
      </c>
      <c r="M4162" t="s">
        <v>3132</v>
      </c>
    </row>
    <row r="4163" spans="12:13">
      <c r="L4163" s="65">
        <v>813100</v>
      </c>
      <c r="M4163" t="s">
        <v>3132</v>
      </c>
    </row>
    <row r="4164" spans="12:13">
      <c r="L4164" s="65">
        <v>813120</v>
      </c>
      <c r="M4164" t="s">
        <v>3133</v>
      </c>
    </row>
    <row r="4165" spans="12:13">
      <c r="L4165" s="65">
        <v>813121</v>
      </c>
      <c r="M4165" t="s">
        <v>3133</v>
      </c>
    </row>
    <row r="4166" spans="12:13">
      <c r="L4166" s="65">
        <v>813130</v>
      </c>
      <c r="M4166" t="s">
        <v>3134</v>
      </c>
    </row>
    <row r="4167" spans="12:13">
      <c r="L4167" s="65">
        <v>813131</v>
      </c>
      <c r="M4167" t="s">
        <v>3135</v>
      </c>
    </row>
    <row r="4168" spans="12:13">
      <c r="L4168" s="65">
        <v>813132</v>
      </c>
      <c r="M4168" t="s">
        <v>3136</v>
      </c>
    </row>
    <row r="4169" spans="12:13">
      <c r="L4169" s="65">
        <v>813140</v>
      </c>
      <c r="M4169" t="s">
        <v>3137</v>
      </c>
    </row>
    <row r="4170" spans="12:13">
      <c r="L4170" s="65">
        <v>813141</v>
      </c>
      <c r="M4170" t="s">
        <v>3137</v>
      </c>
    </row>
    <row r="4171" spans="12:13">
      <c r="L4171" s="65">
        <v>813150</v>
      </c>
      <c r="M4171" t="s">
        <v>3138</v>
      </c>
    </row>
    <row r="4172" spans="12:13">
      <c r="L4172" s="65">
        <v>813151</v>
      </c>
      <c r="M4172" t="s">
        <v>3138</v>
      </c>
    </row>
    <row r="4173" spans="12:13">
      <c r="L4173" s="65">
        <v>813160</v>
      </c>
      <c r="M4173" t="s">
        <v>3139</v>
      </c>
    </row>
    <row r="4174" spans="12:13">
      <c r="L4174" s="65">
        <v>813161</v>
      </c>
      <c r="M4174" t="s">
        <v>3140</v>
      </c>
    </row>
    <row r="4175" spans="12:13">
      <c r="L4175" s="65">
        <v>813162</v>
      </c>
      <c r="M4175" t="s">
        <v>3141</v>
      </c>
    </row>
    <row r="4176" spans="12:13">
      <c r="L4176" s="65">
        <v>813165</v>
      </c>
      <c r="M4176" t="s">
        <v>3142</v>
      </c>
    </row>
    <row r="4177" spans="12:13">
      <c r="L4177" s="65">
        <v>820000</v>
      </c>
      <c r="M4177" t="s">
        <v>3143</v>
      </c>
    </row>
    <row r="4178" spans="12:13">
      <c r="L4178" s="65">
        <v>821000</v>
      </c>
      <c r="M4178" t="s">
        <v>3144</v>
      </c>
    </row>
    <row r="4179" spans="12:13">
      <c r="L4179" s="65">
        <v>821100</v>
      </c>
      <c r="M4179" t="s">
        <v>3144</v>
      </c>
    </row>
    <row r="4180" spans="12:13">
      <c r="L4180" s="65">
        <v>821120</v>
      </c>
      <c r="M4180" t="s">
        <v>3145</v>
      </c>
    </row>
    <row r="4181" spans="12:13">
      <c r="L4181" s="65">
        <v>821121</v>
      </c>
      <c r="M4181" t="s">
        <v>3145</v>
      </c>
    </row>
    <row r="4182" spans="12:13">
      <c r="L4182" s="65">
        <v>821130</v>
      </c>
      <c r="M4182" t="s">
        <v>3146</v>
      </c>
    </row>
    <row r="4183" spans="12:13">
      <c r="L4183" s="65">
        <v>821131</v>
      </c>
      <c r="M4183" t="s">
        <v>3147</v>
      </c>
    </row>
    <row r="4184" spans="12:13">
      <c r="L4184" s="65">
        <v>821132</v>
      </c>
      <c r="M4184" t="s">
        <v>3148</v>
      </c>
    </row>
    <row r="4185" spans="12:13">
      <c r="L4185" s="65">
        <v>821140</v>
      </c>
      <c r="M4185" t="s">
        <v>3149</v>
      </c>
    </row>
    <row r="4186" spans="12:13">
      <c r="L4186" s="65">
        <v>821141</v>
      </c>
      <c r="M4186" t="s">
        <v>3149</v>
      </c>
    </row>
    <row r="4187" spans="12:13">
      <c r="L4187" s="65">
        <v>821150</v>
      </c>
      <c r="M4187" t="s">
        <v>3150</v>
      </c>
    </row>
    <row r="4188" spans="12:13">
      <c r="L4188" s="65">
        <v>821151</v>
      </c>
      <c r="M4188" t="s">
        <v>3150</v>
      </c>
    </row>
    <row r="4189" spans="12:13">
      <c r="L4189" s="65">
        <v>821160</v>
      </c>
      <c r="M4189" t="s">
        <v>3151</v>
      </c>
    </row>
    <row r="4190" spans="12:13">
      <c r="L4190" s="65">
        <v>821161</v>
      </c>
      <c r="M4190" t="s">
        <v>3152</v>
      </c>
    </row>
    <row r="4191" spans="12:13">
      <c r="L4191" s="65">
        <v>821162</v>
      </c>
      <c r="M4191" t="s">
        <v>3153</v>
      </c>
    </row>
    <row r="4192" spans="12:13">
      <c r="L4192" s="65">
        <v>821165</v>
      </c>
      <c r="M4192" t="s">
        <v>3154</v>
      </c>
    </row>
    <row r="4193" spans="12:13">
      <c r="L4193" s="65">
        <v>822000</v>
      </c>
      <c r="M4193" t="s">
        <v>3155</v>
      </c>
    </row>
    <row r="4194" spans="12:13">
      <c r="L4194" s="65">
        <v>822100</v>
      </c>
      <c r="M4194" t="s">
        <v>3155</v>
      </c>
    </row>
    <row r="4195" spans="12:13">
      <c r="L4195" s="65">
        <v>822120</v>
      </c>
      <c r="M4195" t="s">
        <v>3156</v>
      </c>
    </row>
    <row r="4196" spans="12:13">
      <c r="L4196" s="65">
        <v>822121</v>
      </c>
      <c r="M4196" t="s">
        <v>3156</v>
      </c>
    </row>
    <row r="4197" spans="12:13">
      <c r="L4197" s="65">
        <v>822130</v>
      </c>
      <c r="M4197" t="s">
        <v>3157</v>
      </c>
    </row>
    <row r="4198" spans="12:13">
      <c r="L4198" s="65">
        <v>822131</v>
      </c>
      <c r="M4198" t="s">
        <v>3158</v>
      </c>
    </row>
    <row r="4199" spans="12:13">
      <c r="L4199" s="65">
        <v>822132</v>
      </c>
      <c r="M4199" t="s">
        <v>3159</v>
      </c>
    </row>
    <row r="4200" spans="12:13">
      <c r="L4200" s="65">
        <v>822140</v>
      </c>
      <c r="M4200" t="s">
        <v>3160</v>
      </c>
    </row>
    <row r="4201" spans="12:13">
      <c r="L4201" s="65">
        <v>822141</v>
      </c>
      <c r="M4201" t="s">
        <v>3160</v>
      </c>
    </row>
    <row r="4202" spans="12:13">
      <c r="L4202" s="65">
        <v>822150</v>
      </c>
      <c r="M4202" t="s">
        <v>3161</v>
      </c>
    </row>
    <row r="4203" spans="12:13">
      <c r="L4203" s="65">
        <v>822151</v>
      </c>
      <c r="M4203" t="s">
        <v>3161</v>
      </c>
    </row>
    <row r="4204" spans="12:13">
      <c r="L4204" s="65">
        <v>822160</v>
      </c>
      <c r="M4204" t="s">
        <v>3162</v>
      </c>
    </row>
    <row r="4205" spans="12:13">
      <c r="L4205" s="65">
        <v>822161</v>
      </c>
      <c r="M4205" t="s">
        <v>3163</v>
      </c>
    </row>
    <row r="4206" spans="12:13">
      <c r="L4206" s="65">
        <v>822162</v>
      </c>
      <c r="M4206" t="s">
        <v>3164</v>
      </c>
    </row>
    <row r="4207" spans="12:13">
      <c r="L4207" s="65">
        <v>822165</v>
      </c>
      <c r="M4207" t="s">
        <v>3165</v>
      </c>
    </row>
    <row r="4208" spans="12:13">
      <c r="L4208" s="65">
        <v>823000</v>
      </c>
      <c r="M4208" t="s">
        <v>3166</v>
      </c>
    </row>
    <row r="4209" spans="12:13">
      <c r="L4209" s="65">
        <v>823100</v>
      </c>
      <c r="M4209" t="s">
        <v>3166</v>
      </c>
    </row>
    <row r="4210" spans="12:13">
      <c r="L4210" s="65">
        <v>823120</v>
      </c>
      <c r="M4210" t="s">
        <v>3167</v>
      </c>
    </row>
    <row r="4211" spans="12:13">
      <c r="L4211" s="65">
        <v>823121</v>
      </c>
      <c r="M4211" t="s">
        <v>3167</v>
      </c>
    </row>
    <row r="4212" spans="12:13">
      <c r="L4212" s="65">
        <v>823130</v>
      </c>
      <c r="M4212" t="s">
        <v>3168</v>
      </c>
    </row>
    <row r="4213" spans="12:13">
      <c r="L4213" s="65">
        <v>823131</v>
      </c>
      <c r="M4213" t="s">
        <v>3169</v>
      </c>
    </row>
    <row r="4214" spans="12:13">
      <c r="L4214" s="65">
        <v>823132</v>
      </c>
      <c r="M4214" t="s">
        <v>3170</v>
      </c>
    </row>
    <row r="4215" spans="12:13">
      <c r="L4215" s="65">
        <v>823140</v>
      </c>
      <c r="M4215" t="s">
        <v>3171</v>
      </c>
    </row>
    <row r="4216" spans="12:13">
      <c r="L4216" s="65">
        <v>823141</v>
      </c>
      <c r="M4216" t="s">
        <v>3171</v>
      </c>
    </row>
    <row r="4217" spans="12:13">
      <c r="L4217" s="65">
        <v>823150</v>
      </c>
      <c r="M4217" t="s">
        <v>3172</v>
      </c>
    </row>
    <row r="4218" spans="12:13">
      <c r="L4218" s="65">
        <v>823151</v>
      </c>
      <c r="M4218" t="s">
        <v>3172</v>
      </c>
    </row>
    <row r="4219" spans="12:13">
      <c r="L4219" s="65">
        <v>823160</v>
      </c>
      <c r="M4219" t="s">
        <v>3173</v>
      </c>
    </row>
    <row r="4220" spans="12:13">
      <c r="L4220" s="65">
        <v>823161</v>
      </c>
      <c r="M4220" t="s">
        <v>3174</v>
      </c>
    </row>
    <row r="4221" spans="12:13">
      <c r="L4221" s="65">
        <v>823162</v>
      </c>
      <c r="M4221" t="s">
        <v>3175</v>
      </c>
    </row>
    <row r="4222" spans="12:13">
      <c r="L4222" s="65">
        <v>823165</v>
      </c>
      <c r="M4222" t="s">
        <v>3176</v>
      </c>
    </row>
    <row r="4223" spans="12:13">
      <c r="L4223" s="65">
        <v>830000</v>
      </c>
      <c r="M4223" t="s">
        <v>3177</v>
      </c>
    </row>
    <row r="4224" spans="12:13">
      <c r="L4224" s="65">
        <v>831000</v>
      </c>
      <c r="M4224" t="s">
        <v>3177</v>
      </c>
    </row>
    <row r="4225" spans="12:13">
      <c r="L4225" s="65">
        <v>831100</v>
      </c>
      <c r="M4225" t="s">
        <v>3177</v>
      </c>
    </row>
    <row r="4226" spans="12:13">
      <c r="L4226" s="65">
        <v>831120</v>
      </c>
      <c r="M4226" t="s">
        <v>3178</v>
      </c>
    </row>
    <row r="4227" spans="12:13">
      <c r="L4227" s="65">
        <v>831121</v>
      </c>
      <c r="M4227" t="s">
        <v>3178</v>
      </c>
    </row>
    <row r="4228" spans="12:13">
      <c r="L4228" s="65">
        <v>831130</v>
      </c>
      <c r="M4228" t="s">
        <v>3179</v>
      </c>
    </row>
    <row r="4229" spans="12:13">
      <c r="L4229" s="65">
        <v>831131</v>
      </c>
      <c r="M4229" t="s">
        <v>3180</v>
      </c>
    </row>
    <row r="4230" spans="12:13">
      <c r="L4230" s="65">
        <v>831132</v>
      </c>
      <c r="M4230" t="s">
        <v>3181</v>
      </c>
    </row>
    <row r="4231" spans="12:13">
      <c r="L4231" s="65">
        <v>831140</v>
      </c>
      <c r="M4231" t="s">
        <v>3182</v>
      </c>
    </row>
    <row r="4232" spans="12:13">
      <c r="L4232" s="65">
        <v>831141</v>
      </c>
      <c r="M4232" t="s">
        <v>3182</v>
      </c>
    </row>
    <row r="4233" spans="12:13">
      <c r="L4233" s="65">
        <v>831150</v>
      </c>
      <c r="M4233" t="s">
        <v>3183</v>
      </c>
    </row>
    <row r="4234" spans="12:13">
      <c r="L4234" s="65">
        <v>831151</v>
      </c>
      <c r="M4234" t="s">
        <v>3183</v>
      </c>
    </row>
    <row r="4235" spans="12:13">
      <c r="L4235" s="65">
        <v>831160</v>
      </c>
      <c r="M4235" t="s">
        <v>3184</v>
      </c>
    </row>
    <row r="4236" spans="12:13">
      <c r="L4236" s="65">
        <v>831161</v>
      </c>
      <c r="M4236" t="s">
        <v>3185</v>
      </c>
    </row>
    <row r="4237" spans="12:13">
      <c r="L4237" s="65">
        <v>831162</v>
      </c>
      <c r="M4237" t="s">
        <v>3186</v>
      </c>
    </row>
    <row r="4238" spans="12:13">
      <c r="L4238" s="65">
        <v>831165</v>
      </c>
      <c r="M4238" t="s">
        <v>3187</v>
      </c>
    </row>
    <row r="4239" spans="12:13">
      <c r="L4239" s="65">
        <v>840000</v>
      </c>
      <c r="M4239" t="s">
        <v>3188</v>
      </c>
    </row>
    <row r="4240" spans="12:13">
      <c r="L4240" s="65">
        <v>841000</v>
      </c>
      <c r="M4240" t="s">
        <v>3189</v>
      </c>
    </row>
    <row r="4241" spans="12:13">
      <c r="L4241" s="65">
        <v>841100</v>
      </c>
      <c r="M4241" t="s">
        <v>3189</v>
      </c>
    </row>
    <row r="4242" spans="12:13">
      <c r="L4242" s="65">
        <v>841120</v>
      </c>
      <c r="M4242" t="s">
        <v>3190</v>
      </c>
    </row>
    <row r="4243" spans="12:13">
      <c r="L4243" s="65">
        <v>841121</v>
      </c>
      <c r="M4243" t="s">
        <v>3190</v>
      </c>
    </row>
    <row r="4244" spans="12:13">
      <c r="L4244" s="65">
        <v>841130</v>
      </c>
      <c r="M4244" t="s">
        <v>3191</v>
      </c>
    </row>
    <row r="4245" spans="12:13">
      <c r="L4245" s="65">
        <v>841131</v>
      </c>
      <c r="M4245" t="s">
        <v>3191</v>
      </c>
    </row>
    <row r="4246" spans="12:13">
      <c r="L4246" s="65">
        <v>841140</v>
      </c>
      <c r="M4246" t="s">
        <v>3192</v>
      </c>
    </row>
    <row r="4247" spans="12:13">
      <c r="L4247" s="65">
        <v>841141</v>
      </c>
      <c r="M4247" t="s">
        <v>3192</v>
      </c>
    </row>
    <row r="4248" spans="12:13">
      <c r="L4248" s="65">
        <v>841150</v>
      </c>
      <c r="M4248" t="s">
        <v>3193</v>
      </c>
    </row>
    <row r="4249" spans="12:13">
      <c r="L4249" s="65">
        <v>841151</v>
      </c>
      <c r="M4249" t="s">
        <v>3193</v>
      </c>
    </row>
    <row r="4250" spans="12:13">
      <c r="L4250" s="65">
        <v>841160</v>
      </c>
      <c r="M4250" t="s">
        <v>3194</v>
      </c>
    </row>
    <row r="4251" spans="12:13">
      <c r="L4251" s="65">
        <v>841161</v>
      </c>
      <c r="M4251" t="s">
        <v>3195</v>
      </c>
    </row>
    <row r="4252" spans="12:13">
      <c r="L4252" s="65">
        <v>841162</v>
      </c>
      <c r="M4252" t="s">
        <v>3196</v>
      </c>
    </row>
    <row r="4253" spans="12:13">
      <c r="L4253" s="65">
        <v>841165</v>
      </c>
      <c r="M4253" t="s">
        <v>3197</v>
      </c>
    </row>
    <row r="4254" spans="12:13">
      <c r="L4254" s="65">
        <v>842000</v>
      </c>
      <c r="M4254" t="s">
        <v>3198</v>
      </c>
    </row>
    <row r="4255" spans="12:13">
      <c r="L4255" s="65">
        <v>842100</v>
      </c>
      <c r="M4255" t="s">
        <v>3198</v>
      </c>
    </row>
    <row r="4256" spans="12:13">
      <c r="L4256" s="65">
        <v>842120</v>
      </c>
      <c r="M4256" t="s">
        <v>3199</v>
      </c>
    </row>
    <row r="4257" spans="12:13">
      <c r="L4257" s="65">
        <v>842121</v>
      </c>
      <c r="M4257" t="s">
        <v>3199</v>
      </c>
    </row>
    <row r="4258" spans="12:13">
      <c r="L4258" s="65">
        <v>842130</v>
      </c>
      <c r="M4258" t="s">
        <v>3200</v>
      </c>
    </row>
    <row r="4259" spans="12:13">
      <c r="L4259" s="65">
        <v>842131</v>
      </c>
      <c r="M4259" t="s">
        <v>3200</v>
      </c>
    </row>
    <row r="4260" spans="12:13">
      <c r="L4260" s="65">
        <v>842140</v>
      </c>
      <c r="M4260" t="s">
        <v>3201</v>
      </c>
    </row>
    <row r="4261" spans="12:13">
      <c r="L4261" s="65">
        <v>842141</v>
      </c>
      <c r="M4261" t="s">
        <v>3201</v>
      </c>
    </row>
    <row r="4262" spans="12:13">
      <c r="L4262" s="65">
        <v>842150</v>
      </c>
      <c r="M4262" t="s">
        <v>3202</v>
      </c>
    </row>
    <row r="4263" spans="12:13">
      <c r="L4263" s="65">
        <v>842151</v>
      </c>
      <c r="M4263" t="s">
        <v>3202</v>
      </c>
    </row>
    <row r="4264" spans="12:13">
      <c r="L4264" s="65">
        <v>842160</v>
      </c>
      <c r="M4264" t="s">
        <v>3203</v>
      </c>
    </row>
    <row r="4265" spans="12:13">
      <c r="L4265" s="65">
        <v>842161</v>
      </c>
      <c r="M4265" t="s">
        <v>3204</v>
      </c>
    </row>
    <row r="4266" spans="12:13">
      <c r="L4266" s="65">
        <v>842162</v>
      </c>
      <c r="M4266" t="s">
        <v>3205</v>
      </c>
    </row>
    <row r="4267" spans="12:13">
      <c r="L4267" s="65">
        <v>842165</v>
      </c>
      <c r="M4267" t="s">
        <v>3206</v>
      </c>
    </row>
    <row r="4268" spans="12:13">
      <c r="L4268" s="65">
        <v>843000</v>
      </c>
      <c r="M4268" t="s">
        <v>3207</v>
      </c>
    </row>
    <row r="4269" spans="12:13">
      <c r="L4269" s="65">
        <v>843100</v>
      </c>
      <c r="M4269" t="s">
        <v>3207</v>
      </c>
    </row>
    <row r="4270" spans="12:13">
      <c r="L4270" s="65">
        <v>843120</v>
      </c>
      <c r="M4270" t="s">
        <v>3208</v>
      </c>
    </row>
    <row r="4271" spans="12:13">
      <c r="L4271" s="65">
        <v>843121</v>
      </c>
      <c r="M4271" t="s">
        <v>3208</v>
      </c>
    </row>
    <row r="4272" spans="12:13">
      <c r="L4272" s="65">
        <v>843130</v>
      </c>
      <c r="M4272" t="s">
        <v>3209</v>
      </c>
    </row>
    <row r="4273" spans="12:13">
      <c r="L4273" s="65">
        <v>843131</v>
      </c>
      <c r="M4273" t="s">
        <v>3209</v>
      </c>
    </row>
    <row r="4274" spans="12:13">
      <c r="L4274" s="65">
        <v>843140</v>
      </c>
      <c r="M4274" t="s">
        <v>3210</v>
      </c>
    </row>
    <row r="4275" spans="12:13">
      <c r="L4275" s="65">
        <v>843141</v>
      </c>
      <c r="M4275" t="s">
        <v>3210</v>
      </c>
    </row>
    <row r="4276" spans="12:13">
      <c r="L4276" s="65">
        <v>843150</v>
      </c>
      <c r="M4276" t="s">
        <v>3211</v>
      </c>
    </row>
    <row r="4277" spans="12:13">
      <c r="L4277" s="65">
        <v>843151</v>
      </c>
      <c r="M4277" t="s">
        <v>3211</v>
      </c>
    </row>
    <row r="4278" spans="12:13">
      <c r="L4278" s="65">
        <v>843160</v>
      </c>
      <c r="M4278" t="s">
        <v>3212</v>
      </c>
    </row>
    <row r="4279" spans="12:13">
      <c r="L4279" s="65">
        <v>843161</v>
      </c>
      <c r="M4279" t="s">
        <v>3213</v>
      </c>
    </row>
    <row r="4280" spans="12:13">
      <c r="L4280" s="65">
        <v>843162</v>
      </c>
      <c r="M4280" t="s">
        <v>3214</v>
      </c>
    </row>
    <row r="4281" spans="12:13">
      <c r="L4281" s="65">
        <v>843165</v>
      </c>
      <c r="M4281" t="s">
        <v>3215</v>
      </c>
    </row>
    <row r="4282" spans="12:13">
      <c r="L4282" s="65">
        <v>900000</v>
      </c>
      <c r="M4282" t="s">
        <v>3217</v>
      </c>
    </row>
    <row r="4283" spans="12:13">
      <c r="L4283" s="65">
        <v>910000</v>
      </c>
      <c r="M4283" t="s">
        <v>3219</v>
      </c>
    </row>
    <row r="4284" spans="12:13">
      <c r="L4284" s="65">
        <v>911000</v>
      </c>
      <c r="M4284" t="s">
        <v>3220</v>
      </c>
    </row>
    <row r="4285" spans="12:13">
      <c r="L4285" s="65">
        <v>911100</v>
      </c>
      <c r="M4285" t="s">
        <v>3221</v>
      </c>
    </row>
    <row r="4286" spans="12:13">
      <c r="L4286" s="65">
        <v>911120</v>
      </c>
      <c r="M4286" t="s">
        <v>3222</v>
      </c>
    </row>
    <row r="4287" spans="12:13">
      <c r="L4287" s="65">
        <v>911121</v>
      </c>
      <c r="M4287" t="s">
        <v>3222</v>
      </c>
    </row>
    <row r="4288" spans="12:13">
      <c r="L4288" s="65">
        <v>911130</v>
      </c>
      <c r="M4288" t="s">
        <v>3223</v>
      </c>
    </row>
    <row r="4289" spans="12:13">
      <c r="L4289" s="65">
        <v>911131</v>
      </c>
      <c r="M4289" t="s">
        <v>3224</v>
      </c>
    </row>
    <row r="4290" spans="12:13">
      <c r="L4290" s="65">
        <v>911132</v>
      </c>
      <c r="M4290" t="s">
        <v>3225</v>
      </c>
    </row>
    <row r="4291" spans="12:13">
      <c r="L4291" s="65">
        <v>911140</v>
      </c>
      <c r="M4291" t="s">
        <v>3226</v>
      </c>
    </row>
    <row r="4292" spans="12:13">
      <c r="L4292" s="65">
        <v>911141</v>
      </c>
      <c r="M4292" t="s">
        <v>3226</v>
      </c>
    </row>
    <row r="4293" spans="12:13">
      <c r="L4293" s="65">
        <v>911150</v>
      </c>
      <c r="M4293" t="s">
        <v>3227</v>
      </c>
    </row>
    <row r="4294" spans="12:13">
      <c r="L4294" s="65">
        <v>911151</v>
      </c>
      <c r="M4294" t="s">
        <v>3227</v>
      </c>
    </row>
    <row r="4295" spans="12:13">
      <c r="L4295" s="65">
        <v>911160</v>
      </c>
      <c r="M4295" t="s">
        <v>3228</v>
      </c>
    </row>
    <row r="4296" spans="12:13">
      <c r="L4296" s="65">
        <v>911161</v>
      </c>
      <c r="M4296" t="s">
        <v>3229</v>
      </c>
    </row>
    <row r="4297" spans="12:13">
      <c r="L4297" s="65">
        <v>911162</v>
      </c>
      <c r="M4297" t="s">
        <v>3230</v>
      </c>
    </row>
    <row r="4298" spans="12:13">
      <c r="L4298" s="65">
        <v>911165</v>
      </c>
      <c r="M4298" t="s">
        <v>3231</v>
      </c>
    </row>
    <row r="4299" spans="12:13">
      <c r="L4299" s="65">
        <v>911200</v>
      </c>
      <c r="M4299" t="s">
        <v>3232</v>
      </c>
    </row>
    <row r="4300" spans="12:13">
      <c r="L4300" s="65">
        <v>911220</v>
      </c>
      <c r="M4300" t="s">
        <v>3233</v>
      </c>
    </row>
    <row r="4301" spans="12:13">
      <c r="L4301" s="65">
        <v>911221</v>
      </c>
      <c r="M4301" t="s">
        <v>3233</v>
      </c>
    </row>
    <row r="4302" spans="12:13">
      <c r="L4302" s="65">
        <v>911230</v>
      </c>
      <c r="M4302" t="s">
        <v>3234</v>
      </c>
    </row>
    <row r="4303" spans="12:13">
      <c r="L4303" s="65">
        <v>911231</v>
      </c>
      <c r="M4303" t="s">
        <v>3235</v>
      </c>
    </row>
    <row r="4304" spans="12:13">
      <c r="L4304" s="65">
        <v>911232</v>
      </c>
      <c r="M4304" t="s">
        <v>3236</v>
      </c>
    </row>
    <row r="4305" spans="12:13">
      <c r="L4305" s="65">
        <v>911240</v>
      </c>
      <c r="M4305" t="s">
        <v>3237</v>
      </c>
    </row>
    <row r="4306" spans="12:13">
      <c r="L4306" s="65">
        <v>911241</v>
      </c>
      <c r="M4306" t="s">
        <v>3237</v>
      </c>
    </row>
    <row r="4307" spans="12:13">
      <c r="L4307" s="65">
        <v>911250</v>
      </c>
      <c r="M4307" t="s">
        <v>3238</v>
      </c>
    </row>
    <row r="4308" spans="12:13">
      <c r="L4308" s="65">
        <v>911251</v>
      </c>
      <c r="M4308" t="s">
        <v>3238</v>
      </c>
    </row>
    <row r="4309" spans="12:13">
      <c r="L4309" s="65">
        <v>911260</v>
      </c>
      <c r="M4309" t="s">
        <v>3239</v>
      </c>
    </row>
    <row r="4310" spans="12:13">
      <c r="L4310" s="65">
        <v>911261</v>
      </c>
      <c r="M4310" t="s">
        <v>3240</v>
      </c>
    </row>
    <row r="4311" spans="12:13">
      <c r="L4311" s="65">
        <v>911262</v>
      </c>
      <c r="M4311" t="s">
        <v>3241</v>
      </c>
    </row>
    <row r="4312" spans="12:13">
      <c r="L4312" s="65">
        <v>911265</v>
      </c>
      <c r="M4312" t="s">
        <v>3242</v>
      </c>
    </row>
    <row r="4313" spans="12:13">
      <c r="L4313" s="65">
        <v>911300</v>
      </c>
      <c r="M4313" t="s">
        <v>3243</v>
      </c>
    </row>
    <row r="4314" spans="12:13">
      <c r="L4314" s="65">
        <v>911320</v>
      </c>
      <c r="M4314" t="s">
        <v>3244</v>
      </c>
    </row>
    <row r="4315" spans="12:13">
      <c r="L4315" s="65">
        <v>911321</v>
      </c>
      <c r="M4315" t="s">
        <v>3244</v>
      </c>
    </row>
    <row r="4316" spans="12:13">
      <c r="L4316" s="65">
        <v>911330</v>
      </c>
      <c r="M4316" t="s">
        <v>3245</v>
      </c>
    </row>
    <row r="4317" spans="12:13">
      <c r="L4317" s="65">
        <v>911331</v>
      </c>
      <c r="M4317" t="s">
        <v>3245</v>
      </c>
    </row>
    <row r="4318" spans="12:13">
      <c r="L4318" s="65">
        <v>911340</v>
      </c>
      <c r="M4318" t="s">
        <v>3246</v>
      </c>
    </row>
    <row r="4319" spans="12:13">
      <c r="L4319" s="65">
        <v>911341</v>
      </c>
      <c r="M4319" t="s">
        <v>3246</v>
      </c>
    </row>
    <row r="4320" spans="12:13">
      <c r="L4320" s="65">
        <v>911350</v>
      </c>
      <c r="M4320" t="s">
        <v>3247</v>
      </c>
    </row>
    <row r="4321" spans="12:13">
      <c r="L4321" s="65">
        <v>911351</v>
      </c>
      <c r="M4321" t="s">
        <v>3247</v>
      </c>
    </row>
    <row r="4322" spans="12:13">
      <c r="L4322" s="65">
        <v>911360</v>
      </c>
      <c r="M4322" t="s">
        <v>3248</v>
      </c>
    </row>
    <row r="4323" spans="12:13">
      <c r="L4323" s="65">
        <v>911361</v>
      </c>
      <c r="M4323" t="s">
        <v>3249</v>
      </c>
    </row>
    <row r="4324" spans="12:13">
      <c r="L4324" s="65">
        <v>911362</v>
      </c>
      <c r="M4324" t="s">
        <v>3250</v>
      </c>
    </row>
    <row r="4325" spans="12:13">
      <c r="L4325" s="65">
        <v>911365</v>
      </c>
      <c r="M4325" t="s">
        <v>3251</v>
      </c>
    </row>
    <row r="4326" spans="12:13">
      <c r="L4326" s="65">
        <v>911400</v>
      </c>
      <c r="M4326" t="s">
        <v>3252</v>
      </c>
    </row>
    <row r="4327" spans="12:13">
      <c r="L4327" s="65">
        <v>911420</v>
      </c>
      <c r="M4327" t="s">
        <v>3253</v>
      </c>
    </row>
    <row r="4328" spans="12:13">
      <c r="L4328" s="65">
        <v>911421</v>
      </c>
      <c r="M4328" t="s">
        <v>3253</v>
      </c>
    </row>
    <row r="4329" spans="12:13">
      <c r="L4329" s="65">
        <v>911430</v>
      </c>
      <c r="M4329" t="s">
        <v>3254</v>
      </c>
    </row>
    <row r="4330" spans="12:13">
      <c r="L4330" s="65">
        <v>911431</v>
      </c>
      <c r="M4330" t="s">
        <v>3255</v>
      </c>
    </row>
    <row r="4331" spans="12:13">
      <c r="L4331" s="65">
        <v>911432</v>
      </c>
      <c r="M4331" t="s">
        <v>3256</v>
      </c>
    </row>
    <row r="4332" spans="12:13">
      <c r="L4332" s="65">
        <v>911440</v>
      </c>
      <c r="M4332" t="s">
        <v>3257</v>
      </c>
    </row>
    <row r="4333" spans="12:13">
      <c r="L4333" s="65">
        <v>911441</v>
      </c>
      <c r="M4333" t="s">
        <v>3257</v>
      </c>
    </row>
    <row r="4334" spans="12:13">
      <c r="L4334" s="65">
        <v>911450</v>
      </c>
      <c r="M4334" t="s">
        <v>3259</v>
      </c>
    </row>
    <row r="4335" spans="12:13">
      <c r="L4335" s="65">
        <v>911451</v>
      </c>
      <c r="M4335" t="s">
        <v>3259</v>
      </c>
    </row>
    <row r="4336" spans="12:13">
      <c r="L4336" s="65">
        <v>911460</v>
      </c>
      <c r="M4336" t="s">
        <v>3260</v>
      </c>
    </row>
    <row r="4337" spans="12:13">
      <c r="L4337" s="65">
        <v>911461</v>
      </c>
      <c r="M4337" t="s">
        <v>3261</v>
      </c>
    </row>
    <row r="4338" spans="12:13">
      <c r="L4338" s="65">
        <v>911462</v>
      </c>
      <c r="M4338" t="s">
        <v>3262</v>
      </c>
    </row>
    <row r="4339" spans="12:13">
      <c r="L4339" s="65">
        <v>911465</v>
      </c>
      <c r="M4339" t="s">
        <v>3263</v>
      </c>
    </row>
    <row r="4340" spans="12:13">
      <c r="L4340" s="65">
        <v>911500</v>
      </c>
      <c r="M4340" t="s">
        <v>3264</v>
      </c>
    </row>
    <row r="4341" spans="12:13">
      <c r="L4341" s="65">
        <v>911520</v>
      </c>
      <c r="M4341" t="s">
        <v>3265</v>
      </c>
    </row>
    <row r="4342" spans="12:13">
      <c r="L4342" s="65">
        <v>911521</v>
      </c>
      <c r="M4342" t="s">
        <v>3265</v>
      </c>
    </row>
    <row r="4343" spans="12:13">
      <c r="L4343" s="65">
        <v>911530</v>
      </c>
      <c r="M4343" t="s">
        <v>3266</v>
      </c>
    </row>
    <row r="4344" spans="12:13">
      <c r="L4344" s="65">
        <v>911531</v>
      </c>
      <c r="M4344" t="s">
        <v>3267</v>
      </c>
    </row>
    <row r="4345" spans="12:13">
      <c r="L4345" s="65">
        <v>911532</v>
      </c>
      <c r="M4345" t="s">
        <v>3268</v>
      </c>
    </row>
    <row r="4346" spans="12:13">
      <c r="L4346" s="65">
        <v>911540</v>
      </c>
      <c r="M4346" t="s">
        <v>3269</v>
      </c>
    </row>
    <row r="4347" spans="12:13">
      <c r="L4347" s="65">
        <v>911541</v>
      </c>
      <c r="M4347" t="s">
        <v>3269</v>
      </c>
    </row>
    <row r="4348" spans="12:13">
      <c r="L4348" s="65">
        <v>911550</v>
      </c>
      <c r="M4348" t="s">
        <v>3270</v>
      </c>
    </row>
    <row r="4349" spans="12:13">
      <c r="L4349" s="65">
        <v>911551</v>
      </c>
      <c r="M4349" t="s">
        <v>3270</v>
      </c>
    </row>
    <row r="4350" spans="12:13">
      <c r="L4350" s="65">
        <v>911560</v>
      </c>
      <c r="M4350" t="s">
        <v>3271</v>
      </c>
    </row>
    <row r="4351" spans="12:13">
      <c r="L4351" s="65">
        <v>911561</v>
      </c>
      <c r="M4351" t="s">
        <v>3272</v>
      </c>
    </row>
    <row r="4352" spans="12:13">
      <c r="L4352" s="65">
        <v>911562</v>
      </c>
      <c r="M4352" t="s">
        <v>3273</v>
      </c>
    </row>
    <row r="4353" spans="12:13">
      <c r="L4353" s="65">
        <v>911565</v>
      </c>
      <c r="M4353" t="s">
        <v>3274</v>
      </c>
    </row>
    <row r="4354" spans="12:13">
      <c r="L4354" s="65">
        <v>911600</v>
      </c>
      <c r="M4354" t="s">
        <v>3275</v>
      </c>
    </row>
    <row r="4355" spans="12:13">
      <c r="L4355" s="65">
        <v>911620</v>
      </c>
      <c r="M4355" t="s">
        <v>3276</v>
      </c>
    </row>
    <row r="4356" spans="12:13">
      <c r="L4356" s="65">
        <v>911621</v>
      </c>
      <c r="M4356" t="s">
        <v>3276</v>
      </c>
    </row>
    <row r="4357" spans="12:13">
      <c r="L4357" s="65">
        <v>911630</v>
      </c>
      <c r="M4357" t="s">
        <v>3277</v>
      </c>
    </row>
    <row r="4358" spans="12:13">
      <c r="L4358" s="65">
        <v>911631</v>
      </c>
      <c r="M4358" t="s">
        <v>3277</v>
      </c>
    </row>
    <row r="4359" spans="12:13">
      <c r="L4359" s="65">
        <v>911640</v>
      </c>
      <c r="M4359" t="s">
        <v>3278</v>
      </c>
    </row>
    <row r="4360" spans="12:13">
      <c r="L4360" s="65">
        <v>911641</v>
      </c>
      <c r="M4360" t="s">
        <v>3278</v>
      </c>
    </row>
    <row r="4361" spans="12:13">
      <c r="L4361" s="65">
        <v>911650</v>
      </c>
      <c r="M4361" t="s">
        <v>3279</v>
      </c>
    </row>
    <row r="4362" spans="12:13">
      <c r="L4362" s="65">
        <v>911651</v>
      </c>
      <c r="M4362" t="s">
        <v>3279</v>
      </c>
    </row>
    <row r="4363" spans="12:13">
      <c r="L4363" s="65">
        <v>911660</v>
      </c>
      <c r="M4363" t="s">
        <v>3280</v>
      </c>
    </row>
    <row r="4364" spans="12:13">
      <c r="L4364" s="65">
        <v>911661</v>
      </c>
      <c r="M4364" t="s">
        <v>3281</v>
      </c>
    </row>
    <row r="4365" spans="12:13">
      <c r="L4365" s="65">
        <v>911662</v>
      </c>
      <c r="M4365" t="s">
        <v>3282</v>
      </c>
    </row>
    <row r="4366" spans="12:13">
      <c r="L4366" s="65">
        <v>911665</v>
      </c>
      <c r="M4366" t="s">
        <v>3283</v>
      </c>
    </row>
    <row r="4367" spans="12:13">
      <c r="L4367" s="65">
        <v>911700</v>
      </c>
      <c r="M4367" t="s">
        <v>3284</v>
      </c>
    </row>
    <row r="4368" spans="12:13">
      <c r="L4368" s="65">
        <v>911720</v>
      </c>
      <c r="M4368" t="s">
        <v>3285</v>
      </c>
    </row>
    <row r="4369" spans="12:13">
      <c r="L4369" s="65">
        <v>911721</v>
      </c>
      <c r="M4369" t="s">
        <v>3285</v>
      </c>
    </row>
    <row r="4370" spans="12:13">
      <c r="L4370" s="65">
        <v>911730</v>
      </c>
      <c r="M4370" t="s">
        <v>3286</v>
      </c>
    </row>
    <row r="4371" spans="12:13">
      <c r="L4371" s="65">
        <v>911731</v>
      </c>
      <c r="M4371" t="s">
        <v>3286</v>
      </c>
    </row>
    <row r="4372" spans="12:13">
      <c r="L4372" s="65">
        <v>911740</v>
      </c>
      <c r="M4372" t="s">
        <v>3287</v>
      </c>
    </row>
    <row r="4373" spans="12:13">
      <c r="L4373" s="65">
        <v>911741</v>
      </c>
      <c r="M4373" t="s">
        <v>3287</v>
      </c>
    </row>
    <row r="4374" spans="12:13">
      <c r="L4374" s="65">
        <v>911750</v>
      </c>
      <c r="M4374" t="s">
        <v>3288</v>
      </c>
    </row>
    <row r="4375" spans="12:13">
      <c r="L4375" s="65">
        <v>911751</v>
      </c>
      <c r="M4375" t="s">
        <v>3288</v>
      </c>
    </row>
    <row r="4376" spans="12:13">
      <c r="L4376" s="65">
        <v>911760</v>
      </c>
      <c r="M4376" t="s">
        <v>3289</v>
      </c>
    </row>
    <row r="4377" spans="12:13">
      <c r="L4377" s="65">
        <v>911761</v>
      </c>
      <c r="M4377" t="s">
        <v>3290</v>
      </c>
    </row>
    <row r="4378" spans="12:13">
      <c r="L4378" s="65">
        <v>911762</v>
      </c>
      <c r="M4378" t="s">
        <v>3291</v>
      </c>
    </row>
    <row r="4379" spans="12:13">
      <c r="L4379" s="65">
        <v>911765</v>
      </c>
      <c r="M4379" t="s">
        <v>3292</v>
      </c>
    </row>
    <row r="4380" spans="12:13">
      <c r="L4380" s="65">
        <v>911800</v>
      </c>
      <c r="M4380" t="s">
        <v>3293</v>
      </c>
    </row>
    <row r="4381" spans="12:13">
      <c r="L4381" s="65">
        <v>911820</v>
      </c>
      <c r="M4381" t="s">
        <v>3294</v>
      </c>
    </row>
    <row r="4382" spans="12:13">
      <c r="L4382" s="65">
        <v>911821</v>
      </c>
      <c r="M4382" t="s">
        <v>3294</v>
      </c>
    </row>
    <row r="4383" spans="12:13">
      <c r="L4383" s="65">
        <v>911830</v>
      </c>
      <c r="M4383" t="s">
        <v>3295</v>
      </c>
    </row>
    <row r="4384" spans="12:13">
      <c r="L4384" s="65">
        <v>911831</v>
      </c>
      <c r="M4384" t="s">
        <v>3296</v>
      </c>
    </row>
    <row r="4385" spans="12:13">
      <c r="L4385" s="65">
        <v>911832</v>
      </c>
      <c r="M4385" t="s">
        <v>3297</v>
      </c>
    </row>
    <row r="4386" spans="12:13">
      <c r="L4386" s="65">
        <v>911840</v>
      </c>
      <c r="M4386" t="s">
        <v>3298</v>
      </c>
    </row>
    <row r="4387" spans="12:13">
      <c r="L4387" s="65">
        <v>911841</v>
      </c>
      <c r="M4387" t="s">
        <v>3298</v>
      </c>
    </row>
    <row r="4388" spans="12:13">
      <c r="L4388" s="65">
        <v>911850</v>
      </c>
      <c r="M4388" t="s">
        <v>3299</v>
      </c>
    </row>
    <row r="4389" spans="12:13">
      <c r="L4389" s="65">
        <v>911851</v>
      </c>
      <c r="M4389" t="s">
        <v>3299</v>
      </c>
    </row>
    <row r="4390" spans="12:13">
      <c r="L4390" s="65">
        <v>911860</v>
      </c>
      <c r="M4390" t="s">
        <v>3300</v>
      </c>
    </row>
    <row r="4391" spans="12:13">
      <c r="L4391" s="65">
        <v>911861</v>
      </c>
      <c r="M4391" t="s">
        <v>3301</v>
      </c>
    </row>
    <row r="4392" spans="12:13">
      <c r="L4392" s="65">
        <v>911862</v>
      </c>
      <c r="M4392" t="s">
        <v>3302</v>
      </c>
    </row>
    <row r="4393" spans="12:13">
      <c r="L4393" s="65">
        <v>911865</v>
      </c>
      <c r="M4393" t="s">
        <v>3303</v>
      </c>
    </row>
    <row r="4394" spans="12:13">
      <c r="L4394" s="65">
        <v>911900</v>
      </c>
      <c r="M4394" t="s">
        <v>1985</v>
      </c>
    </row>
    <row r="4395" spans="12:13">
      <c r="L4395" s="65">
        <v>911920</v>
      </c>
      <c r="M4395" t="s">
        <v>3304</v>
      </c>
    </row>
    <row r="4396" spans="12:13">
      <c r="L4396" s="65">
        <v>911921</v>
      </c>
      <c r="M4396" t="s">
        <v>3304</v>
      </c>
    </row>
    <row r="4397" spans="12:13">
      <c r="L4397" s="65">
        <v>911930</v>
      </c>
      <c r="M4397" t="s">
        <v>3305</v>
      </c>
    </row>
    <row r="4398" spans="12:13">
      <c r="L4398" s="65">
        <v>911931</v>
      </c>
      <c r="M4398" t="s">
        <v>3306</v>
      </c>
    </row>
    <row r="4399" spans="12:13">
      <c r="L4399" s="65">
        <v>911932</v>
      </c>
      <c r="M4399" t="s">
        <v>3307</v>
      </c>
    </row>
    <row r="4400" spans="12:13">
      <c r="L4400" s="65">
        <v>911940</v>
      </c>
      <c r="M4400" t="s">
        <v>3308</v>
      </c>
    </row>
    <row r="4401" spans="12:13">
      <c r="L4401" s="65">
        <v>911941</v>
      </c>
      <c r="M4401" t="s">
        <v>3308</v>
      </c>
    </row>
    <row r="4402" spans="12:13">
      <c r="L4402" s="65">
        <v>911950</v>
      </c>
      <c r="M4402" t="s">
        <v>3309</v>
      </c>
    </row>
    <row r="4403" spans="12:13">
      <c r="L4403" s="65">
        <v>911951</v>
      </c>
      <c r="M4403" t="s">
        <v>3309</v>
      </c>
    </row>
    <row r="4404" spans="12:13">
      <c r="L4404" s="65">
        <v>911960</v>
      </c>
      <c r="M4404" t="s">
        <v>3310</v>
      </c>
    </row>
    <row r="4405" spans="12:13">
      <c r="L4405" s="65">
        <v>911961</v>
      </c>
      <c r="M4405" t="s">
        <v>3311</v>
      </c>
    </row>
    <row r="4406" spans="12:13">
      <c r="L4406" s="65">
        <v>911962</v>
      </c>
      <c r="M4406" t="s">
        <v>3312</v>
      </c>
    </row>
    <row r="4407" spans="12:13">
      <c r="L4407" s="65">
        <v>911965</v>
      </c>
      <c r="M4407" t="s">
        <v>3313</v>
      </c>
    </row>
    <row r="4408" spans="12:13">
      <c r="L4408" s="65">
        <v>912000</v>
      </c>
      <c r="M4408" t="s">
        <v>3314</v>
      </c>
    </row>
    <row r="4409" spans="12:13">
      <c r="L4409" s="65">
        <v>912100</v>
      </c>
      <c r="M4409" t="s">
        <v>3315</v>
      </c>
    </row>
    <row r="4410" spans="12:13">
      <c r="L4410" s="65">
        <v>912120</v>
      </c>
      <c r="M4410" t="s">
        <v>3316</v>
      </c>
    </row>
    <row r="4411" spans="12:13">
      <c r="L4411" s="65">
        <v>912121</v>
      </c>
      <c r="M4411" t="s">
        <v>3316</v>
      </c>
    </row>
    <row r="4412" spans="12:13">
      <c r="L4412" s="65">
        <v>912130</v>
      </c>
      <c r="M4412" t="s">
        <v>3317</v>
      </c>
    </row>
    <row r="4413" spans="12:13">
      <c r="L4413" s="65">
        <v>912131</v>
      </c>
      <c r="M4413" t="s">
        <v>3317</v>
      </c>
    </row>
    <row r="4414" spans="12:13">
      <c r="L4414" s="65">
        <v>912140</v>
      </c>
      <c r="M4414" t="s">
        <v>3318</v>
      </c>
    </row>
    <row r="4415" spans="12:13">
      <c r="L4415" s="65">
        <v>912141</v>
      </c>
      <c r="M4415" t="s">
        <v>3319</v>
      </c>
    </row>
    <row r="4416" spans="12:13">
      <c r="L4416" s="65">
        <v>912150</v>
      </c>
      <c r="M4416" t="s">
        <v>3320</v>
      </c>
    </row>
    <row r="4417" spans="12:13">
      <c r="L4417" s="65">
        <v>912151</v>
      </c>
      <c r="M4417" t="s">
        <v>3320</v>
      </c>
    </row>
    <row r="4418" spans="12:13">
      <c r="L4418" s="65">
        <v>912160</v>
      </c>
      <c r="M4418" t="s">
        <v>3321</v>
      </c>
    </row>
    <row r="4419" spans="12:13">
      <c r="L4419" s="65">
        <v>912161</v>
      </c>
      <c r="M4419" t="s">
        <v>3322</v>
      </c>
    </row>
    <row r="4420" spans="12:13">
      <c r="L4420" s="65">
        <v>912162</v>
      </c>
      <c r="M4420" t="s">
        <v>3323</v>
      </c>
    </row>
    <row r="4421" spans="12:13">
      <c r="L4421" s="65">
        <v>912165</v>
      </c>
      <c r="M4421" t="s">
        <v>3324</v>
      </c>
    </row>
    <row r="4422" spans="12:13">
      <c r="L4422" s="65">
        <v>912200</v>
      </c>
      <c r="M4422" t="s">
        <v>3325</v>
      </c>
    </row>
    <row r="4423" spans="12:13">
      <c r="L4423" s="65">
        <v>912220</v>
      </c>
      <c r="M4423" t="s">
        <v>3326</v>
      </c>
    </row>
    <row r="4424" spans="12:13">
      <c r="L4424" s="65">
        <v>912221</v>
      </c>
      <c r="M4424" t="s">
        <v>3326</v>
      </c>
    </row>
    <row r="4425" spans="12:13">
      <c r="L4425" s="65">
        <v>912230</v>
      </c>
      <c r="M4425" t="s">
        <v>3327</v>
      </c>
    </row>
    <row r="4426" spans="12:13">
      <c r="L4426" s="65">
        <v>912231</v>
      </c>
      <c r="M4426" t="s">
        <v>3328</v>
      </c>
    </row>
    <row r="4427" spans="12:13">
      <c r="L4427" s="65">
        <v>912232</v>
      </c>
      <c r="M4427" t="s">
        <v>3329</v>
      </c>
    </row>
    <row r="4428" spans="12:13">
      <c r="L4428" s="65">
        <v>912240</v>
      </c>
      <c r="M4428" t="s">
        <v>3330</v>
      </c>
    </row>
    <row r="4429" spans="12:13">
      <c r="L4429" s="65">
        <v>912241</v>
      </c>
      <c r="M4429" t="s">
        <v>3330</v>
      </c>
    </row>
    <row r="4430" spans="12:13">
      <c r="L4430" s="65">
        <v>912250</v>
      </c>
      <c r="M4430" t="s">
        <v>3331</v>
      </c>
    </row>
    <row r="4431" spans="12:13">
      <c r="L4431" s="65">
        <v>912251</v>
      </c>
      <c r="M4431" t="s">
        <v>3331</v>
      </c>
    </row>
    <row r="4432" spans="12:13">
      <c r="L4432" s="65">
        <v>912260</v>
      </c>
      <c r="M4432" t="s">
        <v>3332</v>
      </c>
    </row>
    <row r="4433" spans="12:13">
      <c r="L4433" s="65">
        <v>912261</v>
      </c>
      <c r="M4433" t="s">
        <v>3333</v>
      </c>
    </row>
    <row r="4434" spans="12:13">
      <c r="L4434" s="65">
        <v>912262</v>
      </c>
      <c r="M4434" t="s">
        <v>3334</v>
      </c>
    </row>
    <row r="4435" spans="12:13">
      <c r="L4435" s="65">
        <v>912265</v>
      </c>
      <c r="M4435" t="s">
        <v>3335</v>
      </c>
    </row>
    <row r="4436" spans="12:13">
      <c r="L4436" s="65">
        <v>912300</v>
      </c>
      <c r="M4436" t="s">
        <v>3336</v>
      </c>
    </row>
    <row r="4437" spans="12:13">
      <c r="L4437" s="65">
        <v>912320</v>
      </c>
      <c r="M4437" t="s">
        <v>3337</v>
      </c>
    </row>
    <row r="4438" spans="12:13">
      <c r="L4438" s="65">
        <v>912321</v>
      </c>
      <c r="M4438" t="s">
        <v>3337</v>
      </c>
    </row>
    <row r="4439" spans="12:13">
      <c r="L4439" s="65">
        <v>912330</v>
      </c>
      <c r="M4439" t="s">
        <v>3338</v>
      </c>
    </row>
    <row r="4440" spans="12:13">
      <c r="L4440" s="65">
        <v>912331</v>
      </c>
      <c r="M4440" t="s">
        <v>3339</v>
      </c>
    </row>
    <row r="4441" spans="12:13">
      <c r="L4441" s="65">
        <v>912332</v>
      </c>
      <c r="M4441" t="s">
        <v>3340</v>
      </c>
    </row>
    <row r="4442" spans="12:13">
      <c r="L4442" s="65">
        <v>912340</v>
      </c>
      <c r="M4442" t="s">
        <v>3341</v>
      </c>
    </row>
    <row r="4443" spans="12:13">
      <c r="L4443" s="65">
        <v>912341</v>
      </c>
      <c r="M4443" t="s">
        <v>3341</v>
      </c>
    </row>
    <row r="4444" spans="12:13">
      <c r="L4444" s="65">
        <v>912350</v>
      </c>
      <c r="M4444" t="s">
        <v>3342</v>
      </c>
    </row>
    <row r="4445" spans="12:13">
      <c r="L4445" s="65">
        <v>912351</v>
      </c>
      <c r="M4445" t="s">
        <v>3342</v>
      </c>
    </row>
    <row r="4446" spans="12:13">
      <c r="L4446" s="65">
        <v>912360</v>
      </c>
      <c r="M4446" t="s">
        <v>3343</v>
      </c>
    </row>
    <row r="4447" spans="12:13">
      <c r="L4447" s="65">
        <v>912361</v>
      </c>
      <c r="M4447" t="s">
        <v>3344</v>
      </c>
    </row>
    <row r="4448" spans="12:13">
      <c r="L4448" s="65">
        <v>912362</v>
      </c>
      <c r="M4448" t="s">
        <v>3345</v>
      </c>
    </row>
    <row r="4449" spans="12:13">
      <c r="L4449" s="65">
        <v>912365</v>
      </c>
      <c r="M4449" t="s">
        <v>3346</v>
      </c>
    </row>
    <row r="4450" spans="12:13">
      <c r="L4450" s="65">
        <v>912400</v>
      </c>
      <c r="M4450" t="s">
        <v>3347</v>
      </c>
    </row>
    <row r="4451" spans="12:13">
      <c r="L4451" s="65">
        <v>912420</v>
      </c>
      <c r="M4451" t="s">
        <v>3348</v>
      </c>
    </row>
    <row r="4452" spans="12:13">
      <c r="L4452" s="65">
        <v>912421</v>
      </c>
      <c r="M4452" t="s">
        <v>3348</v>
      </c>
    </row>
    <row r="4453" spans="12:13">
      <c r="L4453" s="65">
        <v>912430</v>
      </c>
      <c r="M4453" t="s">
        <v>3349</v>
      </c>
    </row>
    <row r="4454" spans="12:13">
      <c r="L4454" s="65">
        <v>912431</v>
      </c>
      <c r="M4454" t="s">
        <v>3350</v>
      </c>
    </row>
    <row r="4455" spans="12:13">
      <c r="L4455" s="65">
        <v>912432</v>
      </c>
      <c r="M4455" t="s">
        <v>3351</v>
      </c>
    </row>
    <row r="4456" spans="12:13">
      <c r="L4456" s="65">
        <v>912440</v>
      </c>
      <c r="M4456" t="s">
        <v>3352</v>
      </c>
    </row>
    <row r="4457" spans="12:13">
      <c r="L4457" s="65">
        <v>912441</v>
      </c>
      <c r="M4457" t="s">
        <v>3352</v>
      </c>
    </row>
    <row r="4458" spans="12:13">
      <c r="L4458" s="65">
        <v>912450</v>
      </c>
      <c r="M4458" t="s">
        <v>3353</v>
      </c>
    </row>
    <row r="4459" spans="12:13">
      <c r="L4459" s="65">
        <v>912451</v>
      </c>
      <c r="M4459" t="s">
        <v>3353</v>
      </c>
    </row>
    <row r="4460" spans="12:13">
      <c r="L4460" s="65">
        <v>912460</v>
      </c>
      <c r="M4460" t="s">
        <v>3354</v>
      </c>
    </row>
    <row r="4461" spans="12:13">
      <c r="L4461" s="65">
        <v>912461</v>
      </c>
      <c r="M4461" t="s">
        <v>3355</v>
      </c>
    </row>
    <row r="4462" spans="12:13">
      <c r="L4462" s="65">
        <v>912462</v>
      </c>
      <c r="M4462" t="s">
        <v>3356</v>
      </c>
    </row>
    <row r="4463" spans="12:13">
      <c r="L4463" s="65">
        <v>912465</v>
      </c>
      <c r="M4463" t="s">
        <v>3357</v>
      </c>
    </row>
    <row r="4464" spans="12:13">
      <c r="L4464" s="65">
        <v>912500</v>
      </c>
      <c r="M4464" t="s">
        <v>3358</v>
      </c>
    </row>
    <row r="4465" spans="12:13">
      <c r="L4465" s="65">
        <v>912520</v>
      </c>
      <c r="M4465" t="s">
        <v>3359</v>
      </c>
    </row>
    <row r="4466" spans="12:13">
      <c r="L4466" s="65">
        <v>912521</v>
      </c>
      <c r="M4466" t="s">
        <v>3359</v>
      </c>
    </row>
    <row r="4467" spans="12:13">
      <c r="L4467" s="65">
        <v>912530</v>
      </c>
      <c r="M4467" t="s">
        <v>3360</v>
      </c>
    </row>
    <row r="4468" spans="12:13">
      <c r="L4468" s="65">
        <v>912531</v>
      </c>
      <c r="M4468" t="s">
        <v>3361</v>
      </c>
    </row>
    <row r="4469" spans="12:13">
      <c r="L4469" s="65">
        <v>912532</v>
      </c>
      <c r="M4469" t="s">
        <v>3362</v>
      </c>
    </row>
    <row r="4470" spans="12:13">
      <c r="L4470" s="65">
        <v>912540</v>
      </c>
      <c r="M4470" t="s">
        <v>3363</v>
      </c>
    </row>
    <row r="4471" spans="12:13">
      <c r="L4471" s="65">
        <v>912541</v>
      </c>
      <c r="M4471" t="s">
        <v>3363</v>
      </c>
    </row>
    <row r="4472" spans="12:13">
      <c r="L4472" s="65">
        <v>912550</v>
      </c>
      <c r="M4472" t="s">
        <v>3364</v>
      </c>
    </row>
    <row r="4473" spans="12:13">
      <c r="L4473" s="65">
        <v>912551</v>
      </c>
      <c r="M4473" t="s">
        <v>3364</v>
      </c>
    </row>
    <row r="4474" spans="12:13">
      <c r="L4474" s="65">
        <v>912560</v>
      </c>
      <c r="M4474" t="s">
        <v>3365</v>
      </c>
    </row>
    <row r="4475" spans="12:13">
      <c r="L4475" s="65">
        <v>912561</v>
      </c>
      <c r="M4475" t="s">
        <v>3366</v>
      </c>
    </row>
    <row r="4476" spans="12:13">
      <c r="L4476" s="65">
        <v>912562</v>
      </c>
      <c r="M4476" t="s">
        <v>3367</v>
      </c>
    </row>
    <row r="4477" spans="12:13">
      <c r="L4477" s="65">
        <v>912565</v>
      </c>
      <c r="M4477" t="s">
        <v>3368</v>
      </c>
    </row>
    <row r="4478" spans="12:13">
      <c r="L4478" s="65">
        <v>912600</v>
      </c>
      <c r="M4478" t="s">
        <v>3369</v>
      </c>
    </row>
    <row r="4479" spans="12:13">
      <c r="L4479" s="65">
        <v>912620</v>
      </c>
      <c r="M4479" t="s">
        <v>3370</v>
      </c>
    </row>
    <row r="4480" spans="12:13">
      <c r="L4480" s="65">
        <v>912621</v>
      </c>
      <c r="M4480" t="s">
        <v>3370</v>
      </c>
    </row>
    <row r="4481" spans="12:13">
      <c r="L4481" s="65">
        <v>912630</v>
      </c>
      <c r="M4481" t="s">
        <v>3371</v>
      </c>
    </row>
    <row r="4482" spans="12:13">
      <c r="L4482" s="65">
        <v>912631</v>
      </c>
      <c r="M4482" t="s">
        <v>3371</v>
      </c>
    </row>
    <row r="4483" spans="12:13">
      <c r="L4483" s="65">
        <v>912640</v>
      </c>
      <c r="M4483" t="s">
        <v>3372</v>
      </c>
    </row>
    <row r="4484" spans="12:13">
      <c r="L4484" s="65">
        <v>912641</v>
      </c>
      <c r="M4484" t="s">
        <v>3372</v>
      </c>
    </row>
    <row r="4485" spans="12:13">
      <c r="L4485" s="65">
        <v>912650</v>
      </c>
      <c r="M4485" t="s">
        <v>3373</v>
      </c>
    </row>
    <row r="4486" spans="12:13">
      <c r="L4486" s="65">
        <v>912651</v>
      </c>
      <c r="M4486" t="s">
        <v>3373</v>
      </c>
    </row>
    <row r="4487" spans="12:13">
      <c r="L4487" s="65">
        <v>912660</v>
      </c>
      <c r="M4487" t="s">
        <v>3374</v>
      </c>
    </row>
    <row r="4488" spans="12:13">
      <c r="L4488" s="65">
        <v>912661</v>
      </c>
      <c r="M4488" t="s">
        <v>3375</v>
      </c>
    </row>
    <row r="4489" spans="12:13">
      <c r="L4489" s="65">
        <v>912662</v>
      </c>
      <c r="M4489" t="s">
        <v>3376</v>
      </c>
    </row>
    <row r="4490" spans="12:13">
      <c r="L4490" s="65">
        <v>912665</v>
      </c>
      <c r="M4490" t="s">
        <v>3377</v>
      </c>
    </row>
    <row r="4491" spans="12:13">
      <c r="L4491" s="65">
        <v>912900</v>
      </c>
      <c r="M4491" t="s">
        <v>1993</v>
      </c>
    </row>
    <row r="4492" spans="12:13">
      <c r="L4492" s="65">
        <v>912920</v>
      </c>
      <c r="M4492" t="s">
        <v>3378</v>
      </c>
    </row>
    <row r="4493" spans="12:13">
      <c r="L4493" s="65">
        <v>912921</v>
      </c>
      <c r="M4493" t="s">
        <v>3378</v>
      </c>
    </row>
    <row r="4494" spans="12:13">
      <c r="L4494" s="65">
        <v>912930</v>
      </c>
      <c r="M4494" t="s">
        <v>3379</v>
      </c>
    </row>
    <row r="4495" spans="12:13">
      <c r="L4495" s="65">
        <v>912931</v>
      </c>
      <c r="M4495" t="s">
        <v>3380</v>
      </c>
    </row>
    <row r="4496" spans="12:13">
      <c r="L4496" s="65">
        <v>912932</v>
      </c>
      <c r="M4496" t="s">
        <v>3381</v>
      </c>
    </row>
    <row r="4497" spans="12:13">
      <c r="L4497" s="65">
        <v>912940</v>
      </c>
      <c r="M4497" t="s">
        <v>3382</v>
      </c>
    </row>
    <row r="4498" spans="12:13">
      <c r="L4498" s="65">
        <v>912941</v>
      </c>
      <c r="M4498" t="s">
        <v>3382</v>
      </c>
    </row>
    <row r="4499" spans="12:13">
      <c r="L4499" s="65">
        <v>912950</v>
      </c>
      <c r="M4499" t="s">
        <v>3383</v>
      </c>
    </row>
    <row r="4500" spans="12:13">
      <c r="L4500" s="65">
        <v>912951</v>
      </c>
      <c r="M4500" t="s">
        <v>3383</v>
      </c>
    </row>
    <row r="4501" spans="12:13">
      <c r="L4501" s="65">
        <v>912960</v>
      </c>
      <c r="M4501" t="s">
        <v>3384</v>
      </c>
    </row>
    <row r="4502" spans="12:13">
      <c r="L4502" s="65">
        <v>912961</v>
      </c>
      <c r="M4502" t="s">
        <v>3385</v>
      </c>
    </row>
    <row r="4503" spans="12:13">
      <c r="L4503" s="65">
        <v>912962</v>
      </c>
      <c r="M4503" t="s">
        <v>3386</v>
      </c>
    </row>
    <row r="4504" spans="12:13">
      <c r="L4504" s="65">
        <v>912965</v>
      </c>
      <c r="M4504" t="s">
        <v>3387</v>
      </c>
    </row>
    <row r="4505" spans="12:13">
      <c r="L4505" s="65">
        <v>920000</v>
      </c>
      <c r="M4505" t="s">
        <v>1211</v>
      </c>
    </row>
    <row r="4506" spans="12:13">
      <c r="L4506" s="65">
        <v>921000</v>
      </c>
      <c r="M4506" t="s">
        <v>3389</v>
      </c>
    </row>
    <row r="4507" spans="12:13">
      <c r="L4507" s="65">
        <v>921100</v>
      </c>
      <c r="M4507" t="s">
        <v>3390</v>
      </c>
    </row>
    <row r="4508" spans="12:13">
      <c r="L4508" s="65">
        <v>921120</v>
      </c>
      <c r="M4508" t="s">
        <v>3391</v>
      </c>
    </row>
    <row r="4509" spans="12:13">
      <c r="L4509" s="65">
        <v>921121</v>
      </c>
      <c r="M4509" t="s">
        <v>3391</v>
      </c>
    </row>
    <row r="4510" spans="12:13">
      <c r="L4510" s="65">
        <v>921130</v>
      </c>
      <c r="M4510" t="s">
        <v>3392</v>
      </c>
    </row>
    <row r="4511" spans="12:13">
      <c r="L4511" s="65">
        <v>921131</v>
      </c>
      <c r="M4511" t="s">
        <v>3393</v>
      </c>
    </row>
    <row r="4512" spans="12:13">
      <c r="L4512" s="65">
        <v>921132</v>
      </c>
      <c r="M4512" t="s">
        <v>3394</v>
      </c>
    </row>
    <row r="4513" spans="12:13">
      <c r="L4513" s="65">
        <v>921140</v>
      </c>
      <c r="M4513" t="s">
        <v>3395</v>
      </c>
    </row>
    <row r="4514" spans="12:13">
      <c r="L4514" s="65">
        <v>921141</v>
      </c>
      <c r="M4514" t="s">
        <v>3395</v>
      </c>
    </row>
    <row r="4515" spans="12:13">
      <c r="L4515" s="65">
        <v>921150</v>
      </c>
      <c r="M4515" t="s">
        <v>3396</v>
      </c>
    </row>
    <row r="4516" spans="12:13">
      <c r="L4516" s="65">
        <v>921151</v>
      </c>
      <c r="M4516" t="s">
        <v>3396</v>
      </c>
    </row>
    <row r="4517" spans="12:13">
      <c r="L4517" s="65">
        <v>921160</v>
      </c>
      <c r="M4517" t="s">
        <v>3397</v>
      </c>
    </row>
    <row r="4518" spans="12:13">
      <c r="L4518" s="65">
        <v>921161</v>
      </c>
      <c r="M4518" t="s">
        <v>3398</v>
      </c>
    </row>
    <row r="4519" spans="12:13">
      <c r="L4519" s="65">
        <v>921162</v>
      </c>
      <c r="M4519" t="s">
        <v>3399</v>
      </c>
    </row>
    <row r="4520" spans="12:13">
      <c r="L4520" s="65">
        <v>921165</v>
      </c>
      <c r="M4520" t="s">
        <v>3400</v>
      </c>
    </row>
    <row r="4521" spans="12:13">
      <c r="L4521" s="65">
        <v>921220</v>
      </c>
      <c r="M4521" t="s">
        <v>3401</v>
      </c>
    </row>
    <row r="4522" spans="12:13">
      <c r="L4522" s="65">
        <v>921221</v>
      </c>
      <c r="M4522" t="s">
        <v>3401</v>
      </c>
    </row>
    <row r="4523" spans="12:13">
      <c r="L4523" s="65">
        <v>921230</v>
      </c>
      <c r="M4523" t="s">
        <v>3402</v>
      </c>
    </row>
    <row r="4524" spans="12:13">
      <c r="L4524" s="65">
        <v>921231</v>
      </c>
      <c r="M4524" t="s">
        <v>3403</v>
      </c>
    </row>
    <row r="4525" spans="12:13">
      <c r="L4525" s="65">
        <v>921232</v>
      </c>
      <c r="M4525" t="s">
        <v>3404</v>
      </c>
    </row>
    <row r="4526" spans="12:13">
      <c r="L4526" s="65">
        <v>921240</v>
      </c>
      <c r="M4526" t="s">
        <v>3405</v>
      </c>
    </row>
    <row r="4527" spans="12:13">
      <c r="L4527" s="65">
        <v>921241</v>
      </c>
      <c r="M4527" t="s">
        <v>3405</v>
      </c>
    </row>
    <row r="4528" spans="12:13">
      <c r="L4528" s="65">
        <v>921250</v>
      </c>
      <c r="M4528" t="s">
        <v>3406</v>
      </c>
    </row>
    <row r="4529" spans="12:13">
      <c r="L4529" s="65">
        <v>921251</v>
      </c>
      <c r="M4529" t="s">
        <v>3406</v>
      </c>
    </row>
    <row r="4530" spans="12:13">
      <c r="L4530" s="65">
        <v>921260</v>
      </c>
      <c r="M4530" t="s">
        <v>3407</v>
      </c>
    </row>
    <row r="4531" spans="12:13">
      <c r="L4531" s="65">
        <v>921261</v>
      </c>
      <c r="M4531" t="s">
        <v>3408</v>
      </c>
    </row>
    <row r="4532" spans="12:13">
      <c r="L4532" s="65">
        <v>921262</v>
      </c>
      <c r="M4532" t="s">
        <v>3409</v>
      </c>
    </row>
    <row r="4533" spans="12:13">
      <c r="L4533" s="65">
        <v>921265</v>
      </c>
      <c r="M4533" t="s">
        <v>3410</v>
      </c>
    </row>
    <row r="4534" spans="12:13">
      <c r="L4534" s="65">
        <v>921300</v>
      </c>
      <c r="M4534" t="s">
        <v>3411</v>
      </c>
    </row>
    <row r="4535" spans="12:13">
      <c r="L4535" s="65">
        <v>921320</v>
      </c>
      <c r="M4535" t="s">
        <v>3412</v>
      </c>
    </row>
    <row r="4536" spans="12:13">
      <c r="L4536" s="65">
        <v>921321</v>
      </c>
      <c r="M4536" t="s">
        <v>3412</v>
      </c>
    </row>
    <row r="4537" spans="12:13">
      <c r="L4537" s="65">
        <v>921330</v>
      </c>
      <c r="M4537" t="s">
        <v>3413</v>
      </c>
    </row>
    <row r="4538" spans="12:13">
      <c r="L4538" s="65">
        <v>921331</v>
      </c>
      <c r="M4538" t="s">
        <v>3413</v>
      </c>
    </row>
    <row r="4539" spans="12:13">
      <c r="L4539" s="65">
        <v>921340</v>
      </c>
      <c r="M4539" t="s">
        <v>3414</v>
      </c>
    </row>
    <row r="4540" spans="12:13">
      <c r="L4540" s="65">
        <v>921341</v>
      </c>
      <c r="M4540" t="s">
        <v>3414</v>
      </c>
    </row>
    <row r="4541" spans="12:13">
      <c r="L4541" s="65">
        <v>921350</v>
      </c>
      <c r="M4541" t="s">
        <v>3415</v>
      </c>
    </row>
    <row r="4542" spans="12:13">
      <c r="L4542" s="65">
        <v>921351</v>
      </c>
      <c r="M4542" t="s">
        <v>3415</v>
      </c>
    </row>
    <row r="4543" spans="12:13">
      <c r="L4543" s="65">
        <v>921360</v>
      </c>
      <c r="M4543" t="s">
        <v>3416</v>
      </c>
    </row>
    <row r="4544" spans="12:13">
      <c r="L4544" s="65">
        <v>921361</v>
      </c>
      <c r="M4544" t="s">
        <v>3417</v>
      </c>
    </row>
    <row r="4545" spans="12:13">
      <c r="L4545" s="65">
        <v>921362</v>
      </c>
      <c r="M4545" t="s">
        <v>3418</v>
      </c>
    </row>
    <row r="4546" spans="12:13">
      <c r="L4546" s="65">
        <v>921365</v>
      </c>
      <c r="M4546" t="s">
        <v>3419</v>
      </c>
    </row>
    <row r="4547" spans="12:13">
      <c r="L4547" s="65">
        <v>921400</v>
      </c>
      <c r="M4547" t="s">
        <v>3420</v>
      </c>
    </row>
    <row r="4548" spans="12:13">
      <c r="L4548" s="65">
        <v>921420</v>
      </c>
      <c r="M4548" t="s">
        <v>3421</v>
      </c>
    </row>
    <row r="4549" spans="12:13">
      <c r="L4549" s="65">
        <v>921421</v>
      </c>
      <c r="M4549" t="s">
        <v>3421</v>
      </c>
    </row>
    <row r="4550" spans="12:13">
      <c r="L4550" s="65">
        <v>921430</v>
      </c>
      <c r="M4550" t="s">
        <v>3422</v>
      </c>
    </row>
    <row r="4551" spans="12:13">
      <c r="L4551" s="65">
        <v>921431</v>
      </c>
      <c r="M4551" t="s">
        <v>3422</v>
      </c>
    </row>
    <row r="4552" spans="12:13">
      <c r="L4552" s="65">
        <v>921440</v>
      </c>
      <c r="M4552" t="s">
        <v>3423</v>
      </c>
    </row>
    <row r="4553" spans="12:13">
      <c r="L4553" s="65">
        <v>921441</v>
      </c>
      <c r="M4553" t="s">
        <v>3423</v>
      </c>
    </row>
    <row r="4554" spans="12:13">
      <c r="L4554" s="65">
        <v>921450</v>
      </c>
      <c r="M4554" t="s">
        <v>3424</v>
      </c>
    </row>
    <row r="4555" spans="12:13">
      <c r="L4555" s="65">
        <v>921451</v>
      </c>
      <c r="M4555" t="s">
        <v>3424</v>
      </c>
    </row>
    <row r="4556" spans="12:13">
      <c r="L4556" s="65">
        <v>921460</v>
      </c>
      <c r="M4556" t="s">
        <v>3425</v>
      </c>
    </row>
    <row r="4557" spans="12:13">
      <c r="L4557" s="65">
        <v>921461</v>
      </c>
      <c r="M4557" t="s">
        <v>3426</v>
      </c>
    </row>
    <row r="4558" spans="12:13">
      <c r="L4558" s="65">
        <v>921462</v>
      </c>
      <c r="M4558" t="s">
        <v>3427</v>
      </c>
    </row>
    <row r="4559" spans="12:13">
      <c r="L4559" s="65">
        <v>921465</v>
      </c>
      <c r="M4559" t="s">
        <v>3428</v>
      </c>
    </row>
    <row r="4560" spans="12:13">
      <c r="L4560" s="65">
        <v>921500</v>
      </c>
      <c r="M4560" t="s">
        <v>3429</v>
      </c>
    </row>
    <row r="4561" spans="12:13">
      <c r="L4561" s="65">
        <v>921520</v>
      </c>
      <c r="M4561" t="s">
        <v>3430</v>
      </c>
    </row>
    <row r="4562" spans="12:13">
      <c r="L4562" s="65">
        <v>921521</v>
      </c>
      <c r="M4562" t="s">
        <v>3430</v>
      </c>
    </row>
    <row r="4563" spans="12:13">
      <c r="L4563" s="65">
        <v>921530</v>
      </c>
      <c r="M4563" t="s">
        <v>3431</v>
      </c>
    </row>
    <row r="4564" spans="12:13">
      <c r="L4564" s="65">
        <v>921531</v>
      </c>
      <c r="M4564" t="s">
        <v>3432</v>
      </c>
    </row>
    <row r="4565" spans="12:13">
      <c r="L4565" s="65">
        <v>921532</v>
      </c>
      <c r="M4565" t="s">
        <v>3433</v>
      </c>
    </row>
    <row r="4566" spans="12:13">
      <c r="L4566" s="65">
        <v>921540</v>
      </c>
      <c r="M4566" t="s">
        <v>3434</v>
      </c>
    </row>
    <row r="4567" spans="12:13">
      <c r="L4567" s="65">
        <v>921541</v>
      </c>
      <c r="M4567" t="s">
        <v>3434</v>
      </c>
    </row>
    <row r="4568" spans="12:13">
      <c r="L4568" s="65">
        <v>921550</v>
      </c>
      <c r="M4568" t="s">
        <v>3435</v>
      </c>
    </row>
    <row r="4569" spans="12:13">
      <c r="L4569" s="65">
        <v>921551</v>
      </c>
      <c r="M4569" t="s">
        <v>3435</v>
      </c>
    </row>
    <row r="4570" spans="12:13">
      <c r="L4570" s="65">
        <v>921560</v>
      </c>
      <c r="M4570" t="s">
        <v>3436</v>
      </c>
    </row>
    <row r="4571" spans="12:13">
      <c r="L4571" s="65">
        <v>921561</v>
      </c>
      <c r="M4571" t="s">
        <v>3437</v>
      </c>
    </row>
    <row r="4572" spans="12:13">
      <c r="L4572" s="65">
        <v>921562</v>
      </c>
      <c r="M4572" t="s">
        <v>3438</v>
      </c>
    </row>
    <row r="4573" spans="12:13">
      <c r="L4573" s="65">
        <v>921565</v>
      </c>
      <c r="M4573" t="s">
        <v>3439</v>
      </c>
    </row>
    <row r="4574" spans="12:13">
      <c r="L4574" s="65">
        <v>921600</v>
      </c>
      <c r="M4574" t="s">
        <v>3440</v>
      </c>
    </row>
    <row r="4575" spans="12:13">
      <c r="L4575" s="65">
        <v>921620</v>
      </c>
      <c r="M4575" t="s">
        <v>3441</v>
      </c>
    </row>
    <row r="4576" spans="12:13">
      <c r="L4576" s="65">
        <v>921621</v>
      </c>
      <c r="M4576" t="s">
        <v>3441</v>
      </c>
    </row>
    <row r="4577" spans="12:13">
      <c r="L4577" s="65">
        <v>921630</v>
      </c>
      <c r="M4577" t="s">
        <v>3442</v>
      </c>
    </row>
    <row r="4578" spans="12:13">
      <c r="L4578" s="65">
        <v>921631</v>
      </c>
      <c r="M4578" t="s">
        <v>3443</v>
      </c>
    </row>
    <row r="4579" spans="12:13">
      <c r="L4579" s="65">
        <v>921632</v>
      </c>
      <c r="M4579" t="s">
        <v>3444</v>
      </c>
    </row>
    <row r="4580" spans="12:13">
      <c r="L4580" s="65">
        <v>921640</v>
      </c>
      <c r="M4580" t="s">
        <v>3445</v>
      </c>
    </row>
    <row r="4581" spans="12:13">
      <c r="L4581" s="65">
        <v>921641</v>
      </c>
      <c r="M4581" t="s">
        <v>3445</v>
      </c>
    </row>
    <row r="4582" spans="12:13">
      <c r="L4582" s="65">
        <v>921650</v>
      </c>
      <c r="M4582" t="s">
        <v>3446</v>
      </c>
    </row>
    <row r="4583" spans="12:13">
      <c r="L4583" s="65">
        <v>921651</v>
      </c>
      <c r="M4583" t="s">
        <v>3446</v>
      </c>
    </row>
    <row r="4584" spans="12:13">
      <c r="L4584" s="65">
        <v>921660</v>
      </c>
      <c r="M4584" t="s">
        <v>3447</v>
      </c>
    </row>
    <row r="4585" spans="12:13">
      <c r="L4585" s="65">
        <v>921661</v>
      </c>
      <c r="M4585" t="s">
        <v>3448</v>
      </c>
    </row>
    <row r="4586" spans="12:13">
      <c r="L4586" s="65">
        <v>921662</v>
      </c>
      <c r="M4586" t="s">
        <v>3449</v>
      </c>
    </row>
    <row r="4587" spans="12:13">
      <c r="L4587" s="65">
        <v>921665</v>
      </c>
      <c r="M4587" t="s">
        <v>3450</v>
      </c>
    </row>
    <row r="4588" spans="12:13">
      <c r="L4588" s="65">
        <v>921700</v>
      </c>
      <c r="M4588" t="s">
        <v>3451</v>
      </c>
    </row>
    <row r="4589" spans="12:13">
      <c r="L4589" s="65">
        <v>921720</v>
      </c>
      <c r="M4589" t="s">
        <v>3452</v>
      </c>
    </row>
    <row r="4590" spans="12:13">
      <c r="L4590" s="65">
        <v>921721</v>
      </c>
      <c r="M4590" t="s">
        <v>3452</v>
      </c>
    </row>
    <row r="4591" spans="12:13">
      <c r="L4591" s="65">
        <v>921730</v>
      </c>
      <c r="M4591" t="s">
        <v>3453</v>
      </c>
    </row>
    <row r="4592" spans="12:13">
      <c r="L4592" s="65">
        <v>921731</v>
      </c>
      <c r="M4592" t="s">
        <v>3454</v>
      </c>
    </row>
    <row r="4593" spans="12:13">
      <c r="L4593" s="65">
        <v>921732</v>
      </c>
      <c r="M4593" t="s">
        <v>3455</v>
      </c>
    </row>
    <row r="4594" spans="12:13">
      <c r="L4594" s="65">
        <v>921740</v>
      </c>
      <c r="M4594" t="s">
        <v>3456</v>
      </c>
    </row>
    <row r="4595" spans="12:13">
      <c r="L4595" s="65">
        <v>921741</v>
      </c>
      <c r="M4595" t="s">
        <v>3456</v>
      </c>
    </row>
    <row r="4596" spans="12:13">
      <c r="L4596" s="65">
        <v>921750</v>
      </c>
      <c r="M4596" t="s">
        <v>3457</v>
      </c>
    </row>
    <row r="4597" spans="12:13">
      <c r="L4597" s="65">
        <v>921751</v>
      </c>
      <c r="M4597" t="s">
        <v>3457</v>
      </c>
    </row>
    <row r="4598" spans="12:13">
      <c r="L4598" s="65">
        <v>921760</v>
      </c>
      <c r="M4598" t="s">
        <v>3458</v>
      </c>
    </row>
    <row r="4599" spans="12:13">
      <c r="L4599" s="65">
        <v>921761</v>
      </c>
      <c r="M4599" t="s">
        <v>3459</v>
      </c>
    </row>
    <row r="4600" spans="12:13">
      <c r="L4600" s="65">
        <v>921762</v>
      </c>
      <c r="M4600" t="s">
        <v>3460</v>
      </c>
    </row>
    <row r="4601" spans="12:13">
      <c r="L4601" s="65">
        <v>921765</v>
      </c>
      <c r="M4601" t="s">
        <v>3461</v>
      </c>
    </row>
    <row r="4602" spans="12:13">
      <c r="L4602" s="65">
        <v>921800</v>
      </c>
      <c r="M4602" t="s">
        <v>3462</v>
      </c>
    </row>
    <row r="4603" spans="12:13">
      <c r="L4603" s="65">
        <v>921820</v>
      </c>
      <c r="M4603" t="s">
        <v>3463</v>
      </c>
    </row>
    <row r="4604" spans="12:13">
      <c r="L4604" s="65">
        <v>921821</v>
      </c>
      <c r="M4604" t="s">
        <v>3463</v>
      </c>
    </row>
    <row r="4605" spans="12:13">
      <c r="L4605" s="65">
        <v>921830</v>
      </c>
      <c r="M4605" t="s">
        <v>3464</v>
      </c>
    </row>
    <row r="4606" spans="12:13">
      <c r="L4606" s="65">
        <v>921831</v>
      </c>
      <c r="M4606" t="s">
        <v>3464</v>
      </c>
    </row>
    <row r="4607" spans="12:13">
      <c r="L4607" s="65">
        <v>921840</v>
      </c>
      <c r="M4607" t="s">
        <v>3465</v>
      </c>
    </row>
    <row r="4608" spans="12:13">
      <c r="L4608" s="65">
        <v>921841</v>
      </c>
      <c r="M4608" t="s">
        <v>3465</v>
      </c>
    </row>
    <row r="4609" spans="12:13">
      <c r="L4609" s="65">
        <v>921850</v>
      </c>
      <c r="M4609" t="s">
        <v>3466</v>
      </c>
    </row>
    <row r="4610" spans="12:13">
      <c r="L4610" s="65">
        <v>921851</v>
      </c>
      <c r="M4610" t="s">
        <v>3466</v>
      </c>
    </row>
    <row r="4611" spans="12:13">
      <c r="L4611" s="65">
        <v>921860</v>
      </c>
      <c r="M4611" t="s">
        <v>3467</v>
      </c>
    </row>
    <row r="4612" spans="12:13">
      <c r="L4612" s="65">
        <v>921861</v>
      </c>
      <c r="M4612" t="s">
        <v>3468</v>
      </c>
    </row>
    <row r="4613" spans="12:13">
      <c r="L4613" s="65">
        <v>921862</v>
      </c>
      <c r="M4613" t="s">
        <v>3469</v>
      </c>
    </row>
    <row r="4614" spans="12:13">
      <c r="L4614" s="65">
        <v>921865</v>
      </c>
      <c r="M4614" t="s">
        <v>3470</v>
      </c>
    </row>
    <row r="4615" spans="12:13">
      <c r="L4615" s="65">
        <v>921900</v>
      </c>
      <c r="M4615" t="s">
        <v>3471</v>
      </c>
    </row>
    <row r="4616" spans="12:13">
      <c r="L4616" s="65">
        <v>921920</v>
      </c>
      <c r="M4616" t="s">
        <v>3472</v>
      </c>
    </row>
    <row r="4617" spans="12:13">
      <c r="L4617" s="65">
        <v>921921</v>
      </c>
      <c r="M4617" t="s">
        <v>3473</v>
      </c>
    </row>
    <row r="4618" spans="12:13">
      <c r="L4618" s="65">
        <v>921922</v>
      </c>
      <c r="M4618" t="s">
        <v>3474</v>
      </c>
    </row>
    <row r="4619" spans="12:13">
      <c r="L4619" s="65">
        <v>921923</v>
      </c>
      <c r="M4619" t="s">
        <v>3475</v>
      </c>
    </row>
    <row r="4620" spans="12:13">
      <c r="L4620" s="65">
        <v>921930</v>
      </c>
      <c r="M4620" t="s">
        <v>3476</v>
      </c>
    </row>
    <row r="4621" spans="12:13">
      <c r="L4621" s="65">
        <v>921931</v>
      </c>
      <c r="M4621" t="s">
        <v>3477</v>
      </c>
    </row>
    <row r="4622" spans="12:13">
      <c r="L4622" s="65">
        <v>921932</v>
      </c>
      <c r="M4622" t="s">
        <v>3478</v>
      </c>
    </row>
    <row r="4623" spans="12:13">
      <c r="L4623" s="65">
        <v>921940</v>
      </c>
      <c r="M4623" t="s">
        <v>3479</v>
      </c>
    </row>
    <row r="4624" spans="12:13">
      <c r="L4624" s="65">
        <v>921941</v>
      </c>
      <c r="M4624" t="s">
        <v>3479</v>
      </c>
    </row>
    <row r="4625" spans="12:13">
      <c r="L4625" s="65">
        <v>921950</v>
      </c>
      <c r="M4625" t="s">
        <v>3481</v>
      </c>
    </row>
    <row r="4626" spans="12:13">
      <c r="L4626" s="65">
        <v>921951</v>
      </c>
      <c r="M4626" t="s">
        <v>3481</v>
      </c>
    </row>
    <row r="4627" spans="12:13">
      <c r="L4627" s="65">
        <v>921960</v>
      </c>
      <c r="M4627" t="s">
        <v>3482</v>
      </c>
    </row>
    <row r="4628" spans="12:13">
      <c r="L4628" s="65">
        <v>921961</v>
      </c>
      <c r="M4628" t="s">
        <v>3483</v>
      </c>
    </row>
    <row r="4629" spans="12:13">
      <c r="L4629" s="65">
        <v>921962</v>
      </c>
      <c r="M4629" t="s">
        <v>3484</v>
      </c>
    </row>
    <row r="4630" spans="12:13">
      <c r="L4630" s="65">
        <v>921965</v>
      </c>
      <c r="M4630" t="s">
        <v>3485</v>
      </c>
    </row>
    <row r="4631" spans="12:13">
      <c r="L4631" s="65">
        <v>922000</v>
      </c>
      <c r="M4631" t="s">
        <v>3486</v>
      </c>
    </row>
    <row r="4632" spans="12:13">
      <c r="L4632" s="65">
        <v>922100</v>
      </c>
      <c r="M4632" t="s">
        <v>3487</v>
      </c>
    </row>
    <row r="4633" spans="12:13">
      <c r="L4633" s="65">
        <v>922120</v>
      </c>
      <c r="M4633" t="s">
        <v>3488</v>
      </c>
    </row>
    <row r="4634" spans="12:13">
      <c r="L4634" s="65">
        <v>922121</v>
      </c>
      <c r="M4634" t="s">
        <v>3488</v>
      </c>
    </row>
    <row r="4635" spans="12:13">
      <c r="L4635" s="65">
        <v>922130</v>
      </c>
      <c r="M4635" t="s">
        <v>3489</v>
      </c>
    </row>
    <row r="4636" spans="12:13">
      <c r="L4636" s="65">
        <v>922131</v>
      </c>
      <c r="M4636" t="s">
        <v>3490</v>
      </c>
    </row>
    <row r="4637" spans="12:13">
      <c r="L4637" s="65">
        <v>922132</v>
      </c>
      <c r="M4637" t="s">
        <v>3491</v>
      </c>
    </row>
    <row r="4638" spans="12:13">
      <c r="L4638" s="65">
        <v>922140</v>
      </c>
      <c r="M4638" t="s">
        <v>3492</v>
      </c>
    </row>
    <row r="4639" spans="12:13">
      <c r="L4639" s="65">
        <v>922141</v>
      </c>
      <c r="M4639" t="s">
        <v>3492</v>
      </c>
    </row>
    <row r="4640" spans="12:13">
      <c r="L4640" s="65">
        <v>922150</v>
      </c>
      <c r="M4640" t="s">
        <v>3493</v>
      </c>
    </row>
    <row r="4641" spans="12:13">
      <c r="L4641" s="65">
        <v>922151</v>
      </c>
      <c r="M4641" t="s">
        <v>3493</v>
      </c>
    </row>
    <row r="4642" spans="12:13">
      <c r="L4642" s="65">
        <v>922160</v>
      </c>
      <c r="M4642" t="s">
        <v>3494</v>
      </c>
    </row>
    <row r="4643" spans="12:13">
      <c r="L4643" s="65">
        <v>922161</v>
      </c>
      <c r="M4643" t="s">
        <v>3495</v>
      </c>
    </row>
    <row r="4644" spans="12:13">
      <c r="L4644" s="65">
        <v>922162</v>
      </c>
      <c r="M4644" t="s">
        <v>3496</v>
      </c>
    </row>
    <row r="4645" spans="12:13">
      <c r="L4645" s="65">
        <v>922165</v>
      </c>
      <c r="M4645" t="s">
        <v>3497</v>
      </c>
    </row>
    <row r="4646" spans="12:13">
      <c r="L4646" s="65">
        <v>922200</v>
      </c>
      <c r="M4646" t="s">
        <v>3498</v>
      </c>
    </row>
    <row r="4647" spans="12:13">
      <c r="L4647" s="65">
        <v>922220</v>
      </c>
      <c r="M4647" t="s">
        <v>3499</v>
      </c>
    </row>
    <row r="4648" spans="12:13">
      <c r="L4648" s="65">
        <v>922221</v>
      </c>
      <c r="M4648" t="s">
        <v>3499</v>
      </c>
    </row>
    <row r="4649" spans="12:13">
      <c r="L4649" s="65">
        <v>922230</v>
      </c>
      <c r="M4649" t="s">
        <v>3500</v>
      </c>
    </row>
    <row r="4650" spans="12:13">
      <c r="L4650" s="65">
        <v>922231</v>
      </c>
      <c r="M4650" t="s">
        <v>3500</v>
      </c>
    </row>
    <row r="4651" spans="12:13">
      <c r="L4651" s="65">
        <v>922240</v>
      </c>
      <c r="M4651" t="s">
        <v>3501</v>
      </c>
    </row>
    <row r="4652" spans="12:13">
      <c r="L4652" s="65">
        <v>922241</v>
      </c>
      <c r="M4652" t="s">
        <v>3501</v>
      </c>
    </row>
    <row r="4653" spans="12:13">
      <c r="L4653" s="65">
        <v>922250</v>
      </c>
      <c r="M4653" t="s">
        <v>3502</v>
      </c>
    </row>
    <row r="4654" spans="12:13">
      <c r="L4654" s="65">
        <v>922251</v>
      </c>
      <c r="M4654" t="s">
        <v>3502</v>
      </c>
    </row>
    <row r="4655" spans="12:13">
      <c r="L4655" s="65">
        <v>922260</v>
      </c>
      <c r="M4655" t="s">
        <v>3503</v>
      </c>
    </row>
    <row r="4656" spans="12:13">
      <c r="L4656" s="65">
        <v>922261</v>
      </c>
      <c r="M4656" t="s">
        <v>3504</v>
      </c>
    </row>
    <row r="4657" spans="12:13">
      <c r="L4657" s="65">
        <v>922262</v>
      </c>
      <c r="M4657" t="s">
        <v>3505</v>
      </c>
    </row>
    <row r="4658" spans="12:13">
      <c r="L4658" s="65">
        <v>922265</v>
      </c>
      <c r="M4658" t="s">
        <v>3506</v>
      </c>
    </row>
    <row r="4659" spans="12:13">
      <c r="L4659" s="65">
        <v>922300</v>
      </c>
      <c r="M4659" t="s">
        <v>3507</v>
      </c>
    </row>
    <row r="4660" spans="12:13">
      <c r="L4660" s="65">
        <v>922320</v>
      </c>
      <c r="M4660" t="s">
        <v>3508</v>
      </c>
    </row>
    <row r="4661" spans="12:13">
      <c r="L4661" s="65">
        <v>922321</v>
      </c>
      <c r="M4661" t="s">
        <v>3508</v>
      </c>
    </row>
    <row r="4662" spans="12:13">
      <c r="L4662" s="65">
        <v>922330</v>
      </c>
      <c r="M4662" t="s">
        <v>3509</v>
      </c>
    </row>
    <row r="4663" spans="12:13">
      <c r="L4663" s="65">
        <v>922331</v>
      </c>
      <c r="M4663" t="s">
        <v>3509</v>
      </c>
    </row>
    <row r="4664" spans="12:13">
      <c r="L4664" s="65">
        <v>922340</v>
      </c>
      <c r="M4664" t="s">
        <v>3510</v>
      </c>
    </row>
    <row r="4665" spans="12:13">
      <c r="L4665" s="65">
        <v>922341</v>
      </c>
      <c r="M4665" t="s">
        <v>3510</v>
      </c>
    </row>
    <row r="4666" spans="12:13">
      <c r="L4666" s="65">
        <v>922350</v>
      </c>
      <c r="M4666" t="s">
        <v>3511</v>
      </c>
    </row>
    <row r="4667" spans="12:13">
      <c r="L4667" s="65">
        <v>922351</v>
      </c>
      <c r="M4667" t="s">
        <v>3511</v>
      </c>
    </row>
    <row r="4668" spans="12:13">
      <c r="L4668" s="65">
        <v>922360</v>
      </c>
      <c r="M4668" t="s">
        <v>3512</v>
      </c>
    </row>
    <row r="4669" spans="12:13">
      <c r="L4669" s="65">
        <v>922361</v>
      </c>
      <c r="M4669" t="s">
        <v>3513</v>
      </c>
    </row>
    <row r="4670" spans="12:13">
      <c r="L4670" s="65">
        <v>922362</v>
      </c>
      <c r="M4670" t="s">
        <v>3514</v>
      </c>
    </row>
    <row r="4671" spans="12:13">
      <c r="L4671" s="65">
        <v>922365</v>
      </c>
      <c r="M4671" t="s">
        <v>3515</v>
      </c>
    </row>
    <row r="4672" spans="12:13">
      <c r="L4672" s="65">
        <v>922400</v>
      </c>
      <c r="M4672" t="s">
        <v>3516</v>
      </c>
    </row>
    <row r="4673" spans="12:13">
      <c r="L4673" s="65">
        <v>922420</v>
      </c>
      <c r="M4673" t="s">
        <v>3517</v>
      </c>
    </row>
    <row r="4674" spans="12:13">
      <c r="L4674" s="65">
        <v>922421</v>
      </c>
      <c r="M4674" t="s">
        <v>3517</v>
      </c>
    </row>
    <row r="4675" spans="12:13">
      <c r="L4675" s="65">
        <v>922430</v>
      </c>
      <c r="M4675" t="s">
        <v>3518</v>
      </c>
    </row>
    <row r="4676" spans="12:13">
      <c r="L4676" s="65">
        <v>922431</v>
      </c>
      <c r="M4676" t="s">
        <v>3518</v>
      </c>
    </row>
    <row r="4677" spans="12:13">
      <c r="L4677" s="65">
        <v>922440</v>
      </c>
      <c r="M4677" t="s">
        <v>3519</v>
      </c>
    </row>
    <row r="4678" spans="12:13">
      <c r="L4678" s="65">
        <v>922441</v>
      </c>
      <c r="M4678" t="s">
        <v>3519</v>
      </c>
    </row>
    <row r="4679" spans="12:13">
      <c r="L4679" s="65">
        <v>922450</v>
      </c>
      <c r="M4679" t="s">
        <v>3520</v>
      </c>
    </row>
    <row r="4680" spans="12:13">
      <c r="L4680" s="65">
        <v>922451</v>
      </c>
      <c r="M4680" t="s">
        <v>3520</v>
      </c>
    </row>
    <row r="4681" spans="12:13">
      <c r="L4681" s="65">
        <v>922460</v>
      </c>
      <c r="M4681" t="s">
        <v>3521</v>
      </c>
    </row>
    <row r="4682" spans="12:13">
      <c r="L4682" s="65">
        <v>922461</v>
      </c>
      <c r="M4682" t="s">
        <v>3522</v>
      </c>
    </row>
    <row r="4683" spans="12:13">
      <c r="L4683" s="65">
        <v>922462</v>
      </c>
      <c r="M4683" t="s">
        <v>3523</v>
      </c>
    </row>
    <row r="4684" spans="12:13">
      <c r="L4684" s="65">
        <v>922465</v>
      </c>
      <c r="M4684" t="s">
        <v>3524</v>
      </c>
    </row>
    <row r="4685" spans="12:13">
      <c r="L4685" s="65">
        <v>922500</v>
      </c>
      <c r="M4685" t="s">
        <v>3525</v>
      </c>
    </row>
    <row r="4686" spans="12:13">
      <c r="L4686" s="65">
        <v>922520</v>
      </c>
      <c r="M4686" t="s">
        <v>3526</v>
      </c>
    </row>
    <row r="4687" spans="12:13">
      <c r="L4687" s="65">
        <v>922521</v>
      </c>
      <c r="M4687" t="s">
        <v>3526</v>
      </c>
    </row>
    <row r="4688" spans="12:13">
      <c r="L4688" s="65">
        <v>922530</v>
      </c>
      <c r="M4688" t="s">
        <v>3527</v>
      </c>
    </row>
    <row r="4689" spans="12:13">
      <c r="L4689" s="65">
        <v>922531</v>
      </c>
      <c r="M4689" t="s">
        <v>3527</v>
      </c>
    </row>
    <row r="4690" spans="12:13">
      <c r="L4690" s="65">
        <v>922540</v>
      </c>
      <c r="M4690" t="s">
        <v>3528</v>
      </c>
    </row>
    <row r="4691" spans="12:13">
      <c r="L4691" s="65">
        <v>922541</v>
      </c>
      <c r="M4691" t="s">
        <v>3528</v>
      </c>
    </row>
    <row r="4692" spans="12:13">
      <c r="L4692" s="65">
        <v>922550</v>
      </c>
      <c r="M4692" t="s">
        <v>3529</v>
      </c>
    </row>
    <row r="4693" spans="12:13">
      <c r="L4693" s="65">
        <v>922551</v>
      </c>
      <c r="M4693" t="s">
        <v>3529</v>
      </c>
    </row>
    <row r="4694" spans="12:13">
      <c r="L4694" s="65">
        <v>922560</v>
      </c>
      <c r="M4694" t="s">
        <v>3530</v>
      </c>
    </row>
    <row r="4695" spans="12:13">
      <c r="L4695" s="65">
        <v>922561</v>
      </c>
      <c r="M4695" t="s">
        <v>3531</v>
      </c>
    </row>
    <row r="4696" spans="12:13">
      <c r="L4696" s="65">
        <v>922562</v>
      </c>
      <c r="M4696" t="s">
        <v>3532</v>
      </c>
    </row>
    <row r="4697" spans="12:13">
      <c r="L4697" s="65">
        <v>922565</v>
      </c>
      <c r="M4697" t="s">
        <v>3533</v>
      </c>
    </row>
    <row r="4698" spans="12:13">
      <c r="L4698" s="65">
        <v>922600</v>
      </c>
      <c r="M4698" t="s">
        <v>3534</v>
      </c>
    </row>
    <row r="4699" spans="12:13">
      <c r="L4699" s="65">
        <v>922620</v>
      </c>
      <c r="M4699" t="s">
        <v>3535</v>
      </c>
    </row>
    <row r="4700" spans="12:13">
      <c r="L4700" s="65">
        <v>922621</v>
      </c>
      <c r="M4700" t="s">
        <v>3535</v>
      </c>
    </row>
    <row r="4701" spans="12:13">
      <c r="L4701" s="65">
        <v>922630</v>
      </c>
      <c r="M4701" t="s">
        <v>3536</v>
      </c>
    </row>
    <row r="4702" spans="12:13">
      <c r="L4702" s="65">
        <v>922631</v>
      </c>
      <c r="M4702" t="s">
        <v>3536</v>
      </c>
    </row>
    <row r="4703" spans="12:13">
      <c r="L4703" s="65">
        <v>922640</v>
      </c>
      <c r="M4703" t="s">
        <v>3537</v>
      </c>
    </row>
    <row r="4704" spans="12:13">
      <c r="L4704" s="65">
        <v>922641</v>
      </c>
      <c r="M4704" t="s">
        <v>3537</v>
      </c>
    </row>
    <row r="4705" spans="12:13">
      <c r="L4705" s="65">
        <v>922650</v>
      </c>
      <c r="M4705" t="s">
        <v>3538</v>
      </c>
    </row>
    <row r="4706" spans="12:13">
      <c r="L4706" s="65">
        <v>922651</v>
      </c>
      <c r="M4706" t="s">
        <v>3538</v>
      </c>
    </row>
    <row r="4707" spans="12:13">
      <c r="L4707" s="65">
        <v>922660</v>
      </c>
      <c r="M4707" t="s">
        <v>3539</v>
      </c>
    </row>
    <row r="4708" spans="12:13">
      <c r="L4708" s="65">
        <v>922661</v>
      </c>
      <c r="M4708" t="s">
        <v>3540</v>
      </c>
    </row>
    <row r="4709" spans="12:13">
      <c r="L4709" s="65">
        <v>922662</v>
      </c>
      <c r="M4709" t="s">
        <v>3541</v>
      </c>
    </row>
    <row r="4710" spans="12:13">
      <c r="L4710" s="65">
        <v>922665</v>
      </c>
      <c r="M4710" t="s">
        <v>3542</v>
      </c>
    </row>
    <row r="4711" spans="12:13">
      <c r="L4711" s="65">
        <v>922700</v>
      </c>
      <c r="M4711" t="s">
        <v>3543</v>
      </c>
    </row>
    <row r="4712" spans="12:13">
      <c r="L4712" s="65">
        <v>922720</v>
      </c>
      <c r="M4712" t="s">
        <v>3544</v>
      </c>
    </row>
    <row r="4713" spans="12:13">
      <c r="L4713" s="65">
        <v>922721</v>
      </c>
      <c r="M4713" t="s">
        <v>3544</v>
      </c>
    </row>
    <row r="4714" spans="12:13">
      <c r="L4714" s="65">
        <v>922730</v>
      </c>
      <c r="M4714" t="s">
        <v>3545</v>
      </c>
    </row>
    <row r="4715" spans="12:13">
      <c r="L4715" s="65">
        <v>922731</v>
      </c>
      <c r="M4715" t="s">
        <v>3546</v>
      </c>
    </row>
    <row r="4716" spans="12:13">
      <c r="L4716" s="65">
        <v>922732</v>
      </c>
      <c r="M4716" t="s">
        <v>3547</v>
      </c>
    </row>
    <row r="4717" spans="12:13">
      <c r="L4717" s="65">
        <v>922740</v>
      </c>
      <c r="M4717" t="s">
        <v>3548</v>
      </c>
    </row>
    <row r="4718" spans="12:13">
      <c r="L4718" s="65">
        <v>922741</v>
      </c>
      <c r="M4718" t="s">
        <v>3548</v>
      </c>
    </row>
    <row r="4719" spans="12:13">
      <c r="L4719" s="65">
        <v>922750</v>
      </c>
      <c r="M4719" t="s">
        <v>3549</v>
      </c>
    </row>
    <row r="4720" spans="12:13">
      <c r="L4720" s="65">
        <v>922751</v>
      </c>
      <c r="M4720" t="s">
        <v>3549</v>
      </c>
    </row>
    <row r="4721" spans="12:13">
      <c r="L4721" s="65">
        <v>922760</v>
      </c>
      <c r="M4721" t="s">
        <v>3550</v>
      </c>
    </row>
    <row r="4722" spans="12:13">
      <c r="L4722" s="65">
        <v>922761</v>
      </c>
      <c r="M4722" t="s">
        <v>3551</v>
      </c>
    </row>
    <row r="4723" spans="12:13">
      <c r="L4723" s="65">
        <v>922762</v>
      </c>
      <c r="M4723" t="s">
        <v>3552</v>
      </c>
    </row>
    <row r="4724" spans="12:13">
      <c r="L4724" s="65">
        <v>922765</v>
      </c>
      <c r="M4724" t="s">
        <v>3553</v>
      </c>
    </row>
    <row r="4725" spans="12:13">
      <c r="L4725" s="65">
        <v>922800</v>
      </c>
      <c r="M4725" t="s">
        <v>1213</v>
      </c>
    </row>
    <row r="4726" spans="12:13">
      <c r="L4726" s="65">
        <v>922810</v>
      </c>
      <c r="M4726" t="s">
        <v>1213</v>
      </c>
    </row>
    <row r="4727" spans="12:13">
      <c r="L4727" s="65">
        <v>922811</v>
      </c>
      <c r="M4727" t="s">
        <v>1213</v>
      </c>
    </row>
    <row r="4728" spans="12:13">
      <c r="L4728" s="65">
        <v>990000</v>
      </c>
      <c r="M4728" t="s">
        <v>3554</v>
      </c>
    </row>
    <row r="4729" spans="12:13">
      <c r="L4729" s="65">
        <v>999000</v>
      </c>
      <c r="M4729" t="s">
        <v>3554</v>
      </c>
    </row>
    <row r="4730" spans="12:13">
      <c r="L4730" s="65">
        <v>999900</v>
      </c>
      <c r="M4730" t="s">
        <v>3554</v>
      </c>
    </row>
    <row r="4731" spans="12:13">
      <c r="L4731" s="65">
        <v>999990</v>
      </c>
      <c r="M4731" t="s">
        <v>3554</v>
      </c>
    </row>
    <row r="4732" spans="12:13">
      <c r="L4732" s="65">
        <v>999999</v>
      </c>
      <c r="M4732" t="s">
        <v>3554</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Рачун финансирања</vt:lpstr>
      <vt:lpstr>Приџ,прим vs Расх,изд</vt:lpstr>
      <vt:lpstr>Оптшти део - (6)</vt:lpstr>
      <vt:lpstr>Капитални расходи</vt:lpstr>
      <vt:lpstr>По основ. нам.</vt:lpstr>
      <vt:lpstr>Програмска</vt:lpstr>
      <vt:lpstr>Расх по функц. </vt:lpstr>
      <vt:lpstr>ПО КОРИСНИЦИМА</vt:lpstr>
      <vt:lpstr>Класификације</vt:lpstr>
      <vt:lpstr>ljkl</vt:lpstr>
      <vt:lpstr>Ukupno_funkcionalna</vt:lpstr>
      <vt:lpstr>Ukupno_izdaci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Krsta</cp:lastModifiedBy>
  <cp:lastPrinted>2015-12-28T09:54:51Z</cp:lastPrinted>
  <dcterms:created xsi:type="dcterms:W3CDTF">2014-09-23T08:37:30Z</dcterms:created>
  <dcterms:modified xsi:type="dcterms:W3CDTF">2015-12-29T21:30:27Z</dcterms:modified>
</cp:coreProperties>
</file>